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OmicScouts\hepatocytes_lysate_PBS_R4\"/>
    </mc:Choice>
  </mc:AlternateContent>
  <bookViews>
    <workbookView xWindow="0" yWindow="0" windowWidth="25200" windowHeight="11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3829" i="1" l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<sst xmlns="http://schemas.openxmlformats.org/spreadsheetml/2006/main" count="30644" uniqueCount="19068">
  <si>
    <t>Protein_ID</t>
  </si>
  <si>
    <t>plot</t>
  </si>
  <si>
    <t>uniprot_ac</t>
  </si>
  <si>
    <t>auc</t>
  </si>
  <si>
    <t>plot_link</t>
  </si>
  <si>
    <t>gene_name</t>
  </si>
  <si>
    <t>A0AVT1_UBA6</t>
  </si>
  <si>
    <t>A0JNW5_UHRF1BP1L</t>
  </si>
  <si>
    <t>A0MZ66_KIAA1598</t>
  </si>
  <si>
    <t>A1L170_C1orf226</t>
  </si>
  <si>
    <t>A1L188_C17orf89</t>
  </si>
  <si>
    <t>A1L390_PLEKHG3</t>
  </si>
  <si>
    <t>A1Z1Q3-2_MACROD2</t>
  </si>
  <si>
    <t>A2VDF0-2_FUOM</t>
  </si>
  <si>
    <t>A4D126-2_ISPD</t>
  </si>
  <si>
    <t>A4D1P6-2_WDR91</t>
  </si>
  <si>
    <t>A5YKK6-2_CNOT1</t>
  </si>
  <si>
    <t>A6ND91_ASPDH</t>
  </si>
  <si>
    <t>A6NDB9_PALM3</t>
  </si>
  <si>
    <t>A6NDG6_PGP</t>
  </si>
  <si>
    <t>A6NDU8_C5orf51</t>
  </si>
  <si>
    <t>A6NED2_RCCD1</t>
  </si>
  <si>
    <t>A6NIH7_UNC119B</t>
  </si>
  <si>
    <t>A6NK44_GLOD5</t>
  </si>
  <si>
    <t>A6NK58_LIPT2</t>
  </si>
  <si>
    <t>A6NKD9_CCDC85C</t>
  </si>
  <si>
    <t>A6NKN8_PCP4L1</t>
  </si>
  <si>
    <t>A6NLP5_TTC36</t>
  </si>
  <si>
    <t>A8MSI8_LYRM9</t>
  </si>
  <si>
    <t>A8MXV4_NUDT19</t>
  </si>
  <si>
    <t>B1AK53_ESPN</t>
  </si>
  <si>
    <t>B7ZAP0_RABGAP1L</t>
  </si>
  <si>
    <t>B7ZBB8_PPP1R3G</t>
  </si>
  <si>
    <t>C4AMC7_WASH3P</t>
  </si>
  <si>
    <t>F8WCM5_INS-IGF2</t>
  </si>
  <si>
    <t>O00124-2_UBXN8</t>
  </si>
  <si>
    <t>O00142_TK2</t>
  </si>
  <si>
    <t>O00151_PDLIM1</t>
  </si>
  <si>
    <t>O00154-4_ACOT7</t>
  </si>
  <si>
    <t>O00161-2_SNAP23</t>
  </si>
  <si>
    <t>O00170_AIP</t>
  </si>
  <si>
    <t>O00231_PSMD11</t>
  </si>
  <si>
    <t>O00232_PSMD12</t>
  </si>
  <si>
    <t>O00244_ATOX1</t>
  </si>
  <si>
    <t>O00267-2_SUPT5H</t>
  </si>
  <si>
    <t>O00273_DFFA</t>
  </si>
  <si>
    <t>O00299_CLIC1</t>
  </si>
  <si>
    <t>O00401_WASL</t>
  </si>
  <si>
    <t>O00410_IPO5</t>
  </si>
  <si>
    <t>O00429-4_DNM1L</t>
  </si>
  <si>
    <t>O00442_RTCA</t>
  </si>
  <si>
    <t>O00459_PIK3R2</t>
  </si>
  <si>
    <t>O00462_MANBA</t>
  </si>
  <si>
    <t>O00471_EXOC5</t>
  </si>
  <si>
    <t>O00479_HMGN4</t>
  </si>
  <si>
    <t>O00487_PSMD14</t>
  </si>
  <si>
    <t>O00499-6_BIN1</t>
  </si>
  <si>
    <t>O00505_KPNA3</t>
  </si>
  <si>
    <t>O00515_LAD1</t>
  </si>
  <si>
    <t>O00534_VWA5A</t>
  </si>
  <si>
    <t>O00567_NOP56</t>
  </si>
  <si>
    <t>O00571_DDX3X</t>
  </si>
  <si>
    <t>O00625_PIR</t>
  </si>
  <si>
    <t>O00629_KPNA4</t>
  </si>
  <si>
    <t>O00743_PPP6C</t>
  </si>
  <si>
    <t>O00748_CES2</t>
  </si>
  <si>
    <t>O00754_MAN2B1</t>
  </si>
  <si>
    <t>O00757_FBP2</t>
  </si>
  <si>
    <t>O00763_ACACB</t>
  </si>
  <si>
    <t>O00764_PDXK</t>
  </si>
  <si>
    <t>O14497_ARID1A</t>
  </si>
  <si>
    <t>O14545_TRAFD1</t>
  </si>
  <si>
    <t>O14561_NDUFAB1</t>
  </si>
  <si>
    <t>O14578-3_CIT</t>
  </si>
  <si>
    <t>O14579_COPE</t>
  </si>
  <si>
    <t>O14686_MLL2</t>
  </si>
  <si>
    <t>O14732-2_IMPA2</t>
  </si>
  <si>
    <t>O14734_ACOT8</t>
  </si>
  <si>
    <t>O14737_PDCD5</t>
  </si>
  <si>
    <t>O14744_PRMT5</t>
  </si>
  <si>
    <t>O14745_SLC9A3R1</t>
  </si>
  <si>
    <t>O14756_HSD17B6</t>
  </si>
  <si>
    <t>O14772_FPGT</t>
  </si>
  <si>
    <t>O14773-2_TPP1</t>
  </si>
  <si>
    <t>O14776-2_TCERG1</t>
  </si>
  <si>
    <t>O14787-2_TNPO2</t>
  </si>
  <si>
    <t>O14818_PSMA7</t>
  </si>
  <si>
    <t>O14828_SCAMP3</t>
  </si>
  <si>
    <t>O14832_PHYH</t>
  </si>
  <si>
    <t>O14841_OPLAH</t>
  </si>
  <si>
    <t>O14879_IFIT3</t>
  </si>
  <si>
    <t>O14896_IRF6</t>
  </si>
  <si>
    <t>O14907_TAX1BP3</t>
  </si>
  <si>
    <t>O14908_GIPC1</t>
  </si>
  <si>
    <t>O14929_HAT1</t>
  </si>
  <si>
    <t>O14933_UBE2L6</t>
  </si>
  <si>
    <t>O14936-3_CASK</t>
  </si>
  <si>
    <t>O14964_HGS</t>
  </si>
  <si>
    <t>O14974_PPP1R12A</t>
  </si>
  <si>
    <t>O14976_GAK</t>
  </si>
  <si>
    <t>O14979-3_HNRPDL</t>
  </si>
  <si>
    <t>O14980_XPO1</t>
  </si>
  <si>
    <t>O15020_SPTBN2</t>
  </si>
  <si>
    <t>O15021-2_MAST4</t>
  </si>
  <si>
    <t>O15067_PFAS</t>
  </si>
  <si>
    <t>O15084_ANKRD28</t>
  </si>
  <si>
    <t>O15085_ARHGEF11</t>
  </si>
  <si>
    <t>O15143_ARPC1B</t>
  </si>
  <si>
    <t>O15144_ARPC2</t>
  </si>
  <si>
    <t>O15145_ARPC3</t>
  </si>
  <si>
    <t>O15173_PGRMC2</t>
  </si>
  <si>
    <t>O15212_PFDN6</t>
  </si>
  <si>
    <t>O15217_GSTA4</t>
  </si>
  <si>
    <t>O15229-3_KMO</t>
  </si>
  <si>
    <t>O15254_ACOX3</t>
  </si>
  <si>
    <t>O15294-3_OGT</t>
  </si>
  <si>
    <t>O15305_PMM2</t>
  </si>
  <si>
    <t>O15355_PPM1G</t>
  </si>
  <si>
    <t>O15372_EIF3H</t>
  </si>
  <si>
    <t>O15379_HDAC3</t>
  </si>
  <si>
    <t>O15382_BCAT2</t>
  </si>
  <si>
    <t>O15397_IPO8</t>
  </si>
  <si>
    <t>O15400-2_STX7</t>
  </si>
  <si>
    <t>O15446_CD3EAP</t>
  </si>
  <si>
    <t>O15488-4_GYG2</t>
  </si>
  <si>
    <t>O15498_YKT6</t>
  </si>
  <si>
    <t>O15511_ARPC5</t>
  </si>
  <si>
    <t>O15541_RNF113A</t>
  </si>
  <si>
    <t>O43143_DHX15</t>
  </si>
  <si>
    <t>O43148_RNMT</t>
  </si>
  <si>
    <t>O43164-2_PJA2</t>
  </si>
  <si>
    <t>O43175_PHGDH</t>
  </si>
  <si>
    <t>O43236-5_SEPT4</t>
  </si>
  <si>
    <t>O43237_DYNC1LI2</t>
  </si>
  <si>
    <t>O43242_PSMD3</t>
  </si>
  <si>
    <t>O43252_PAPSS1</t>
  </si>
  <si>
    <t>O43290_SART1</t>
  </si>
  <si>
    <t>O43312-4_MTSS1</t>
  </si>
  <si>
    <t>O43314-2_PPIP5K2</t>
  </si>
  <si>
    <t>O43318-2_MAP3K7</t>
  </si>
  <si>
    <t>O43325_LYRM1</t>
  </si>
  <si>
    <t>O43390_HNRNPR</t>
  </si>
  <si>
    <t>O43396_TXNL1</t>
  </si>
  <si>
    <t>O43399_TPD52L2</t>
  </si>
  <si>
    <t>O43414-3_ERI3</t>
  </si>
  <si>
    <t>O43432_EIF4G3</t>
  </si>
  <si>
    <t>O43464_HTRA2</t>
  </si>
  <si>
    <t>O43491-3_EPB41L2</t>
  </si>
  <si>
    <t>O43493-2_TGOLN2</t>
  </si>
  <si>
    <t>O43566-5_RGS14</t>
  </si>
  <si>
    <t>O43592_XPOT</t>
  </si>
  <si>
    <t>O43598_DNPH1</t>
  </si>
  <si>
    <t>O43615_TIMM44</t>
  </si>
  <si>
    <t>O43617-2_TRAPPC3</t>
  </si>
  <si>
    <t>O43633_CHMP2A</t>
  </si>
  <si>
    <t>O43670-2_ZNF207</t>
  </si>
  <si>
    <t>O43678_NDUFA2</t>
  </si>
  <si>
    <t>O43681_ASNA1</t>
  </si>
  <si>
    <t>O43704_SULT1B1</t>
  </si>
  <si>
    <t>O43707_ACTN4</t>
  </si>
  <si>
    <t>O43708_GSTZ1</t>
  </si>
  <si>
    <t>O43715_TRIAP1</t>
  </si>
  <si>
    <t>O43716_GATC</t>
  </si>
  <si>
    <t>O43719_HTATSF1</t>
  </si>
  <si>
    <t>O43741_PRKAB2</t>
  </si>
  <si>
    <t>O43747_AP1G1</t>
  </si>
  <si>
    <t>O43765_SGTA</t>
  </si>
  <si>
    <t>O43766-2_LIAS</t>
  </si>
  <si>
    <t>O43768-2_ENSA</t>
  </si>
  <si>
    <t>O43776_NARS</t>
  </si>
  <si>
    <t>O43795-2_MYO1B</t>
  </si>
  <si>
    <t>O43805_SSNA1</t>
  </si>
  <si>
    <t>O43809_NUDT21</t>
  </si>
  <si>
    <t>O43813_LANCL1</t>
  </si>
  <si>
    <t>O43815-2_STRN</t>
  </si>
  <si>
    <t>O43820-4_HYAL3</t>
  </si>
  <si>
    <t>O43837_IDH3B</t>
  </si>
  <si>
    <t>O43847_NRD1</t>
  </si>
  <si>
    <t>O43852_CALU</t>
  </si>
  <si>
    <t>O43865_AHCYL1</t>
  </si>
  <si>
    <t>O43903_GAS2</t>
  </si>
  <si>
    <t>O60216_RAD21</t>
  </si>
  <si>
    <t>O60218_AKR1B10</t>
  </si>
  <si>
    <t>O60220_TIMM8A</t>
  </si>
  <si>
    <t>O60231_DHX16</t>
  </si>
  <si>
    <t>O60240_PLIN1</t>
  </si>
  <si>
    <t>O60256_PRPSAP2</t>
  </si>
  <si>
    <t>O60260-5_PARK2</t>
  </si>
  <si>
    <t>O60271-4_SPAG9</t>
  </si>
  <si>
    <t>O60341_KDM1A</t>
  </si>
  <si>
    <t>O60343-2_TBC1D4</t>
  </si>
  <si>
    <t>O60443_DFNA5</t>
  </si>
  <si>
    <t>O60493_SNX3</t>
  </si>
  <si>
    <t>O60504-2_SORBS3</t>
  </si>
  <si>
    <t>O60506-2_SYNCRIP</t>
  </si>
  <si>
    <t>O60518_RANBP6</t>
  </si>
  <si>
    <t>O60547-2_GMDS</t>
  </si>
  <si>
    <t>O60551_NMT2</t>
  </si>
  <si>
    <t>O60613_SEP15</t>
  </si>
  <si>
    <t>O60645-3_EXOC3</t>
  </si>
  <si>
    <t>O60664-4_PLIN3</t>
  </si>
  <si>
    <t>O60671_RAD1</t>
  </si>
  <si>
    <t>O60701_UGDH</t>
  </si>
  <si>
    <t>O60716-5_CTNND1</t>
  </si>
  <si>
    <t>O60749_SNX2</t>
  </si>
  <si>
    <t>O60763_USO1</t>
  </si>
  <si>
    <t>O60826_CCDC22</t>
  </si>
  <si>
    <t>O60828-2_PQBP1</t>
  </si>
  <si>
    <t>O60841_EIF5B</t>
  </si>
  <si>
    <t>O60869_EDF1</t>
  </si>
  <si>
    <t>O60884_DNAJA2</t>
  </si>
  <si>
    <t>O60885_BRD4</t>
  </si>
  <si>
    <t>O60925_PFDN1</t>
  </si>
  <si>
    <t>O60927_PPP1R11</t>
  </si>
  <si>
    <t>O60934_NBN</t>
  </si>
  <si>
    <t>O75052-3_NOS1AP</t>
  </si>
  <si>
    <t>O75081-2_CBFA2T3</t>
  </si>
  <si>
    <t>O75083_WDR1</t>
  </si>
  <si>
    <t>O75116_ROCK2</t>
  </si>
  <si>
    <t>O75131_CPNE3</t>
  </si>
  <si>
    <t>O75146_HIP1R</t>
  </si>
  <si>
    <t>O75150_RNF40</t>
  </si>
  <si>
    <t>O75151_PHF2</t>
  </si>
  <si>
    <t>O75155-2_CAND2</t>
  </si>
  <si>
    <t>O75165_DNAJC13</t>
  </si>
  <si>
    <t>O75170-4_PPP6R2</t>
  </si>
  <si>
    <t>O75175_CNOT3</t>
  </si>
  <si>
    <t>O75177_SS18L1</t>
  </si>
  <si>
    <t>O75179-6_ANKRD17</t>
  </si>
  <si>
    <t>O75191_XYLB</t>
  </si>
  <si>
    <t>O75208_COQ9</t>
  </si>
  <si>
    <t>O75223_GGCT</t>
  </si>
  <si>
    <t>O75323_GBAS</t>
  </si>
  <si>
    <t>O75340_PDCD6</t>
  </si>
  <si>
    <t>O75347_TBCA</t>
  </si>
  <si>
    <t>O75348_ATP6V1G1</t>
  </si>
  <si>
    <t>O75351_VPS4B</t>
  </si>
  <si>
    <t>O75356_ENTPD5</t>
  </si>
  <si>
    <t>O75368_SH3BGRL</t>
  </si>
  <si>
    <t>O75369-8_FLNB</t>
  </si>
  <si>
    <t>O75376_NCOR1</t>
  </si>
  <si>
    <t>O75380_NDUFS6</t>
  </si>
  <si>
    <t>O75396_SEC22B</t>
  </si>
  <si>
    <t>O75400-2_PRPF40A</t>
  </si>
  <si>
    <t>O75414-2_NME6</t>
  </si>
  <si>
    <t>O75436_VPS26A</t>
  </si>
  <si>
    <t>O75439_PMPCB</t>
  </si>
  <si>
    <t>O75452_RDH16</t>
  </si>
  <si>
    <t>O75475_PSIP1</t>
  </si>
  <si>
    <t>O75503_CLN5</t>
  </si>
  <si>
    <t>O75506_HSBP1</t>
  </si>
  <si>
    <t>O75521-2_ECI2</t>
  </si>
  <si>
    <t>O75531_BANF1</t>
  </si>
  <si>
    <t>O75533_SF3B1</t>
  </si>
  <si>
    <t>O75534_CSDE1</t>
  </si>
  <si>
    <t>O75570_MTRF1</t>
  </si>
  <si>
    <t>O75600_GCAT</t>
  </si>
  <si>
    <t>O75607_NPM3</t>
  </si>
  <si>
    <t>O75608-2_LYPLA1</t>
  </si>
  <si>
    <t>O75629_CREG1</t>
  </si>
  <si>
    <t>O75643_SNRNP200</t>
  </si>
  <si>
    <t>O75648_TRMU</t>
  </si>
  <si>
    <t>O75663_TIPRL</t>
  </si>
  <si>
    <t>O75688_PPM1B</t>
  </si>
  <si>
    <t>O75695_RP2</t>
  </si>
  <si>
    <t>O75764_TCEA3</t>
  </si>
  <si>
    <t>O75818-2_RPP40</t>
  </si>
  <si>
    <t>O75821_EIF3G</t>
  </si>
  <si>
    <t>O75822_EIF3J</t>
  </si>
  <si>
    <t>O75874_IDH1</t>
  </si>
  <si>
    <t>O75882-3_ATRN</t>
  </si>
  <si>
    <t>O75884_RBBP9</t>
  </si>
  <si>
    <t>O75886_STAM2</t>
  </si>
  <si>
    <t>O75891_ALDH1L1</t>
  </si>
  <si>
    <t>O75896_TUSC2</t>
  </si>
  <si>
    <t>O75909_CCNK</t>
  </si>
  <si>
    <t>O75934_BCAS2</t>
  </si>
  <si>
    <t>O75935-3_DCTN3</t>
  </si>
  <si>
    <t>O75936_BBOX1</t>
  </si>
  <si>
    <t>O75937_DNAJC8</t>
  </si>
  <si>
    <t>O75940_SMNDC1</t>
  </si>
  <si>
    <t>O75970-3_MPDZ</t>
  </si>
  <si>
    <t>O75976_CPD</t>
  </si>
  <si>
    <t>O76003_GLRX3</t>
  </si>
  <si>
    <t>O76031_CLPX</t>
  </si>
  <si>
    <t>O76054_SEC14L2</t>
  </si>
  <si>
    <t>O76071_CIAO1</t>
  </si>
  <si>
    <t>O76094_SRP72</t>
  </si>
  <si>
    <t>O94760_DDAH1</t>
  </si>
  <si>
    <t>O94763_URI1</t>
  </si>
  <si>
    <t>O94776_MTA2</t>
  </si>
  <si>
    <t>O94788-4_ALDH1A2</t>
  </si>
  <si>
    <t>O94804_STK10</t>
  </si>
  <si>
    <t>O94811_TPPP</t>
  </si>
  <si>
    <t>O94817_ATG12</t>
  </si>
  <si>
    <t>O94819_KBTBD11</t>
  </si>
  <si>
    <t>O94826_TOMM70A</t>
  </si>
  <si>
    <t>O94829_IPO13</t>
  </si>
  <si>
    <t>O94851-5_MICAL2</t>
  </si>
  <si>
    <t>O94855_SEC24D</t>
  </si>
  <si>
    <t>O94874_UFL1</t>
  </si>
  <si>
    <t>O94875-12_SORBS2</t>
  </si>
  <si>
    <t>O94887_FARP2</t>
  </si>
  <si>
    <t>O94888_UBXN7</t>
  </si>
  <si>
    <t>O94903_PROSC</t>
  </si>
  <si>
    <t>O94929-2_ABLIM3</t>
  </si>
  <si>
    <t>O94966-7_USP19</t>
  </si>
  <si>
    <t>O94973-2_AP2A2</t>
  </si>
  <si>
    <t>O94973_AP2A2</t>
  </si>
  <si>
    <t>O94979-3_SEC31A</t>
  </si>
  <si>
    <t>O94992_HEXIM1</t>
  </si>
  <si>
    <t>O95081_AGFG2</t>
  </si>
  <si>
    <t>O95104-3_SCAF4</t>
  </si>
  <si>
    <t>O95154_AKR7A3</t>
  </si>
  <si>
    <t>O95155-3_UBE4B</t>
  </si>
  <si>
    <t>O95163_IKBKAP</t>
  </si>
  <si>
    <t>O95202_LETM1</t>
  </si>
  <si>
    <t>O95210_STBD1</t>
  </si>
  <si>
    <t>O95218-2_ZRANB2</t>
  </si>
  <si>
    <t>O95219_SNX4</t>
  </si>
  <si>
    <t>O95232_LUC7L3</t>
  </si>
  <si>
    <t>O95243-3_MBD4</t>
  </si>
  <si>
    <t>O95251-2_KAT7</t>
  </si>
  <si>
    <t>O95278-7_EPM2A</t>
  </si>
  <si>
    <t>O95292_VAPB</t>
  </si>
  <si>
    <t>O95336_PGLS</t>
  </si>
  <si>
    <t>O95340_PAPSS2</t>
  </si>
  <si>
    <t>O95352_ATG7</t>
  </si>
  <si>
    <t>O95363_FARS2</t>
  </si>
  <si>
    <t>O95372_LYPLA2</t>
  </si>
  <si>
    <t>O95373_IPO7</t>
  </si>
  <si>
    <t>O95376_ARIH2</t>
  </si>
  <si>
    <t>O95394_PGM3</t>
  </si>
  <si>
    <t>O95396_MOCS3</t>
  </si>
  <si>
    <t>O95399_UTS2</t>
  </si>
  <si>
    <t>O95400_CD2BP2</t>
  </si>
  <si>
    <t>O95425-2_SVIL</t>
  </si>
  <si>
    <t>O95433_AHSA1</t>
  </si>
  <si>
    <t>O95453-2_PARN</t>
  </si>
  <si>
    <t>O95456-2_PSMG1</t>
  </si>
  <si>
    <t>O95479_H6PD</t>
  </si>
  <si>
    <t>O95486_SEC24A</t>
  </si>
  <si>
    <t>O95487-2_SEC24B</t>
  </si>
  <si>
    <t>O95497_VNN1</t>
  </si>
  <si>
    <t>O95544_NADK</t>
  </si>
  <si>
    <t>O95551-3_TDP2</t>
  </si>
  <si>
    <t>O95571_ETHE1</t>
  </si>
  <si>
    <t>O95628-5_CNOT4</t>
  </si>
  <si>
    <t>O95630_STAMBP</t>
  </si>
  <si>
    <t>O95671-2_ASMTL</t>
  </si>
  <si>
    <t>O95684-2_FGFR1OP</t>
  </si>
  <si>
    <t>O95721_SNAP29</t>
  </si>
  <si>
    <t>O95747_OXSR1</t>
  </si>
  <si>
    <t>O95757_HSPA4L</t>
  </si>
  <si>
    <t>O95777_NAA38</t>
  </si>
  <si>
    <t>O95782-2_AP2A1</t>
  </si>
  <si>
    <t>O95817_BAG3</t>
  </si>
  <si>
    <t>O95822_MLYCD</t>
  </si>
  <si>
    <t>O95825_CRYZL1</t>
  </si>
  <si>
    <t>O95831-3_AIFM1</t>
  </si>
  <si>
    <t>O95834_EML2</t>
  </si>
  <si>
    <t>O95865_DDAH2</t>
  </si>
  <si>
    <t>O95881_TXNDC12</t>
  </si>
  <si>
    <t>O95954_FTCD</t>
  </si>
  <si>
    <t>O95989_NUDT3</t>
  </si>
  <si>
    <t>O95999_BCL10</t>
  </si>
  <si>
    <t>O96007_MOCS2</t>
  </si>
  <si>
    <t>O96019_ACTL6A</t>
  </si>
  <si>
    <t>O96033_MOCS2</t>
  </si>
  <si>
    <t>P00325_ADH1B</t>
  </si>
  <si>
    <t>P00326_ADH1C</t>
  </si>
  <si>
    <t>P00338_LDHA</t>
  </si>
  <si>
    <t>P00352_ALDH1A1</t>
  </si>
  <si>
    <t>P00374_DHFR</t>
  </si>
  <si>
    <t>P00387-2_CYB5R3</t>
  </si>
  <si>
    <t>P00390-2_GSR</t>
  </si>
  <si>
    <t>P00439_PAH</t>
  </si>
  <si>
    <t>P00450_CP</t>
  </si>
  <si>
    <t>P00480_OTC</t>
  </si>
  <si>
    <t>P00491_PNP</t>
  </si>
  <si>
    <t>P00492_HPRT1</t>
  </si>
  <si>
    <t>P00505_GOT2</t>
  </si>
  <si>
    <t>P00558_PGK1</t>
  </si>
  <si>
    <t>P00568_AK1</t>
  </si>
  <si>
    <t>P00734_F2</t>
  </si>
  <si>
    <t>P00736_C1R</t>
  </si>
  <si>
    <t>P00738_HP</t>
  </si>
  <si>
    <t>P00740_F9</t>
  </si>
  <si>
    <t>P00747_PLG</t>
  </si>
  <si>
    <t>P00748_F12</t>
  </si>
  <si>
    <t>P00966_ASS1</t>
  </si>
  <si>
    <t>P01009_SERPINA1</t>
  </si>
  <si>
    <t>P01011_SERPINA3</t>
  </si>
  <si>
    <t>P01019_AGT</t>
  </si>
  <si>
    <t>P01023_A2M</t>
  </si>
  <si>
    <t>P01024_C3</t>
  </si>
  <si>
    <t>P01040_CSTA</t>
  </si>
  <si>
    <t>P01042-2_KNG1</t>
  </si>
  <si>
    <t>P01111_NRAS</t>
  </si>
  <si>
    <t>P01116-2_KRAS</t>
  </si>
  <si>
    <t>P01743_</t>
  </si>
  <si>
    <t>P01765_</t>
  </si>
  <si>
    <t>P01834_IGKC</t>
  </si>
  <si>
    <t>P01857_IGHG1</t>
  </si>
  <si>
    <t>P01859_IGHG2</t>
  </si>
  <si>
    <t>P01860_IGHG3</t>
  </si>
  <si>
    <t>P01871_IGHM</t>
  </si>
  <si>
    <t>P01876_IGHA1</t>
  </si>
  <si>
    <t>P01877_IGHA2</t>
  </si>
  <si>
    <t>P02462-2_COL4A1</t>
  </si>
  <si>
    <t>P02533_KRT14</t>
  </si>
  <si>
    <t>P02538_KRT6A</t>
  </si>
  <si>
    <t>P02545_LMNA</t>
  </si>
  <si>
    <t>P02647_APOA1</t>
  </si>
  <si>
    <t>P02649_APOE</t>
  </si>
  <si>
    <t>P02652_APOA2</t>
  </si>
  <si>
    <t>P02656_APOC3</t>
  </si>
  <si>
    <t>P02671-2_FGA</t>
  </si>
  <si>
    <t>P02675_FGB</t>
  </si>
  <si>
    <t>P02679-2_FGG</t>
  </si>
  <si>
    <t>P02743_APCS</t>
  </si>
  <si>
    <t>P02748_C9</t>
  </si>
  <si>
    <t>P02749_APOH</t>
  </si>
  <si>
    <t>P02750_LRG1</t>
  </si>
  <si>
    <t>P02751-12_FN1</t>
  </si>
  <si>
    <t>P02760_AMBP</t>
  </si>
  <si>
    <t>P02763_ORM1</t>
  </si>
  <si>
    <t>P02765_AHSG</t>
  </si>
  <si>
    <t>P02766_TTR</t>
  </si>
  <si>
    <t>P02771_AFP</t>
  </si>
  <si>
    <t>P02774_GC</t>
  </si>
  <si>
    <t>P02790_HPX</t>
  </si>
  <si>
    <t>P02792_FTL</t>
  </si>
  <si>
    <t>P02794_FTH1</t>
  </si>
  <si>
    <t>P02795_MT2A</t>
  </si>
  <si>
    <t>P03950_ANG</t>
  </si>
  <si>
    <t>P04003_C4BPA</t>
  </si>
  <si>
    <t>P04004_VTN</t>
  </si>
  <si>
    <t>P04066_FUCA1</t>
  </si>
  <si>
    <t>P04080_CSTB</t>
  </si>
  <si>
    <t>P04083_ANXA1</t>
  </si>
  <si>
    <t>P04114_APOB</t>
  </si>
  <si>
    <t>P04150-7_NR3C1</t>
  </si>
  <si>
    <t>P04179_SOD2</t>
  </si>
  <si>
    <t>P04181_OAT</t>
  </si>
  <si>
    <t>P04196_HRG</t>
  </si>
  <si>
    <t>P04206_</t>
  </si>
  <si>
    <t>P04217-2_A1BG</t>
  </si>
  <si>
    <t>P04217_A1BG</t>
  </si>
  <si>
    <t>P04264_KRT1</t>
  </si>
  <si>
    <t>P04406-2_GAPDH</t>
  </si>
  <si>
    <t>P04406_GAPDH</t>
  </si>
  <si>
    <t>P04424_ASL</t>
  </si>
  <si>
    <t>P04632_CAPNS1</t>
  </si>
  <si>
    <t>P04731_MT1A</t>
  </si>
  <si>
    <t>P04732_MT1E</t>
  </si>
  <si>
    <t>P04733_MT1F</t>
  </si>
  <si>
    <t>P04792_HSPB1</t>
  </si>
  <si>
    <t>P04899_GNAI2</t>
  </si>
  <si>
    <t>P05062_ALDOB</t>
  </si>
  <si>
    <t>P05089_ARG1</t>
  </si>
  <si>
    <t>P05090_APOD</t>
  </si>
  <si>
    <t>P05091_ALDH2</t>
  </si>
  <si>
    <t>P05109_S100A8</t>
  </si>
  <si>
    <t>P05114_HMGN1</t>
  </si>
  <si>
    <t>P05141_SLC25A5</t>
  </si>
  <si>
    <t>P05154_SERPINA5</t>
  </si>
  <si>
    <t>P05155_SERPING1</t>
  </si>
  <si>
    <t>P05161_ISG15</t>
  </si>
  <si>
    <t>P05164-2_MPO</t>
  </si>
  <si>
    <t>P05165_PCCA</t>
  </si>
  <si>
    <t>P05166_PCCB</t>
  </si>
  <si>
    <t>P05177_CYP1A2</t>
  </si>
  <si>
    <t>P05181_CYP2E1</t>
  </si>
  <si>
    <t>P05198_EIF2S1</t>
  </si>
  <si>
    <t>P05204_HMGN2</t>
  </si>
  <si>
    <t>P05386_RPLP1</t>
  </si>
  <si>
    <t>P05387_RPLP2</t>
  </si>
  <si>
    <t>P05455_SSB</t>
  </si>
  <si>
    <t>P05543_SERPINA7</t>
  </si>
  <si>
    <t>P05546_SERPIND1</t>
  </si>
  <si>
    <t>P05783_KRT18</t>
  </si>
  <si>
    <t>P05787_KRT8</t>
  </si>
  <si>
    <t>P05976-2_MYL1</t>
  </si>
  <si>
    <t>P06132_UROD</t>
  </si>
  <si>
    <t>P06280_GLA</t>
  </si>
  <si>
    <t>P06576_ATP5B</t>
  </si>
  <si>
    <t>P06702_S100A9</t>
  </si>
  <si>
    <t>P06727_APOA4</t>
  </si>
  <si>
    <t>P06730_EIF4E</t>
  </si>
  <si>
    <t>P06733_ENO1</t>
  </si>
  <si>
    <t>P06737-2_PYGL</t>
  </si>
  <si>
    <t>P06744_GPI</t>
  </si>
  <si>
    <t>P06748_NPM1</t>
  </si>
  <si>
    <t>P06753-2_TPM3</t>
  </si>
  <si>
    <t>P06753-5_TPM3</t>
  </si>
  <si>
    <t>P07099_EPHX1</t>
  </si>
  <si>
    <t>P07108_DBI</t>
  </si>
  <si>
    <t>P07148_FABP1</t>
  </si>
  <si>
    <t>P07195_LDHB</t>
  </si>
  <si>
    <t>P07203_GPX1</t>
  </si>
  <si>
    <t>P07237_P4HB</t>
  </si>
  <si>
    <t>P07305-2_H1F0</t>
  </si>
  <si>
    <t>P07307-3_ASGR2</t>
  </si>
  <si>
    <t>P07311_ACYP1</t>
  </si>
  <si>
    <t>P07327_ADH1A</t>
  </si>
  <si>
    <t>P07357_C8A</t>
  </si>
  <si>
    <t>P07360_C8G</t>
  </si>
  <si>
    <t>P07384_CAPN1</t>
  </si>
  <si>
    <t>P07438_MT1B</t>
  </si>
  <si>
    <t>P07602_PSAP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</si>
  <si>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</si>
  <si>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</si>
  <si>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</si>
  <si>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</si>
  <si>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</si>
  <si>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</si>
  <si>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</si>
  <si>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</si>
  <si>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</si>
  <si>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P07947_YES1</t>
  </si>
  <si>
    <t>P07954-2_FH</t>
  </si>
  <si>
    <t>P07996_THBS1</t>
  </si>
  <si>
    <t>P08107_HSPA1A</t>
  </si>
  <si>
    <t>P08123_COL1A2</t>
  </si>
  <si>
    <t>P08133-2_ANXA6</t>
  </si>
  <si>
    <t>P08185_SERPINA6</t>
  </si>
  <si>
    <t>P08236_GUSB</t>
  </si>
  <si>
    <t>P08238_HSP90AB1</t>
  </si>
  <si>
    <t>P08240-2_SRPR</t>
  </si>
  <si>
    <t>P08319_ADH4</t>
  </si>
  <si>
    <t>P08519_LPA</t>
  </si>
  <si>
    <t>P08559-3_PDHA1</t>
  </si>
  <si>
    <t>P08571_CD14</t>
  </si>
  <si>
    <t>P08579_SNRPB2</t>
  </si>
  <si>
    <t>P08603_CFH</t>
  </si>
  <si>
    <t>P08621-2_SNRNP70</t>
  </si>
  <si>
    <t>P08651-2_NFIC</t>
  </si>
  <si>
    <t>P08670_VIM</t>
  </si>
  <si>
    <t>P08684_CYP3A4</t>
  </si>
  <si>
    <t>P08697_SERPINF2</t>
  </si>
  <si>
    <t>P08727_KRT19</t>
  </si>
  <si>
    <t>P08729_KRT7</t>
  </si>
  <si>
    <t>P09012_SNRPA</t>
  </si>
  <si>
    <t>P09110_ACAA1</t>
  </si>
  <si>
    <t>P09132_SRP19</t>
  </si>
  <si>
    <t>P09210_GSTA2</t>
  </si>
  <si>
    <t>P09234_SNRPC</t>
  </si>
  <si>
    <t>P09327_VIL1</t>
  </si>
  <si>
    <t>P09382_LGALS1</t>
  </si>
  <si>
    <t>P09417_QDPR</t>
  </si>
  <si>
    <t>P09429_HMGB1</t>
  </si>
  <si>
    <t>P09467_FBP1</t>
  </si>
  <si>
    <t>P09493-3_TPM1</t>
  </si>
  <si>
    <t>P09496-2_CLTA</t>
  </si>
  <si>
    <t>P09497-2_CLTB</t>
  </si>
  <si>
    <t>P09525_ANXA4</t>
  </si>
  <si>
    <t>P09543-2_CNP</t>
  </si>
  <si>
    <t>P09601_HMOX1</t>
  </si>
  <si>
    <t>P09622_DLD</t>
  </si>
  <si>
    <t>P09651-3_HNRNPA1</t>
  </si>
  <si>
    <t>P09661_SNRPA1</t>
  </si>
  <si>
    <t>P09668_CTSH</t>
  </si>
  <si>
    <t>P09871_C1S</t>
  </si>
  <si>
    <t>P09874_PARP1</t>
  </si>
  <si>
    <t>P09913_IFIT2</t>
  </si>
  <si>
    <t>P09960_LTA4H</t>
  </si>
  <si>
    <t>P09972_ALDOC</t>
  </si>
  <si>
    <t>P0C024_NUDT7</t>
  </si>
  <si>
    <t>P0C0L5_C4B</t>
  </si>
  <si>
    <t>P0C7P0_CISD3</t>
  </si>
  <si>
    <t>P0C7U0_ELFN1</t>
  </si>
  <si>
    <t>P0CG05_IGLC2</t>
  </si>
  <si>
    <t>P0CG12_CHTF8</t>
  </si>
  <si>
    <t>P0CW22_RPS17L</t>
  </si>
  <si>
    <t>P0DJI8_SAA1</t>
  </si>
  <si>
    <t>P10109_FDX1</t>
  </si>
  <si>
    <t>P10153_RNASE2</t>
  </si>
  <si>
    <t>P10155-3_TROVE2</t>
  </si>
  <si>
    <t>P10253_GAA</t>
  </si>
  <si>
    <t>P10412_HIST1H1E</t>
  </si>
  <si>
    <t>P10515_DLAT</t>
  </si>
  <si>
    <t>P10586-2_PTPRF</t>
  </si>
  <si>
    <t>P10606_COX5B</t>
  </si>
  <si>
    <t>P10619_CTSA</t>
  </si>
  <si>
    <t>P10632-2_CYP2C8</t>
  </si>
  <si>
    <t>P10644_PRKAR1A</t>
  </si>
  <si>
    <t>P10746_UROS</t>
  </si>
  <si>
    <t>P10768_ESD</t>
  </si>
  <si>
    <t>P10809_HSPD1</t>
  </si>
  <si>
    <t>P10909-4_CLU</t>
  </si>
  <si>
    <t>P11021_HSPA5</t>
  </si>
  <si>
    <t>P11047_LAMC1</t>
  </si>
  <si>
    <t>P11142_HSPA8</t>
  </si>
  <si>
    <t>P11171-4_EPB41</t>
  </si>
  <si>
    <t>P11172_UMPS</t>
  </si>
  <si>
    <t>P11177-3_PDHB</t>
  </si>
  <si>
    <t>P11182_DBT</t>
  </si>
  <si>
    <t>P11216_PYGB</t>
  </si>
  <si>
    <t>P11226_MBL2</t>
  </si>
  <si>
    <t>P11245_NAT2</t>
  </si>
  <si>
    <t>P11277-3_SPTB</t>
  </si>
  <si>
    <t>P11310_ACADM</t>
  </si>
  <si>
    <t>P11441_UBL4A</t>
  </si>
  <si>
    <t>P11498_PC</t>
  </si>
  <si>
    <t>P11532-3_DMD</t>
  </si>
  <si>
    <t>P11586_MTHFD1</t>
  </si>
  <si>
    <t>P11712_CYP2C9</t>
  </si>
  <si>
    <t>P11717_IGF2R</t>
  </si>
  <si>
    <t>P11766_ADH5</t>
  </si>
  <si>
    <t>P11908_PRPS2</t>
  </si>
  <si>
    <t>P11940-2_PABPC1</t>
  </si>
  <si>
    <t>P12004_PCNA</t>
  </si>
  <si>
    <t>P12270_TPR</t>
  </si>
  <si>
    <t>P12694_BCKDHA</t>
  </si>
  <si>
    <t>P12724_RNASE3</t>
  </si>
  <si>
    <t>P12814_ACTN1</t>
  </si>
  <si>
    <t>P12955_PEPD</t>
  </si>
  <si>
    <t>P12956_XRCC6</t>
  </si>
  <si>
    <t>P13010_XRCC5</t>
  </si>
  <si>
    <t>P13073_COX4I1</t>
  </si>
  <si>
    <t>P13196_ALAS1</t>
  </si>
  <si>
    <t>P13284_IFI30</t>
  </si>
  <si>
    <t>P13489_RNH1</t>
  </si>
  <si>
    <t>P13639_EEF2</t>
  </si>
  <si>
    <t>P13640-2_MT1G</t>
  </si>
  <si>
    <t>P13640_MT1G</t>
  </si>
  <si>
    <t>P13647_KRT5</t>
  </si>
  <si>
    <t>P13667_PDIA4</t>
  </si>
  <si>
    <t>P13671_C6</t>
  </si>
  <si>
    <t>P13674_P4HA1</t>
  </si>
  <si>
    <t>P13693_TPT1</t>
  </si>
  <si>
    <t>P13796_LCP1</t>
  </si>
  <si>
    <t>P13797_PLS3</t>
  </si>
  <si>
    <t>P13798_APEH</t>
  </si>
  <si>
    <t>P13804_ETFA</t>
  </si>
  <si>
    <t>P13861_PRKAR2A</t>
  </si>
  <si>
    <t>P13929_ENO3</t>
  </si>
  <si>
    <t>P13984_GTF2F2</t>
  </si>
  <si>
    <t>P14174_MIF</t>
  </si>
  <si>
    <t>P14314-2_PRKCSH</t>
  </si>
  <si>
    <t>P14317_HCLS1</t>
  </si>
  <si>
    <t>P14324-2_FDPS</t>
  </si>
  <si>
    <t>P14550_AKR1A1</t>
  </si>
  <si>
    <t>P14618_PKM</t>
  </si>
  <si>
    <t>P14621_ACYP2</t>
  </si>
  <si>
    <t>P14625_HSP90B1</t>
  </si>
  <si>
    <t>P14735_IDE</t>
  </si>
  <si>
    <t>P14854_COX6B1</t>
  </si>
  <si>
    <t>P14866_HNRNPL</t>
  </si>
  <si>
    <t>P14868_DARS</t>
  </si>
  <si>
    <t>P14920_DAO</t>
  </si>
  <si>
    <t>P14923_JUP</t>
  </si>
  <si>
    <t>P15104_GLUL</t>
  </si>
  <si>
    <t>P15121_AKR1B1</t>
  </si>
  <si>
    <t>P15144_ANPEP</t>
  </si>
  <si>
    <t>P15170-2_GSPT1</t>
  </si>
  <si>
    <t>P15289-2_ARSA</t>
  </si>
  <si>
    <t>P15289_ARSA</t>
  </si>
  <si>
    <t>P15311_EZR</t>
  </si>
  <si>
    <t>P15374_UCHL3</t>
  </si>
  <si>
    <t>P15428_HPGD</t>
  </si>
  <si>
    <t>P15531_NME1</t>
  </si>
  <si>
    <t>P15735-2_PHKG2</t>
  </si>
  <si>
    <t>P15848_ARSB</t>
  </si>
  <si>
    <t>P15924_DSP</t>
  </si>
  <si>
    <t>P15927_RPA2</t>
  </si>
  <si>
    <t>P16118_PFKFB1</t>
  </si>
  <si>
    <t>P16152_CBR1</t>
  </si>
  <si>
    <t>P16219_ACADS</t>
  </si>
  <si>
    <t>P16220-3_CREB1</t>
  </si>
  <si>
    <t>P16278-3_GLB1</t>
  </si>
  <si>
    <t>P16298-3_PPP3CB</t>
  </si>
  <si>
    <t>P16333_NCK1</t>
  </si>
  <si>
    <t>P16383-2_GCFC2</t>
  </si>
  <si>
    <t>P16401_HIST1H1B</t>
  </si>
  <si>
    <t>P16435_POR</t>
  </si>
  <si>
    <t>P16455_MGMT</t>
  </si>
  <si>
    <t>P16662_UGT2B7</t>
  </si>
  <si>
    <t>P16885_PLCG2</t>
  </si>
  <si>
    <t>P16930_FAH</t>
  </si>
  <si>
    <t>P16949_STMN1</t>
  </si>
  <si>
    <t>P16989-2_YBX3</t>
  </si>
  <si>
    <t>P17029_ZKSCAN1</t>
  </si>
  <si>
    <t>P17050_NAGA</t>
  </si>
  <si>
    <t>P17066_HSPA6</t>
  </si>
  <si>
    <t>P17174_GOT1</t>
  </si>
  <si>
    <t>P17516_AKR1C4</t>
  </si>
  <si>
    <t>P17544-5_ATF7</t>
  </si>
  <si>
    <t>P17612_PRKACA</t>
  </si>
  <si>
    <t>P17655_CAPN2</t>
  </si>
  <si>
    <t>P17735_TAT</t>
  </si>
  <si>
    <t>P17812_CTPS1</t>
  </si>
  <si>
    <t>P17858_PFKL</t>
  </si>
  <si>
    <t>P17900_GM2A</t>
  </si>
  <si>
    <t>P17931_LGALS3</t>
  </si>
  <si>
    <t>P17987_TCP1</t>
  </si>
  <si>
    <t>P18065_IGFBP2</t>
  </si>
  <si>
    <t>P18206-2_VCL</t>
  </si>
  <si>
    <t>P18283_GPX2</t>
  </si>
  <si>
    <t>P18440_NAT1</t>
  </si>
  <si>
    <t>P18510-4_IL1RN</t>
  </si>
  <si>
    <t>P18583-2_SON</t>
  </si>
  <si>
    <t>P18621-2_RPL17</t>
  </si>
  <si>
    <t>P18669_PGAM1</t>
  </si>
  <si>
    <t>P18827_SDC1</t>
  </si>
  <si>
    <t>P18859_ATP5J</t>
  </si>
  <si>
    <t>P19105_MYL12A</t>
  </si>
  <si>
    <t>P19174_PLCG1</t>
  </si>
  <si>
    <t>P19338_NCL</t>
  </si>
  <si>
    <t>P19388_POLR2E</t>
  </si>
  <si>
    <t>P19404_NDUFV2</t>
  </si>
  <si>
    <t>P19525-2_EIF2AK2</t>
  </si>
  <si>
    <t>P19623_SRM</t>
  </si>
  <si>
    <t>P19652_ORM2</t>
  </si>
  <si>
    <t>P19784_CSNK2A2</t>
  </si>
  <si>
    <t>P19827_ITIH1</t>
  </si>
  <si>
    <t>P19838_NFKB1</t>
  </si>
  <si>
    <t>P19971_TYMP</t>
  </si>
  <si>
    <t>P20042_EIF2S2</t>
  </si>
  <si>
    <t>P20132_SDS</t>
  </si>
  <si>
    <t>P20290_BTF3</t>
  </si>
  <si>
    <t>P20338_RAB4A</t>
  </si>
  <si>
    <t>P20340-2_RAB6A</t>
  </si>
  <si>
    <t>P20585_MSH3</t>
  </si>
  <si>
    <t>P20591_MX1</t>
  </si>
  <si>
    <t>P20618_PSMB1</t>
  </si>
  <si>
    <t>P20674_COX5A</t>
  </si>
  <si>
    <t>P20700_LMNB1</t>
  </si>
  <si>
    <t>P20711-3_DDC</t>
  </si>
  <si>
    <t>P20810-5_CAST</t>
  </si>
  <si>
    <t>P20810-6_CAST</t>
  </si>
  <si>
    <t>P20823-3_HNF1A</t>
  </si>
  <si>
    <t>P20930_FLG</t>
  </si>
  <si>
    <t>P20933_AGA</t>
  </si>
  <si>
    <t>P20936-2_RASA1</t>
  </si>
  <si>
    <t>P20962_PTMS</t>
  </si>
  <si>
    <t>P21266_GSTM3</t>
  </si>
  <si>
    <t>P21281_ATP6V1B2</t>
  </si>
  <si>
    <t>P21283_ATP6V1C1</t>
  </si>
  <si>
    <t>P21291_CSRP1</t>
  </si>
  <si>
    <t>P21399_ACO1</t>
  </si>
  <si>
    <t>P21549_AGXT</t>
  </si>
  <si>
    <t>P21695-2_GPD1</t>
  </si>
  <si>
    <t>P21912_SDHB</t>
  </si>
  <si>
    <t>P21953_BCKDHB</t>
  </si>
  <si>
    <t>P21964-2_COMT</t>
  </si>
  <si>
    <t>P22033_MUT</t>
  </si>
  <si>
    <t>P22059_OSBP</t>
  </si>
  <si>
    <t>P22061_PCMT1</t>
  </si>
  <si>
    <t>P22102_GART</t>
  </si>
  <si>
    <t>P22234_PAICS</t>
  </si>
  <si>
    <t>P22307-2_SCP2</t>
  </si>
  <si>
    <t>P22307_SCP2</t>
  </si>
  <si>
    <t>P22314_UBA1</t>
  </si>
  <si>
    <t>P22392-2_NME2</t>
  </si>
  <si>
    <t>P22570_FDXR</t>
  </si>
  <si>
    <t>P22626_HNRNPA2B1</t>
  </si>
  <si>
    <t>P22670_RFX1</t>
  </si>
  <si>
    <t>P22694-4_PRKACB</t>
  </si>
  <si>
    <t>P22830_FECH</t>
  </si>
  <si>
    <t>P23141-3_CES1</t>
  </si>
  <si>
    <t>P23142-3_FBLN1</t>
  </si>
  <si>
    <t>P23193_TCEA1</t>
  </si>
  <si>
    <t>P23246_SFPQ</t>
  </si>
  <si>
    <t>P23284_PPIB</t>
  </si>
  <si>
    <t>P23368_ME2</t>
  </si>
  <si>
    <t>P23378_GLDC</t>
  </si>
  <si>
    <t>P23381_WARS</t>
  </si>
  <si>
    <t>P23396_RPS3</t>
  </si>
  <si>
    <t>P23409_MYF6</t>
  </si>
  <si>
    <t>P23434_GCSH</t>
  </si>
  <si>
    <t>P23497_SP100</t>
  </si>
  <si>
    <t>P23508_MCC</t>
  </si>
  <si>
    <t>P23526_AHCY</t>
  </si>
  <si>
    <t>P23528_CFL1</t>
  </si>
  <si>
    <t>P23588_EIF4B</t>
  </si>
  <si>
    <t>P23786_CPT2</t>
  </si>
  <si>
    <t>P23919_DTYMK</t>
  </si>
  <si>
    <t>P23921_RRM1</t>
  </si>
  <si>
    <t>P24158_PRTN3</t>
  </si>
  <si>
    <t>P24298_GPT</t>
  </si>
  <si>
    <t>P24534_EEF1B2</t>
  </si>
  <si>
    <t>P24666_ACP1</t>
  </si>
  <si>
    <t>P24752_ACAT1</t>
  </si>
  <si>
    <t>P24941_CDK2</t>
  </si>
  <si>
    <t>P25054-2_APC</t>
  </si>
  <si>
    <t>P25311_AZGP1</t>
  </si>
  <si>
    <t>P25398_RPS12</t>
  </si>
  <si>
    <t>P25685_DNAJB1</t>
  </si>
  <si>
    <t>P25705_ATP5A1</t>
  </si>
  <si>
    <t>P25774_CTSS</t>
  </si>
  <si>
    <t>P25786_PSMA1</t>
  </si>
  <si>
    <t>P25787_PSMA2</t>
  </si>
  <si>
    <t>P25788-2_PSMA3</t>
  </si>
  <si>
    <t>P25789_PSMA4</t>
  </si>
  <si>
    <t>P26038_MSN</t>
  </si>
  <si>
    <t>P26196_DDX6</t>
  </si>
  <si>
    <t>P26358_DNMT1</t>
  </si>
  <si>
    <t>P26368-2_U2AF2</t>
  </si>
  <si>
    <t>P26440_IVD</t>
  </si>
  <si>
    <t>P26447_S100A4</t>
  </si>
  <si>
    <t>P26583_HMGB2</t>
  </si>
  <si>
    <t>P26599_PTBP1</t>
  </si>
  <si>
    <t>P26639_TARS</t>
  </si>
  <si>
    <t>P26640_VARS</t>
  </si>
  <si>
    <t>P26641_EEF1G</t>
  </si>
  <si>
    <t>P26885_FKBP2</t>
  </si>
  <si>
    <t>P26927_MST1</t>
  </si>
  <si>
    <t>P27144_AK4</t>
  </si>
  <si>
    <t>P27348_YWHAQ</t>
  </si>
  <si>
    <t>P27540-2_ARNT</t>
  </si>
  <si>
    <t>P27694_RPA1</t>
  </si>
  <si>
    <t>P27695_APEX1</t>
  </si>
  <si>
    <t>P27797_CALR</t>
  </si>
  <si>
    <t>P27816-6_MAP4</t>
  </si>
  <si>
    <t>P27986_PIK3R1</t>
  </si>
  <si>
    <t>P28062-2_PSMB8</t>
  </si>
  <si>
    <t>P28066_PSMA5</t>
  </si>
  <si>
    <t>P28070_PSMB4</t>
  </si>
  <si>
    <t>P28072_PSMB6</t>
  </si>
  <si>
    <t>P28074_PSMB5</t>
  </si>
  <si>
    <t>P28289_TMOD1</t>
  </si>
  <si>
    <t>P28330_ACADL</t>
  </si>
  <si>
    <t>P28331_NDUFS1</t>
  </si>
  <si>
    <t>P28332_ADH6</t>
  </si>
  <si>
    <t>P28340_POLD1</t>
  </si>
  <si>
    <t>P28482_MAPK1</t>
  </si>
  <si>
    <t>P28715_ERCC5</t>
  </si>
  <si>
    <t>P28799_GRN</t>
  </si>
  <si>
    <t>P28838_LAP3</t>
  </si>
  <si>
    <t>P29144_TPP2</t>
  </si>
  <si>
    <t>P29350_PTPN6</t>
  </si>
  <si>
    <t>P29353-7_SHC1</t>
  </si>
  <si>
    <t>P29372-5_MPG</t>
  </si>
  <si>
    <t>P29401_TKT</t>
  </si>
  <si>
    <t>P29590_PML</t>
  </si>
  <si>
    <t>P29622_SERPINA4</t>
  </si>
  <si>
    <t>P29966_MARCKS</t>
  </si>
  <si>
    <t>P30038_ALDH4A1</t>
  </si>
  <si>
    <t>P30039_PBLD</t>
  </si>
  <si>
    <t>P30040_ERP29</t>
  </si>
  <si>
    <t>P30041_PRDX6</t>
  </si>
  <si>
    <t>P30042_C21orf33</t>
  </si>
  <si>
    <t>P30043_BLVRB</t>
  </si>
  <si>
    <t>P30044-2_PRDX5</t>
  </si>
  <si>
    <t>P30046_DDT</t>
  </si>
  <si>
    <t>P30047_GCHFR</t>
  </si>
  <si>
    <t>P30049_ATP5D</t>
  </si>
  <si>
    <t>P30084_ECHS1</t>
  </si>
  <si>
    <t>P30085_CMPK1</t>
  </si>
  <si>
    <t>P30086_PEBP1</t>
  </si>
  <si>
    <t>P30153_PPP2R1A</t>
  </si>
  <si>
    <t>P30154-4_PPP2R1B</t>
  </si>
  <si>
    <t>P30405_PPIF</t>
  </si>
  <si>
    <t>P30414_NKTR</t>
  </si>
  <si>
    <t>P30419_NMT1</t>
  </si>
  <si>
    <t>P30520_ADSS</t>
  </si>
  <si>
    <t>P30533_LRPAP1</t>
  </si>
  <si>
    <t>P30566_ADSL</t>
  </si>
  <si>
    <t>P30613-2_PKLR</t>
  </si>
  <si>
    <t>P30622-2_CLIP1</t>
  </si>
  <si>
    <t>P30711_GSTT1</t>
  </si>
  <si>
    <t>P30740_SERPINB1</t>
  </si>
  <si>
    <t>P30793_GCH1</t>
  </si>
  <si>
    <t>P30837_ALDH1B1</t>
  </si>
  <si>
    <t>P31040_SDHA</t>
  </si>
  <si>
    <t>P31146_CORO1A</t>
  </si>
  <si>
    <t>P31150_GDI1</t>
  </si>
  <si>
    <t>P31153_MAT2A</t>
  </si>
  <si>
    <t>P31321_PRKAR1B</t>
  </si>
  <si>
    <t>P31327_CPS1</t>
  </si>
  <si>
    <t>P31350_RRM2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</si>
  <si>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</si>
  <si>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</si>
  <si>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</si>
  <si>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</si>
  <si>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</si>
  <si>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</si>
  <si>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</si>
  <si>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P31946-2_YWHAB</t>
  </si>
  <si>
    <t>P31947-2_SFN</t>
  </si>
  <si>
    <t>P31948_STIP1</t>
  </si>
  <si>
    <t>P31949_S100A11</t>
  </si>
  <si>
    <t>P32119_PRDX2</t>
  </si>
  <si>
    <t>P32189-1_GK</t>
  </si>
  <si>
    <t>P32320_CDA</t>
  </si>
  <si>
    <t>P32321_DCTD</t>
  </si>
  <si>
    <t>P32455_GBP1</t>
  </si>
  <si>
    <t>P32456_GBP2</t>
  </si>
  <si>
    <t>P32519-2_ELF1</t>
  </si>
  <si>
    <t>P32754-2_HPD</t>
  </si>
  <si>
    <t>P32754_HPD</t>
  </si>
  <si>
    <t>P32929_CTH</t>
  </si>
  <si>
    <t>P33121_ACSL1</t>
  </si>
  <si>
    <t>P33176_KIF5B</t>
  </si>
  <si>
    <t>P33240-2_CSTF2</t>
  </si>
  <si>
    <t>P33241_LSP1</t>
  </si>
  <si>
    <t>P33316-2_DUT</t>
  </si>
  <si>
    <t>P33316_DUT</t>
  </si>
  <si>
    <t>P33908_MAN1A1</t>
  </si>
  <si>
    <t>P33991_MCM4</t>
  </si>
  <si>
    <t>P33992_MCM5</t>
  </si>
  <si>
    <t>P33993_MCM7</t>
  </si>
  <si>
    <t>P34059_GALNS</t>
  </si>
  <si>
    <t>P34896-2_SHMT1</t>
  </si>
  <si>
    <t>P34897-3_SHMT2</t>
  </si>
  <si>
    <t>P34913_EPHX2</t>
  </si>
  <si>
    <t>P34932_HSPA4</t>
  </si>
  <si>
    <t>P35030-2_PRSS3</t>
  </si>
  <si>
    <t>P35218_CA5A</t>
  </si>
  <si>
    <t>P35221_CTNNA1</t>
  </si>
  <si>
    <t>P35237_SERPINB6</t>
  </si>
  <si>
    <t>P35240-4_NF2</t>
  </si>
  <si>
    <t>P35241_RDX</t>
  </si>
  <si>
    <t>P35251-2_RFC1</t>
  </si>
  <si>
    <t>P35268_RPL22</t>
  </si>
  <si>
    <t>P35270_SPR</t>
  </si>
  <si>
    <t>P35520_CBS</t>
  </si>
  <si>
    <t>P35558_PCK1</t>
  </si>
  <si>
    <t>P35568_IRS1</t>
  </si>
  <si>
    <t>P35573_AGL</t>
  </si>
  <si>
    <t>P35579_MYH9</t>
  </si>
  <si>
    <t>P35580_MYH10</t>
  </si>
  <si>
    <t>P35606_COPB2</t>
  </si>
  <si>
    <t>P35611-2_ADD1</t>
  </si>
  <si>
    <t>P35637-2_FUS</t>
  </si>
  <si>
    <t>P35658-2_NUP214</t>
  </si>
  <si>
    <t>P35659_DEK</t>
  </si>
  <si>
    <t>P35754_GLRX</t>
  </si>
  <si>
    <t>P35813_PPM1A</t>
  </si>
  <si>
    <t>P35914_HMGCL</t>
  </si>
  <si>
    <t>P35998_PSMC2</t>
  </si>
  <si>
    <t>P36405_ARL3</t>
  </si>
  <si>
    <t>P36507_MAP2K2</t>
  </si>
  <si>
    <t>P36543_ATP6V1E1</t>
  </si>
  <si>
    <t>P36551_CPOX</t>
  </si>
  <si>
    <t>P36871_PGM1</t>
  </si>
  <si>
    <t>P36873_PPP1CC</t>
  </si>
  <si>
    <t>P36915_GNL1</t>
  </si>
  <si>
    <t>P36955_SERPINF1</t>
  </si>
  <si>
    <t>P36957_DLST</t>
  </si>
  <si>
    <t>P36969-2_GPX4</t>
  </si>
  <si>
    <t>P36980-2_CFHR2</t>
  </si>
  <si>
    <t>P37108_SRP14</t>
  </si>
  <si>
    <t>P37198_NUP62</t>
  </si>
  <si>
    <t>P37235_HPCAL1</t>
  </si>
  <si>
    <t>P37802_TAGLN2</t>
  </si>
  <si>
    <t>P37837_TALDO1</t>
  </si>
  <si>
    <t>P38117_ETFB</t>
  </si>
  <si>
    <t>P38159_RBMX</t>
  </si>
  <si>
    <t>P38432_COIL</t>
  </si>
  <si>
    <t>P38646_HSPA9</t>
  </si>
  <si>
    <t>P38919_EIF4A3</t>
  </si>
  <si>
    <t>P39019_RPS19</t>
  </si>
  <si>
    <t>P39748_FEN1</t>
  </si>
  <si>
    <t>P40222_TXLNA</t>
  </si>
  <si>
    <t>P40227_CCT6A</t>
  </si>
  <si>
    <t>P40261_NNMT</t>
  </si>
  <si>
    <t>P40306_PSMB10</t>
  </si>
  <si>
    <t>P40394_ADH7</t>
  </si>
  <si>
    <t>P40763-2_STAT3</t>
  </si>
  <si>
    <t>P40763_STAT3</t>
  </si>
  <si>
    <t>P40818_USP8</t>
  </si>
  <si>
    <t>P40925_MDH1</t>
  </si>
  <si>
    <t>P40926_MDH2</t>
  </si>
  <si>
    <t>P40939_HADHA</t>
  </si>
  <si>
    <t>P41091_EIF2S3</t>
  </si>
  <si>
    <t>P41208_CETN2</t>
  </si>
  <si>
    <t>P41226_UBA7</t>
  </si>
  <si>
    <t>P41236_PPP1R2</t>
  </si>
  <si>
    <t>P41240_CSK</t>
  </si>
  <si>
    <t>P41250_GARS</t>
  </si>
  <si>
    <t>P41252_IARS</t>
  </si>
  <si>
    <t>P41567_EIF1</t>
  </si>
  <si>
    <t>P41743_PRKCI</t>
  </si>
  <si>
    <t>P42025_ACTR1B</t>
  </si>
  <si>
    <t>P42126-2_ECI1</t>
  </si>
  <si>
    <t>P42166_TMPO</t>
  </si>
  <si>
    <t>P42167_TMPO</t>
  </si>
  <si>
    <t>P42224-2_STAT1</t>
  </si>
  <si>
    <t>P42226-3_STAT6</t>
  </si>
  <si>
    <t>P42285_SKIV2L2</t>
  </si>
  <si>
    <t>P42330_AKR1C3</t>
  </si>
  <si>
    <t>P42336_PIK3CA</t>
  </si>
  <si>
    <t>P42338_PIK3CB</t>
  </si>
  <si>
    <t>P42357_HAL</t>
  </si>
  <si>
    <t>P42566_EPS15</t>
  </si>
  <si>
    <t>P42574_CASP3</t>
  </si>
  <si>
    <t>P42704_LRPPRC</t>
  </si>
  <si>
    <t>P42765_ACAA2</t>
  </si>
  <si>
    <t>P42768_WAS</t>
  </si>
  <si>
    <t>P42773_CDKN2C</t>
  </si>
  <si>
    <t>P42785_PRCP</t>
  </si>
  <si>
    <t>P42858_HTT</t>
  </si>
  <si>
    <t>P42898_MTHFR</t>
  </si>
  <si>
    <t>P43034_PAFAH1B1</t>
  </si>
  <si>
    <t>P43155-2_CRAT</t>
  </si>
  <si>
    <t>P43243_MATR3</t>
  </si>
  <si>
    <t>P43246_MSH2</t>
  </si>
  <si>
    <t>P43487_RANBP1</t>
  </si>
  <si>
    <t>P43490_NAMPT</t>
  </si>
  <si>
    <t>P43652_AFM</t>
  </si>
  <si>
    <t>P43686_PSMC4</t>
  </si>
  <si>
    <t>P43694_GATA4</t>
  </si>
  <si>
    <t>P43897_TSFM</t>
  </si>
  <si>
    <t>P45381_ASPA</t>
  </si>
  <si>
    <t>P45954_ACADSB</t>
  </si>
  <si>
    <t>P45973_CBX5</t>
  </si>
  <si>
    <t>P45974-2_USP5</t>
  </si>
  <si>
    <t>P45984-2_MAPK9</t>
  </si>
  <si>
    <t>P45985_MAP2K4</t>
  </si>
  <si>
    <t>P46019_PHKA2</t>
  </si>
  <si>
    <t>P46060_RANGAP1</t>
  </si>
  <si>
    <t>P46063_RECQL</t>
  </si>
  <si>
    <t>P46087-2_NOP2</t>
  </si>
  <si>
    <t>P46100-2_ATRX</t>
  </si>
  <si>
    <t>P46108_CRK</t>
  </si>
  <si>
    <t>P46109_CRKL</t>
  </si>
  <si>
    <t>P46199_MTIF2</t>
  </si>
  <si>
    <t>P46527_CDKN1B</t>
  </si>
  <si>
    <t>P46734-2_MAP2K3</t>
  </si>
  <si>
    <t>P46736-2_BRCC3</t>
  </si>
  <si>
    <t>P46777_RPL5</t>
  </si>
  <si>
    <t>P46781_RPS9</t>
  </si>
  <si>
    <t>P46783_RPS10</t>
  </si>
  <si>
    <t>P46926_GNPDA1</t>
  </si>
  <si>
    <t>P46937_YAP1</t>
  </si>
  <si>
    <t>P46939_UTRN</t>
  </si>
  <si>
    <t>P46940_IQGAP1</t>
  </si>
  <si>
    <t>P46952_HAAO</t>
  </si>
  <si>
    <t>P46976-2_GYG1</t>
  </si>
  <si>
    <t>P47224_RABIF</t>
  </si>
  <si>
    <t>P47755_CAPZA2</t>
  </si>
  <si>
    <t>P47813_EIF1AX</t>
  </si>
  <si>
    <t>P47897_QARS</t>
  </si>
  <si>
    <t>P47914_RPL29</t>
  </si>
  <si>
    <t>P47985_UQCRFS1</t>
  </si>
  <si>
    <t>P47989_XDH</t>
  </si>
  <si>
    <t>P48059_LIMS1</t>
  </si>
  <si>
    <t>P48147_PREP</t>
  </si>
  <si>
    <t>P48163_ME1</t>
  </si>
  <si>
    <t>P48200_IREB2</t>
  </si>
  <si>
    <t>P48444_ARCN1</t>
  </si>
  <si>
    <t>P48449-3_LSS</t>
  </si>
  <si>
    <t>P48506_GCLC</t>
  </si>
  <si>
    <t>P48507_GCLM</t>
  </si>
  <si>
    <t>P48634_PRRC2A</t>
  </si>
  <si>
    <t>P48637_GSS</t>
  </si>
  <si>
    <t>P48643_CCT5</t>
  </si>
  <si>
    <t>P48728_AMT</t>
  </si>
  <si>
    <t>P48730-2_CSNK1D</t>
  </si>
  <si>
    <t>P48735_IDH2</t>
  </si>
  <si>
    <t>P48739_PITPNB</t>
  </si>
  <si>
    <t>P49006_MARCKSL1</t>
  </si>
  <si>
    <t>P49189_ALDH9A1</t>
  </si>
  <si>
    <t>P49321_NASP</t>
  </si>
  <si>
    <t>P49326_FMO5</t>
  </si>
  <si>
    <t>P49327_FASN</t>
  </si>
  <si>
    <t>P49354_FNTA</t>
  </si>
  <si>
    <t>P49366_DHPS</t>
  </si>
  <si>
    <t>P49368_CCT3</t>
  </si>
  <si>
    <t>P49407-2_ARRB1</t>
  </si>
  <si>
    <t>P49411_TUFM</t>
  </si>
  <si>
    <t>P49419-2_ALDH7A1</t>
  </si>
  <si>
    <t>P49427_CDC34</t>
  </si>
  <si>
    <t>P49441_INPP1</t>
  </si>
  <si>
    <t>P49448_GLUD2</t>
  </si>
  <si>
    <t>P49458_SRP9</t>
  </si>
  <si>
    <t>P49459_UBE2A</t>
  </si>
  <si>
    <t>P49588_AARS</t>
  </si>
  <si>
    <t>P49589-3_CARS</t>
  </si>
  <si>
    <t>P49591_SARS</t>
  </si>
  <si>
    <t>P49638_TTPA</t>
  </si>
  <si>
    <t>P49662_CASP4</t>
  </si>
  <si>
    <t>P49720_PSMB3</t>
  </si>
  <si>
    <t>P49721_PSMB2</t>
  </si>
  <si>
    <t>P49736_MCM2</t>
  </si>
  <si>
    <t>P49748_ACADVL</t>
  </si>
  <si>
    <t>P49750-4_YLPM1</t>
  </si>
  <si>
    <t>P49756_RBM25</t>
  </si>
  <si>
    <t>P49757-4_NUMB</t>
  </si>
  <si>
    <t>P49770_EIF2B2</t>
  </si>
  <si>
    <t>P49773_HINT1</t>
  </si>
  <si>
    <t>P49789_FHIT</t>
  </si>
  <si>
    <t>P49790_NUP153</t>
  </si>
  <si>
    <t>P49792_RANBP2</t>
  </si>
  <si>
    <t>P49821-2_NDUFV1</t>
  </si>
  <si>
    <t>P49840_GSK3A</t>
  </si>
  <si>
    <t>P49841_GSK3B</t>
  </si>
  <si>
    <t>P49888_SULT1E1</t>
  </si>
  <si>
    <t>P49902_NT5C2</t>
  </si>
  <si>
    <t>P49903_SEPHS1</t>
  </si>
  <si>
    <t>P49914_MTHFS</t>
  </si>
  <si>
    <t>P49959_MRE11A</t>
  </si>
  <si>
    <t>P50053-2_KHK</t>
  </si>
  <si>
    <t>P50053_KHK</t>
  </si>
  <si>
    <t>P50135_HNMT</t>
  </si>
  <si>
    <t>P50225_SULT1A1</t>
  </si>
  <si>
    <t>P50226_SULT1A2</t>
  </si>
  <si>
    <t>P50395_GDI2</t>
  </si>
  <si>
    <t>P50402_EMD</t>
  </si>
  <si>
    <t>P50440_GATM</t>
  </si>
  <si>
    <t>P50452_SERPINB8</t>
  </si>
  <si>
    <t>P50453_SERPINB9</t>
  </si>
  <si>
    <t>P50454_SERPINH1</t>
  </si>
  <si>
    <t>P50502_ST13</t>
  </si>
  <si>
    <t>P50542-2_PEX5</t>
  </si>
  <si>
    <t>P50552_VASP</t>
  </si>
  <si>
    <t>P50570-2_DNM2</t>
  </si>
  <si>
    <t>P50583_NUDT2</t>
  </si>
  <si>
    <t>P50747_HLCS</t>
  </si>
  <si>
    <t>P50748_KNTC1</t>
  </si>
  <si>
    <t>P50897_PPT1</t>
  </si>
  <si>
    <t>P50990_CCT8</t>
  </si>
  <si>
    <t>P50991_CCT4</t>
  </si>
  <si>
    <t>P51114-3_FXR1</t>
  </si>
  <si>
    <t>P51116_FXR2</t>
  </si>
  <si>
    <t>P51148_RAB5C</t>
  </si>
  <si>
    <t>P51149_RAB7A</t>
  </si>
  <si>
    <t>P51151_RAB9A</t>
  </si>
  <si>
    <t>P51153_RAB13</t>
  </si>
  <si>
    <t>P51398-2_DAP3</t>
  </si>
  <si>
    <t>P51452_DUSP3</t>
  </si>
  <si>
    <t>P51532-5_SMARCA4</t>
  </si>
  <si>
    <t>P51553_IDH3G</t>
  </si>
  <si>
    <t>P51570_GALK1</t>
  </si>
  <si>
    <t>P51580_TPMT</t>
  </si>
  <si>
    <t>P51608_MECP2</t>
  </si>
  <si>
    <t>P51610-4_HCFC1</t>
  </si>
  <si>
    <t>P51649_ALDH5A1</t>
  </si>
  <si>
    <t>P51659_HSD17B4</t>
  </si>
  <si>
    <t>P51665_PSMD7</t>
  </si>
  <si>
    <t>P51687_SUOX</t>
  </si>
  <si>
    <t>P51688_SGSH</t>
  </si>
  <si>
    <t>P51692_STAT5B</t>
  </si>
  <si>
    <t>P51857_AKR1D1</t>
  </si>
  <si>
    <t>P51858_HDGF</t>
  </si>
  <si>
    <t>P51991_HNRNPA3</t>
  </si>
  <si>
    <t>P52272-2_HNRNPM</t>
  </si>
  <si>
    <t>P52294_KPNA1</t>
  </si>
  <si>
    <t>P52306_RAP1GDS1</t>
  </si>
  <si>
    <t>P52594-2_AGFG1</t>
  </si>
  <si>
    <t>P52597_HNRNPF</t>
  </si>
  <si>
    <t>P52630-4_STAT2</t>
  </si>
  <si>
    <t>P52735-3_VAV2</t>
  </si>
  <si>
    <t>P52758_HRSP12</t>
  </si>
  <si>
    <t>P52788_SMS</t>
  </si>
  <si>
    <t>P52790_HK3</t>
  </si>
  <si>
    <t>P52815_MRPL12</t>
  </si>
  <si>
    <t>P52888_THOP1</t>
  </si>
  <si>
    <t>P52907_CAPZA1</t>
  </si>
  <si>
    <t>P52943_CRIP2</t>
  </si>
  <si>
    <t>P53004_BLVRA</t>
  </si>
  <si>
    <t>P53367_ARFIP1</t>
  </si>
  <si>
    <t>P53370_NUDT6</t>
  </si>
  <si>
    <t>P53384-2_NUBP1</t>
  </si>
  <si>
    <t>P53396_ACLY</t>
  </si>
  <si>
    <t>P53597_SUCLG1</t>
  </si>
  <si>
    <t>P53602_MVD</t>
  </si>
  <si>
    <t>P53609_PGGT1B</t>
  </si>
  <si>
    <t>P53611_RABGGTB</t>
  </si>
  <si>
    <t>P53618_COPB1</t>
  </si>
  <si>
    <t>P53621_COPA</t>
  </si>
  <si>
    <t>P53634_CTSC</t>
  </si>
  <si>
    <t>P53675-2_CLTCL1</t>
  </si>
  <si>
    <t>P53680_AP2S1</t>
  </si>
  <si>
    <t>P53999_SUB1</t>
  </si>
  <si>
    <t>P54136_RARS</t>
  </si>
  <si>
    <t>P54278-4_PMS2</t>
  </si>
  <si>
    <t>P54577_YARS</t>
  </si>
  <si>
    <t>P54578-2_USP14</t>
  </si>
  <si>
    <t>P54619-2_PRKAG1</t>
  </si>
  <si>
    <t>P54727_RAD23B</t>
  </si>
  <si>
    <t>P54802_NAGLU</t>
  </si>
  <si>
    <t>P54819-5_AK2</t>
  </si>
  <si>
    <t>P54840_GYS2</t>
  </si>
  <si>
    <t>P54868_HMGCS2</t>
  </si>
  <si>
    <t>P54886-2_ALDH18A1</t>
  </si>
  <si>
    <t>P54920_NAPA</t>
  </si>
  <si>
    <t>P55008_AIF1</t>
  </si>
  <si>
    <t>P55010_EIF5</t>
  </si>
  <si>
    <t>P55036_PSMD4</t>
  </si>
  <si>
    <t>P55039_DRG2</t>
  </si>
  <si>
    <t>P55058_PLTP</t>
  </si>
  <si>
    <t>P55060-3_CSE1L</t>
  </si>
  <si>
    <t>P55072_VCP</t>
  </si>
  <si>
    <t>P55081_MFAP1</t>
  </si>
  <si>
    <t>P55145_MANF</t>
  </si>
  <si>
    <t>P55157_MTTP</t>
  </si>
  <si>
    <t>P55196_MLLT4</t>
  </si>
  <si>
    <t>P55210_CASP7</t>
  </si>
  <si>
    <t>P55212_CASP6</t>
  </si>
  <si>
    <t>P55263_ADK</t>
  </si>
  <si>
    <t>P55265-5_ADAR</t>
  </si>
  <si>
    <t>P55268_LAMB2</t>
  </si>
  <si>
    <t>P55735_SEC13</t>
  </si>
  <si>
    <t>P55769_NHP2L1</t>
  </si>
  <si>
    <t>P55795_HNRNPH2</t>
  </si>
  <si>
    <t>P55854_SUMO3</t>
  </si>
  <si>
    <t>P55884_EIF3B</t>
  </si>
  <si>
    <t>P56181-2_NDUFV3</t>
  </si>
  <si>
    <t>P56192_MARS</t>
  </si>
  <si>
    <t>P56199_ITGA1</t>
  </si>
  <si>
    <t>P56211-2_ARPP19</t>
  </si>
  <si>
    <t>P56277_CMC4</t>
  </si>
  <si>
    <t>P56470_LGALS4</t>
  </si>
  <si>
    <t>P56537_EIF6</t>
  </si>
  <si>
    <t>P57076_C21orf59</t>
  </si>
  <si>
    <t>P57737-2_CORO7</t>
  </si>
  <si>
    <t>P57740_NUP107</t>
  </si>
  <si>
    <t>P57764_GSDMD</t>
  </si>
  <si>
    <t>P57772_EEFSEC</t>
  </si>
  <si>
    <t>P58546_MTPN</t>
  </si>
  <si>
    <t>P59666_DEFA3</t>
  </si>
  <si>
    <t>P59998_ARPC4</t>
  </si>
  <si>
    <t>P60174-1_TPI1</t>
  </si>
  <si>
    <t>P60228_EIF3E</t>
  </si>
  <si>
    <t>P60468_SEC61B</t>
  </si>
  <si>
    <t>P60510_PPP4C</t>
  </si>
  <si>
    <t>P60763_RAC3</t>
  </si>
  <si>
    <t>P60842_EIF4A1</t>
  </si>
  <si>
    <t>P60866_RPS20</t>
  </si>
  <si>
    <t>P60891_PRPS1</t>
  </si>
  <si>
    <t>P60900_PSMA6</t>
  </si>
  <si>
    <t>P60953_CDC42</t>
  </si>
  <si>
    <t>P60981_DSTN</t>
  </si>
  <si>
    <t>P60983_GMFB</t>
  </si>
  <si>
    <t>P61006_RAB8A</t>
  </si>
  <si>
    <t>P61011-2_SRP54</t>
  </si>
  <si>
    <t>P61019_RAB2A</t>
  </si>
  <si>
    <t>P61020_RAB5B</t>
  </si>
  <si>
    <t>P61026_RAB10</t>
  </si>
  <si>
    <t>P61077_UBE2D3</t>
  </si>
  <si>
    <t>P61081_UBE2M</t>
  </si>
  <si>
    <t>P61086_UBE2K</t>
  </si>
  <si>
    <t>P61088_UBE2N</t>
  </si>
  <si>
    <t>P61106_RAB14</t>
  </si>
  <si>
    <t>P61158_ACTR3</t>
  </si>
  <si>
    <t>P61160_ACTR2</t>
  </si>
  <si>
    <t>P61163_ACTR1A</t>
  </si>
  <si>
    <t>P61201_COPS2</t>
  </si>
  <si>
    <t>P61221_ABCE1</t>
  </si>
  <si>
    <t>P61224-3_RAP1B</t>
  </si>
  <si>
    <t>P61247_RPS3A</t>
  </si>
  <si>
    <t>P61289_PSME3</t>
  </si>
  <si>
    <t>P61326_MAGOH</t>
  </si>
  <si>
    <t>P61353_RPL27</t>
  </si>
  <si>
    <t>P61457_PCBD1</t>
  </si>
  <si>
    <t>P61586_RHOA</t>
  </si>
  <si>
    <t>P61604_HSPE1</t>
  </si>
  <si>
    <t>P61758_VBP1</t>
  </si>
  <si>
    <t>P61923_COPZ1</t>
  </si>
  <si>
    <t>P61956-2_SUMO2</t>
  </si>
  <si>
    <t>P61964_WDR5</t>
  </si>
  <si>
    <t>P61966_AP1S1</t>
  </si>
  <si>
    <t>P61970_NUTF2</t>
  </si>
  <si>
    <t>P61978-3_HNRNPK</t>
  </si>
  <si>
    <t>P61981_YWHAG</t>
  </si>
  <si>
    <t>P62070_RRAS2</t>
  </si>
  <si>
    <t>P62072_TIMM10</t>
  </si>
  <si>
    <t>P62136_PPP1CA</t>
  </si>
  <si>
    <t>P62140_PPP1CB</t>
  </si>
  <si>
    <t>P62158_CALM1</t>
  </si>
  <si>
    <t>P62191_PSMC1</t>
  </si>
  <si>
    <t>P62195-2_PSMC5</t>
  </si>
  <si>
    <t>P62241_RPS8</t>
  </si>
  <si>
    <t>P62258_YWHAE</t>
  </si>
  <si>
    <t>P62263_RPS14</t>
  </si>
  <si>
    <t>P62269_RPS18</t>
  </si>
  <si>
    <t>P62277_RPS13</t>
  </si>
  <si>
    <t>P62280_RPS11</t>
  </si>
  <si>
    <t>P62304_SNRPE</t>
  </si>
  <si>
    <t>P62308_SNRPG</t>
  </si>
  <si>
    <t>P62310_LSM3</t>
  </si>
  <si>
    <t>P62312_LSM6</t>
  </si>
  <si>
    <t>P62316_SNRPD2</t>
  </si>
  <si>
    <t>P62328_TMSB4X</t>
  </si>
  <si>
    <t>P62330_ARF6</t>
  </si>
  <si>
    <t>P62333_PSMC6</t>
  </si>
  <si>
    <t>P62633-2_CNBP</t>
  </si>
  <si>
    <t>P62701_RPS4X</t>
  </si>
  <si>
    <t>P62714_PPP2CB</t>
  </si>
  <si>
    <t>P62750_RPL23A</t>
  </si>
  <si>
    <t>P62753_RPS6</t>
  </si>
  <si>
    <t>P62760_VSNL1</t>
  </si>
  <si>
    <t>P62805_HIST1H4A</t>
  </si>
  <si>
    <t>P62820_RAB1A</t>
  </si>
  <si>
    <t>P62826_RAN</t>
  </si>
  <si>
    <t>P62837_UBE2D2</t>
  </si>
  <si>
    <t>P62857_RPS28</t>
  </si>
  <si>
    <t>P62942_FKBP1A</t>
  </si>
  <si>
    <t>P62993_GRB2</t>
  </si>
  <si>
    <t>P62995-3_TRA2B</t>
  </si>
  <si>
    <t>P63000_RAC1</t>
  </si>
  <si>
    <t>P63010_AP2B1</t>
  </si>
  <si>
    <t>P63104_YWHAZ</t>
  </si>
  <si>
    <t>P63151_PPP2R2A</t>
  </si>
  <si>
    <t>P63167_DYNLL1</t>
  </si>
  <si>
    <t>P63173_RPL38</t>
  </si>
  <si>
    <t>P63244_GNB2L1</t>
  </si>
  <si>
    <t>P63261_ACTG1</t>
  </si>
  <si>
    <t>P63302_SEPW1</t>
  </si>
  <si>
    <t>P63313_TMSB10</t>
  </si>
  <si>
    <t>P67775_PPP2CA</t>
  </si>
  <si>
    <t>P67809_YBX1</t>
  </si>
  <si>
    <t>P67870_CSNK2B</t>
  </si>
  <si>
    <t>P67936_TPM4</t>
  </si>
  <si>
    <t>P68036_UBE2L3</t>
  </si>
  <si>
    <t>P68133_ACTA1</t>
  </si>
  <si>
    <t>P68363_TUBA1B</t>
  </si>
  <si>
    <t>P68371_TUBB4B</t>
  </si>
  <si>
    <t>P68402_PAFAH1B2</t>
  </si>
  <si>
    <t>P78314_SH3BP2</t>
  </si>
  <si>
    <t>P78318_IGBP1</t>
  </si>
  <si>
    <t>P78329_CYP4F2</t>
  </si>
  <si>
    <t>P78347-2_GTF2I</t>
  </si>
  <si>
    <t>P78371_CCT2</t>
  </si>
  <si>
    <t>P78406_RAE1</t>
  </si>
  <si>
    <t>P78417_GSTO1</t>
  </si>
  <si>
    <t>P78524_ST5</t>
  </si>
  <si>
    <t>P78527_PRKDC</t>
  </si>
  <si>
    <t>P78560_CRADD</t>
  </si>
  <si>
    <t>P80188-2_LCN2</t>
  </si>
  <si>
    <t>P80217_IFI35</t>
  </si>
  <si>
    <t>P80294_MT1H</t>
  </si>
  <si>
    <t>P80303-2_NUCB2</t>
  </si>
  <si>
    <t>P80404_ABAT</t>
  </si>
  <si>
    <t>P80723_BASP1</t>
  </si>
  <si>
    <t>P81605_DCD</t>
  </si>
  <si>
    <t>P82094_TMF1</t>
  </si>
  <si>
    <t>P82673-2_MRPS35</t>
  </si>
  <si>
    <t>P82675_MRPS5</t>
  </si>
  <si>
    <t>P82909_MRPS36</t>
  </si>
  <si>
    <t>P82912-3_MRPS11</t>
  </si>
  <si>
    <t>P82914_MRPS15</t>
  </si>
  <si>
    <t>P82930_MRPS34</t>
  </si>
  <si>
    <t>P82933_MRPS9</t>
  </si>
  <si>
    <t>P82979_SARNP</t>
  </si>
  <si>
    <t>P82980_RBP5</t>
  </si>
  <si>
    <t>P83436_COG7</t>
  </si>
  <si>
    <t>P83876_TXNL4A</t>
  </si>
  <si>
    <t>P84077_ARF1</t>
  </si>
  <si>
    <t>P84090_ERH</t>
  </si>
  <si>
    <t>P84101-4_SERF2</t>
  </si>
  <si>
    <t>P86791_CCZ1</t>
  </si>
  <si>
    <t>P98160_HSPG2</t>
  </si>
  <si>
    <t>P98170_XIAP</t>
  </si>
  <si>
    <t>P98175-4_RBM10</t>
  </si>
  <si>
    <t>P98179_RBM3</t>
  </si>
  <si>
    <t>Q00059_TFAM</t>
  </si>
  <si>
    <t>Q00169_PITPNA</t>
  </si>
  <si>
    <t>Q00266_MAT1A</t>
  </si>
  <si>
    <t>Q00341_HDLBP</t>
  </si>
  <si>
    <t>Q00403_GTF2B</t>
  </si>
  <si>
    <t>Q00535_CDK5</t>
  </si>
  <si>
    <t>Q00577_PURA</t>
  </si>
  <si>
    <t>Q00610-2_CLTC</t>
  </si>
  <si>
    <t>Q00653_NFKB2</t>
  </si>
  <si>
    <t>Q00688_FKBP3</t>
  </si>
  <si>
    <t>Q00765_REEP5</t>
  </si>
  <si>
    <t>Q00796_SORD</t>
  </si>
  <si>
    <t>Q00839_HNRNPU</t>
  </si>
  <si>
    <t>Q00G26_PLIN5</t>
  </si>
  <si>
    <t>Q01081_U2AF1</t>
  </si>
  <si>
    <t>Q01082-3_SPTBN1</t>
  </si>
  <si>
    <t>Q01082_SPTBN1</t>
  </si>
  <si>
    <t>Q01085-2_TIAL1</t>
  </si>
  <si>
    <t>Q01105_SET</t>
  </si>
  <si>
    <t>Q01415_GALK2</t>
  </si>
  <si>
    <t>Q01433-2_AMPD2</t>
  </si>
  <si>
    <t>Q01459_CTBS</t>
  </si>
  <si>
    <t>Q01469_FABP5</t>
  </si>
  <si>
    <t>Q01518-2_CAP1</t>
  </si>
  <si>
    <t>Q01581_HMGCS1</t>
  </si>
  <si>
    <t>Q01658_DR1</t>
  </si>
  <si>
    <t>Q01804_OTUD4</t>
  </si>
  <si>
    <t>Q01844-6_EWSR1</t>
  </si>
  <si>
    <t>Q01968-2_OCRL</t>
  </si>
  <si>
    <t>Q01970-2_PLCB3</t>
  </si>
  <si>
    <t>Q01995_TAGLN</t>
  </si>
  <si>
    <t>Q02083-2_NAAA</t>
  </si>
  <si>
    <t>Q02252_ALDH6A1</t>
  </si>
  <si>
    <t>Q02318_CYP27A1</t>
  </si>
  <si>
    <t>Q02325_PLGLB1</t>
  </si>
  <si>
    <t>Q02410_APBA1</t>
  </si>
  <si>
    <t>Q02487_DSC2</t>
  </si>
  <si>
    <t>Q02750_MAP2K1</t>
  </si>
  <si>
    <t>Q02790_FKBP4</t>
  </si>
  <si>
    <t>Q02818_NUCB1</t>
  </si>
  <si>
    <t>Q02928_CYP4A11</t>
  </si>
  <si>
    <t>Q03001-8_DST</t>
  </si>
  <si>
    <t>Q03013-2_GSTM4</t>
  </si>
  <si>
    <t>Q03154_ACY1</t>
  </si>
  <si>
    <t>Q03169_TNFAIP2</t>
  </si>
  <si>
    <t>Q03393_PTS</t>
  </si>
  <si>
    <t>Q04446_GBE1</t>
  </si>
  <si>
    <t>Q04637-5_EIF4G1</t>
  </si>
  <si>
    <t>Q04724_TLE1</t>
  </si>
  <si>
    <t>Q04760_GLO1</t>
  </si>
  <si>
    <t>Q04828_AKR1C1</t>
  </si>
  <si>
    <t>Q04837_SSBP1</t>
  </si>
  <si>
    <t>Q04917_YWHAH</t>
  </si>
  <si>
    <t>Q05048_CSTF1</t>
  </si>
  <si>
    <t>Q05086-2_UBE3A</t>
  </si>
  <si>
    <t>Q05682-5_CALD1</t>
  </si>
  <si>
    <t>Q06033-2_ITIH3</t>
  </si>
  <si>
    <t>Q06124-2_PTPN11</t>
  </si>
  <si>
    <t>Q06203_PPAT</t>
  </si>
  <si>
    <t>Q06210-2_GFPT1</t>
  </si>
  <si>
    <t>Q06278_AOX1</t>
  </si>
  <si>
    <t>Q06323_PSME1</t>
  </si>
  <si>
    <t>Q06520_SULT2A1</t>
  </si>
  <si>
    <t>Q06787-8_FMR1</t>
  </si>
  <si>
    <t>Q07021_C1QBP</t>
  </si>
  <si>
    <t>Q07065_CKAP4</t>
  </si>
  <si>
    <t>Q07157_TJP1</t>
  </si>
  <si>
    <t>Q07283_TCHH</t>
  </si>
  <si>
    <t>Q07666_KHDRBS1</t>
  </si>
  <si>
    <t>Q07812-5_BAX</t>
  </si>
  <si>
    <t>Q07954_LRP1</t>
  </si>
  <si>
    <t>Q07955_SRSF1</t>
  </si>
  <si>
    <t>Q07960_ARHGAP1</t>
  </si>
  <si>
    <t>Q08170_SRSF4</t>
  </si>
  <si>
    <t>Q08209-2_PPP3CA</t>
  </si>
  <si>
    <t>Q08211_DHX9</t>
  </si>
  <si>
    <t>Q08257_CRYZ</t>
  </si>
  <si>
    <t>Q08378_GOLGA3</t>
  </si>
  <si>
    <t>Q08379_GOLGA2</t>
  </si>
  <si>
    <t>Q08380_LGALS3BP</t>
  </si>
  <si>
    <t>Q08426-2_EHHADH</t>
  </si>
  <si>
    <t>Q08426_EHHADH</t>
  </si>
  <si>
    <t>Q08554-2_DSC1</t>
  </si>
  <si>
    <t>Q08752_PPID</t>
  </si>
  <si>
    <t>Q08830_FGL1</t>
  </si>
  <si>
    <t>Q08AG7_MZT1</t>
  </si>
  <si>
    <t>Q08AH3_ACSM2A</t>
  </si>
  <si>
    <t>Q08AM6_VAC14</t>
  </si>
  <si>
    <t>Q08J23-2_NSUN2</t>
  </si>
  <si>
    <t>Q09028-3_RBBP4</t>
  </si>
  <si>
    <t>Q09161_NCBP1</t>
  </si>
  <si>
    <t>Q09472_EP300</t>
  </si>
  <si>
    <t>Q09666_AHNAK</t>
  </si>
  <si>
    <t>Q0JRZ9_FCHO2</t>
  </si>
  <si>
    <t>Q0PNE2_ELP6</t>
  </si>
  <si>
    <t>Q0VDF9_HSPA14</t>
  </si>
  <si>
    <t>Q0VDG4-2_SCRN3</t>
  </si>
  <si>
    <t>Q0VF96_CGNL1</t>
  </si>
  <si>
    <t>Q10567-2_AP1B1</t>
  </si>
  <si>
    <t>Q10567-3_AP1B1</t>
  </si>
  <si>
    <t>Q10713_PMPCA</t>
  </si>
  <si>
    <t>Q12769_NUP160</t>
  </si>
  <si>
    <t>Q12774_ARHGEF5</t>
  </si>
  <si>
    <t>Q12792_TWF1</t>
  </si>
  <si>
    <t>Q12794-3_HYAL1</t>
  </si>
  <si>
    <t>Q12802-4_AKAP13</t>
  </si>
  <si>
    <t>Q12846_STX4</t>
  </si>
  <si>
    <t>Q12874_SF3A3</t>
  </si>
  <si>
    <t>Q12882_DPYD</t>
  </si>
  <si>
    <t>Q12904_AIMP1</t>
  </si>
  <si>
    <t>Q12905_ILF2</t>
  </si>
  <si>
    <t>Q12906-4_ILF3</t>
  </si>
  <si>
    <t>Q12959-5_DLG1</t>
  </si>
  <si>
    <t>Q12965_MYO1E</t>
  </si>
  <si>
    <t>Q12972_PPP1R8</t>
  </si>
  <si>
    <t>Q12974_PTP4A2</t>
  </si>
  <si>
    <t>Q12986-2_NFX1</t>
  </si>
  <si>
    <t>Q12996_CSTF3</t>
  </si>
  <si>
    <t>Q13011_ECH1</t>
  </si>
  <si>
    <t>Q13017-2_ARHGAP5</t>
  </si>
  <si>
    <t>Q13033-2_STRN3</t>
  </si>
  <si>
    <t>Q13045-2_FLII</t>
  </si>
  <si>
    <t>Q13045_FLII</t>
  </si>
  <si>
    <t>Q13057_COASY</t>
  </si>
  <si>
    <t>Q13085-3_ACACA</t>
  </si>
  <si>
    <t>Q13107-2_USP4</t>
  </si>
  <si>
    <t>Q13123_IK</t>
  </si>
  <si>
    <t>Q13126_MTAP</t>
  </si>
  <si>
    <t>Q13131-2_PRKAA1</t>
  </si>
  <si>
    <t>Q13136-2_PPFIA1</t>
  </si>
  <si>
    <t>Q13148_TARDBP</t>
  </si>
  <si>
    <t>Q13151_HNRNPA0</t>
  </si>
  <si>
    <t>Q13153_PAK1</t>
  </si>
  <si>
    <t>Q13155_AIMP2</t>
  </si>
  <si>
    <t>Q13158_FADD</t>
  </si>
  <si>
    <t>Q13162_PRDX4</t>
  </si>
  <si>
    <t>Q13177_PAK2</t>
  </si>
  <si>
    <t>Q13185_CBX3</t>
  </si>
  <si>
    <t>Q13188_STK3</t>
  </si>
  <si>
    <t>Q13200_PSMD2</t>
  </si>
  <si>
    <t>Q13206_DDX10</t>
  </si>
  <si>
    <t>Q13217_DNAJC3</t>
  </si>
  <si>
    <t>Q13228_SELENBP1</t>
  </si>
  <si>
    <t>Q13232_NME3</t>
  </si>
  <si>
    <t>Q13243-3_SRSF5</t>
  </si>
  <si>
    <t>Q13247-3_SRSF6</t>
  </si>
  <si>
    <t>Q13263_TRIM28</t>
  </si>
  <si>
    <t>Q13283_G3BP1</t>
  </si>
  <si>
    <t>Q13287_NMI</t>
  </si>
  <si>
    <t>Q13310-3_PABPC4</t>
  </si>
  <si>
    <t>Q13315_ATM</t>
  </si>
  <si>
    <t>Q13325_IFIT5</t>
  </si>
  <si>
    <t>Q13330-3_MTA1</t>
  </si>
  <si>
    <t>Q13347_EIF3I</t>
  </si>
  <si>
    <t>Q13363-2_CTBP1</t>
  </si>
  <si>
    <t>Q13404_UBE2V1</t>
  </si>
  <si>
    <t>Q13409-6_DYNC1I2</t>
  </si>
  <si>
    <t>Q13418_ILK</t>
  </si>
  <si>
    <t>Q13423_NNT</t>
  </si>
  <si>
    <t>Q13426-2_XRCC4</t>
  </si>
  <si>
    <t>Q13428_TCOF1</t>
  </si>
  <si>
    <t>Q13435_SF3B2</t>
  </si>
  <si>
    <t>Q13442_PDAP1</t>
  </si>
  <si>
    <t>Q13451_FKBP5</t>
  </si>
  <si>
    <t>Q13464_ROCK1</t>
  </si>
  <si>
    <t>Q13492-3_PICALM</t>
  </si>
  <si>
    <t>Q13496_MTM1</t>
  </si>
  <si>
    <t>Q13501-2_SQSTM1</t>
  </si>
  <si>
    <t>Q13509_TUBB3</t>
  </si>
  <si>
    <t>Q13522_PPP1R1A</t>
  </si>
  <si>
    <t>Q13526_PIN1</t>
  </si>
  <si>
    <t>Q13541_EIF4EBP1</t>
  </si>
  <si>
    <t>Q13546_RIPK1</t>
  </si>
  <si>
    <t>Q13547_HDAC1</t>
  </si>
  <si>
    <t>Q13557-8_CAMK2D</t>
  </si>
  <si>
    <t>Q13561_DCTN2</t>
  </si>
  <si>
    <t>Q13573_SNW1</t>
  </si>
  <si>
    <t>Q13576_IQGAP2</t>
  </si>
  <si>
    <t>Q13596_SNX1</t>
  </si>
  <si>
    <t>Q13608_PEX6</t>
  </si>
  <si>
    <t>Q13610_PWP1</t>
  </si>
  <si>
    <t>Q13616_CUL1</t>
  </si>
  <si>
    <t>Q13617_CUL2</t>
  </si>
  <si>
    <t>Q13618-2_CUL3</t>
  </si>
  <si>
    <t>Q13619_CUL4A</t>
  </si>
  <si>
    <t>Q13620-1_CUL4B</t>
  </si>
  <si>
    <t>Q13630_TSTA3</t>
  </si>
  <si>
    <t>Q13642-1_FHL1</t>
  </si>
  <si>
    <t>Q13796_SHROOM2</t>
  </si>
  <si>
    <t>Q13813-2_SPTAN1</t>
  </si>
  <si>
    <t>Q13813_SPTAN1</t>
  </si>
  <si>
    <t>Q13825_AUH</t>
  </si>
  <si>
    <t>Q13838_DDX39B</t>
  </si>
  <si>
    <t>Q13867_BLMH</t>
  </si>
  <si>
    <t>Q13884_SNTB1</t>
  </si>
  <si>
    <t>Q13885_TUBB2A</t>
  </si>
  <si>
    <t>Q13907_IDI1</t>
  </si>
  <si>
    <t>Q13951-2_CBFB</t>
  </si>
  <si>
    <t>Q14008-2_CKAP5</t>
  </si>
  <si>
    <t>Q14012_CAMK1</t>
  </si>
  <si>
    <t>Q14019_COTL1</t>
  </si>
  <si>
    <t>Q14032_BAAT</t>
  </si>
  <si>
    <t>Q14061_COX17</t>
  </si>
  <si>
    <t>Q14103-3_HNRNPD</t>
  </si>
  <si>
    <t>Q14116-2_IL18</t>
  </si>
  <si>
    <t>Q14117_DPYS</t>
  </si>
  <si>
    <t>Q14118_DAG1</t>
  </si>
  <si>
    <t>Q14126_DSG2</t>
  </si>
  <si>
    <t>Q14137_BOP1</t>
  </si>
  <si>
    <t>Q14139_UBE4A</t>
  </si>
  <si>
    <t>Q14141-2_SEPT6</t>
  </si>
  <si>
    <t>Q14151_SAFB2</t>
  </si>
  <si>
    <t>Q14152_EIF3A</t>
  </si>
  <si>
    <t>Q14157_UBAP2L</t>
  </si>
  <si>
    <t>Q14160-2_SCRIB</t>
  </si>
  <si>
    <t>Q14161-3_GIT2</t>
  </si>
  <si>
    <t>Q14166_TTLL12</t>
  </si>
  <si>
    <t>Q14192_FHL2</t>
  </si>
  <si>
    <t>Q14203-3_DCTN1</t>
  </si>
  <si>
    <t>Q14204_DYNC1H1</t>
  </si>
  <si>
    <t>Q14232_EIF2B1</t>
  </si>
  <si>
    <t>Q14240_EIF4A2</t>
  </si>
  <si>
    <t>Q14241_TCEB3</t>
  </si>
  <si>
    <t>Q14244-3_MAP7</t>
  </si>
  <si>
    <t>Q14247_CTTN</t>
  </si>
  <si>
    <t>Q14258_TRIM25</t>
  </si>
  <si>
    <t>Q14318-2_FKBP8</t>
  </si>
  <si>
    <t>Q14320_FAM50A</t>
  </si>
  <si>
    <t>Q14353_GAMT</t>
  </si>
  <si>
    <t>Q14376_GALE</t>
  </si>
  <si>
    <t>Q14397_GCKR</t>
  </si>
  <si>
    <t>Q14410_GK2</t>
  </si>
  <si>
    <t>Q14444-2_CAPRIN1</t>
  </si>
  <si>
    <t>Q14498-2_RBM39</t>
  </si>
  <si>
    <t>Q14520-2_HABP2</t>
  </si>
  <si>
    <t>Q14554_PDIA5</t>
  </si>
  <si>
    <t>Q14558_PRPSAP1</t>
  </si>
  <si>
    <t>Q14566_MCM6</t>
  </si>
  <si>
    <t>Q14624_ITIH4</t>
  </si>
  <si>
    <t>Q14651_PLS1</t>
  </si>
  <si>
    <t>Q14653_IRF3</t>
  </si>
  <si>
    <t>Q14657_LAGE3</t>
  </si>
  <si>
    <t>Q14669_TRIP12</t>
  </si>
  <si>
    <t>Q14676-4_MDC1</t>
  </si>
  <si>
    <t>Q14677_CLINT1</t>
  </si>
  <si>
    <t>Q14678-2_KANK1</t>
  </si>
  <si>
    <t>Q14683_SMC1A</t>
  </si>
  <si>
    <t>Q14689-6_DIP2A</t>
  </si>
  <si>
    <t>Q14694_USP10</t>
  </si>
  <si>
    <t>Q14696_MESDC2</t>
  </si>
  <si>
    <t>Q14697_GANAB</t>
  </si>
  <si>
    <t>Q14749_GNMT</t>
  </si>
  <si>
    <t>Q14789_GOLGB1</t>
  </si>
  <si>
    <t>Q14790-8_CASP8</t>
  </si>
  <si>
    <t>Q147X3_NAA30</t>
  </si>
  <si>
    <t>Q14847_LASP1</t>
  </si>
  <si>
    <t>Q14894_CRYM</t>
  </si>
  <si>
    <t>Q14914-2_PTGR1</t>
  </si>
  <si>
    <t>Q14966_ZNF638</t>
  </si>
  <si>
    <t>Q14974_KPNB1</t>
  </si>
  <si>
    <t>Q14978_NOLC1</t>
  </si>
  <si>
    <t>Q14980-2_NUMA1</t>
  </si>
  <si>
    <t>Q14997_PSME4</t>
  </si>
  <si>
    <t>Q14CX7-2_NAA25</t>
  </si>
  <si>
    <t>Q15007_WTAP</t>
  </si>
  <si>
    <t>Q15008_PSMD6</t>
  </si>
  <si>
    <t>Q15018_FAM175B</t>
  </si>
  <si>
    <t>Q15020_SART3</t>
  </si>
  <si>
    <t>Q15024_EXOSC7</t>
  </si>
  <si>
    <t>Q15029-2_EFTUD2</t>
  </si>
  <si>
    <t>Q15036-2_SNX17</t>
  </si>
  <si>
    <t>Q15046_KARS</t>
  </si>
  <si>
    <t>Q15056-2_EIF4H</t>
  </si>
  <si>
    <t>Q15057_ACAP2</t>
  </si>
  <si>
    <t>Q15059_BRD3</t>
  </si>
  <si>
    <t>Q15067-2_ACOX1</t>
  </si>
  <si>
    <t>Q15075_EEA1</t>
  </si>
  <si>
    <t>Q15102_PAFAH1B3</t>
  </si>
  <si>
    <t>Q15118_PDK1</t>
  </si>
  <si>
    <t>Q15119_PDK2</t>
  </si>
  <si>
    <t>Q15120_PDK3</t>
  </si>
  <si>
    <t>Q15126_PMVK</t>
  </si>
  <si>
    <t>Q15149-8_PLEC</t>
  </si>
  <si>
    <t>Q15170-2_TCEAL1</t>
  </si>
  <si>
    <t>Q15172_PPP2R5A</t>
  </si>
  <si>
    <t>Q15181_PPA1</t>
  </si>
  <si>
    <t>Q15208_STK38</t>
  </si>
  <si>
    <t>Q15233-2_NONO</t>
  </si>
  <si>
    <t>Q15257-2_PPP2R4</t>
  </si>
  <si>
    <t>Q15257_PPP2R4</t>
  </si>
  <si>
    <t>Q15262_PTPRK</t>
  </si>
  <si>
    <t>Q15274_QPRT</t>
  </si>
  <si>
    <t>Q15276_RABEP1</t>
  </si>
  <si>
    <t>Q15291_RBBP5</t>
  </si>
  <si>
    <t>Q15293_RCN1</t>
  </si>
  <si>
    <t>Q15311_RALBP1</t>
  </si>
  <si>
    <t>Q15345_LRRC41</t>
  </si>
  <si>
    <t>Q15365_PCBP1</t>
  </si>
  <si>
    <t>Q15382_RHEB</t>
  </si>
  <si>
    <t>Q15386_UBE3C</t>
  </si>
  <si>
    <t>Q15393_SF3B3</t>
  </si>
  <si>
    <t>Q15404_RSU1</t>
  </si>
  <si>
    <t>Q15417_CNN3</t>
  </si>
  <si>
    <t>Q15424_SAFB</t>
  </si>
  <si>
    <t>Q15435_PPP1R7</t>
  </si>
  <si>
    <t>Q15437_SEC23B</t>
  </si>
  <si>
    <t>Q15459_SF3A1</t>
  </si>
  <si>
    <t>Q15477_SKIV2L</t>
  </si>
  <si>
    <t>Q15493_RGN</t>
  </si>
  <si>
    <t>Q15526-2_SURF1</t>
  </si>
  <si>
    <t>Q15554_TERF2</t>
  </si>
  <si>
    <t>Q15555-4_MAPRE2</t>
  </si>
  <si>
    <t>Q15596_NCOA2</t>
  </si>
  <si>
    <t>Q15599_SLC9A3R2</t>
  </si>
  <si>
    <t>Q15633-2_TARBP2</t>
  </si>
  <si>
    <t>Q15637-5_SF1</t>
  </si>
  <si>
    <t>Q15642_TRIP10</t>
  </si>
  <si>
    <t>Q15643_TRIP11</t>
  </si>
  <si>
    <t>Q15652-2_JMJD1C</t>
  </si>
  <si>
    <t>Q15654_TRIP6</t>
  </si>
  <si>
    <t>Q15691_MAPRE1</t>
  </si>
  <si>
    <t>Q15714-2_TSC22D1</t>
  </si>
  <si>
    <t>Q15717_ELAVL1</t>
  </si>
  <si>
    <t>Q15746-6_MYLK</t>
  </si>
  <si>
    <t>Q15750-2_TAB1</t>
  </si>
  <si>
    <t>Q15813_TBCE</t>
  </si>
  <si>
    <t>Q15814_TBCC</t>
  </si>
  <si>
    <t>Q15819_UBE2V2</t>
  </si>
  <si>
    <t>Q15833_STXBP2</t>
  </si>
  <si>
    <t>Q15847_ADIRF</t>
  </si>
  <si>
    <t>Q15907_RAB11B</t>
  </si>
  <si>
    <t>Q15942_ZYX</t>
  </si>
  <si>
    <t>Q16181_SEPT7</t>
  </si>
  <si>
    <t>Q16186_ADRM1</t>
  </si>
  <si>
    <t>Q16204_CCDC6</t>
  </si>
  <si>
    <t>Q16222-3_UAP1</t>
  </si>
  <si>
    <t>Q16270-2_IGFBP7</t>
  </si>
  <si>
    <t>Q16401-2_PSMD5</t>
  </si>
  <si>
    <t>Q16513-3_PKN2</t>
  </si>
  <si>
    <t>Q16531_DDB1</t>
  </si>
  <si>
    <t>Q16539_MAPK14</t>
  </si>
  <si>
    <t>Q16543_CDC37</t>
  </si>
  <si>
    <t>Q16555-2_DPYSL2</t>
  </si>
  <si>
    <t>Q16576_RBBP7</t>
  </si>
  <si>
    <t>Q16625-5_OCLN</t>
  </si>
  <si>
    <t>Q16626_MEA1</t>
  </si>
  <si>
    <t>Q16629-3_SRSF7</t>
  </si>
  <si>
    <t>Q16658_FSCN1</t>
  </si>
  <si>
    <t>Q16719_KYNU</t>
  </si>
  <si>
    <t>Q16740_CLPP</t>
  </si>
  <si>
    <t>Q16762_TST</t>
  </si>
  <si>
    <t>Q16773_CCBL1</t>
  </si>
  <si>
    <t>Q16775_HAGH</t>
  </si>
  <si>
    <t>Q16787-4_LAMA3</t>
  </si>
  <si>
    <t>Q16822_PCK2</t>
  </si>
  <si>
    <t>Q16831_UPP1</t>
  </si>
  <si>
    <t>Q16836_HADH</t>
  </si>
  <si>
    <t>Q16851-2_UGP2</t>
  </si>
  <si>
    <t>Q16851_UGP2</t>
  </si>
  <si>
    <t>Q16854_DGUOK</t>
  </si>
  <si>
    <t>Q16878_CDO1</t>
  </si>
  <si>
    <t>Q17R31-5_TATDN3</t>
  </si>
  <si>
    <t>Q17RC7_EXOC3L4</t>
  </si>
  <si>
    <t>Q17RN3_FAM98C</t>
  </si>
  <si>
    <t>Q27J81_INF2</t>
  </si>
  <si>
    <t>Q29RF7_PDS5A</t>
  </si>
  <si>
    <t>Q2M389_KIAA1033</t>
  </si>
  <si>
    <t>Q2PPJ7-3_RALGAPA2</t>
  </si>
  <si>
    <t>Q2T9J0_TYSND1</t>
  </si>
  <si>
    <t>Q2TAY7_SMU1</t>
  </si>
  <si>
    <t>Q2TAZ0_ATG2A</t>
  </si>
  <si>
    <t>Q32MZ4-2_LRRFIP1</t>
  </si>
  <si>
    <t>Q32MZ4-4_LRRFIP1</t>
  </si>
  <si>
    <t>Q32P44_EML3</t>
  </si>
  <si>
    <t>Q3B7J2_GFOD2</t>
  </si>
  <si>
    <t>Q3LXA3_DAK</t>
  </si>
  <si>
    <t>Q3MHD2_LSM12</t>
  </si>
  <si>
    <t>Q3MIT2_PUS10</t>
  </si>
  <si>
    <t>Q3ZCW2_LGALSL</t>
  </si>
  <si>
    <t>Q49A26-5_GLYR1</t>
  </si>
  <si>
    <t>Q49AH0_CDNF</t>
  </si>
  <si>
    <t>Q49AR2-3_C5orf22</t>
  </si>
  <si>
    <t>Q49B96_COX19</t>
  </si>
  <si>
    <t>Q4G0F5_VPS26B</t>
  </si>
  <si>
    <t>Q4G0J3_LARP7</t>
  </si>
  <si>
    <t>Q4G0N4_NADKD1</t>
  </si>
  <si>
    <t>Q4G0X4_KCTD21</t>
  </si>
  <si>
    <t>Q4G176_ACSF3</t>
  </si>
  <si>
    <t>Q4KMP7_TBC1D10B</t>
  </si>
  <si>
    <t>Q4KWH8-3_PLCH1</t>
  </si>
  <si>
    <t>Q4V328_GRIPAP1</t>
  </si>
  <si>
    <t>Q504Q3-2_PAN2</t>
  </si>
  <si>
    <t>Q52LJ0-2_FAM98B</t>
  </si>
  <si>
    <t>Q52LW3_ARHGAP29</t>
  </si>
  <si>
    <t>Q53FA7_TP53I3</t>
  </si>
  <si>
    <t>Q53FZ2_ACSM3</t>
  </si>
  <si>
    <t>Q53GS9-3_USP39</t>
  </si>
  <si>
    <t>Q53H82_LACTB2</t>
  </si>
  <si>
    <t>Q53HC9_TSSC1</t>
  </si>
  <si>
    <t>Q53LP3_SOWAHC</t>
  </si>
  <si>
    <t>Q53S33_BOLA3</t>
  </si>
  <si>
    <t>Q58FF8_HSP90AB2P</t>
  </si>
  <si>
    <t>Q58FG1_HSP90AA4P</t>
  </si>
  <si>
    <t>Q58WW2-4_DCAF6</t>
  </si>
  <si>
    <t>Q5BKU9_OXLD1</t>
  </si>
  <si>
    <t>Q5EBL8_PDZD11</t>
  </si>
  <si>
    <t>Q5EBM0_CMPK2</t>
  </si>
  <si>
    <t>Q5GLZ8-6_HERC4</t>
  </si>
  <si>
    <t>Q5HYK7-3_SH3D19</t>
  </si>
  <si>
    <t>Q5JR59-4_MTUS2</t>
  </si>
  <si>
    <t>Q5JRX3_PITRM1</t>
  </si>
  <si>
    <t>Q5JS37_NHLRC3</t>
  </si>
  <si>
    <t>Q5JSH3-2_WDR44</t>
  </si>
  <si>
    <t>Q5JTD0-4_TJAP1</t>
  </si>
  <si>
    <t>Q5JTJ3-3_COA6</t>
  </si>
  <si>
    <t>Q5JTV8-2_TOR1AIP1</t>
  </si>
  <si>
    <t>Q5JTZ9_AARS2</t>
  </si>
  <si>
    <t>Q5JVF3-3_PCID2</t>
  </si>
  <si>
    <t>Q5JVS0_HABP4</t>
  </si>
  <si>
    <t>Q5MIZ7-3_SMEK2</t>
  </si>
  <si>
    <t>Q5MNZ6_WDR45B</t>
  </si>
  <si>
    <t>Q5QJ74_TBCEL</t>
  </si>
  <si>
    <t>Q5R3I4_TTC38</t>
  </si>
  <si>
    <t>Q5RHP9_C1orf173</t>
  </si>
  <si>
    <t>Q5RKV6_EXOSC6</t>
  </si>
  <si>
    <t>Q5SRE5-2_NUP188</t>
  </si>
  <si>
    <t>Q5SRE7-2_PHYHD1</t>
  </si>
  <si>
    <t>Q5SSJ5_HP1BP3</t>
  </si>
  <si>
    <t>Q5ST30_VARS2</t>
  </si>
  <si>
    <t>Q5SW79-2_CEP170</t>
  </si>
  <si>
    <t>Q5SXM8_DNLZ</t>
  </si>
  <si>
    <t>Q5SYE7-2_NHSL1</t>
  </si>
  <si>
    <t>Q5T0N5-3_FNBP1L</t>
  </si>
  <si>
    <t>Q5T160_RARS2</t>
  </si>
  <si>
    <t>Q5T1M5_FKBP15</t>
  </si>
  <si>
    <t>Q5T2E6_C10orf76</t>
  </si>
  <si>
    <t>Q5T2W1_PDZK1</t>
  </si>
  <si>
    <t>Q5T440_IBA57</t>
  </si>
  <si>
    <t>Q5T4F4-6_ZFYVE27</t>
  </si>
  <si>
    <t>Q5T4S7-3_UBR4</t>
  </si>
  <si>
    <t>Q5T5P2_KIAA1217</t>
  </si>
  <si>
    <t>Q5T5U3-3_ARHGAP21</t>
  </si>
  <si>
    <t>Q5T6F2_UBAP2</t>
  </si>
  <si>
    <t>Q5T6J7_IDNK</t>
  </si>
  <si>
    <t>Q5T6V5_C9orf64</t>
  </si>
  <si>
    <t>Q5T7V8_GORAB</t>
  </si>
  <si>
    <t>Q5T8D3-2_ACBD5</t>
  </si>
  <si>
    <t>Q5T8D3_ACBD5</t>
  </si>
  <si>
    <t>Q5T8P6-2_RBM26</t>
  </si>
  <si>
    <t>Q5TA50_GLTPD1</t>
  </si>
  <si>
    <t>Q5TC12_ATPAF1</t>
  </si>
  <si>
    <t>Q5TCQ9-4_MAGI3</t>
  </si>
  <si>
    <t>Q5TDH0_DDI2</t>
  </si>
  <si>
    <t>Q5TEU4_NDUFAF5</t>
  </si>
  <si>
    <t>Q5TFE4_NT5DC1</t>
  </si>
  <si>
    <t>Q5TFQ8_SIRPB1</t>
  </si>
  <si>
    <t>Q5U5X0_LYRM7</t>
  </si>
  <si>
    <t>Q5UIP0-2_RIF1</t>
  </si>
  <si>
    <t>Q5VIR6-4_VPS53</t>
  </si>
  <si>
    <t>Q5VSL9_STRIP1</t>
  </si>
  <si>
    <t>Q5VT06_CEP350</t>
  </si>
  <si>
    <t>Q5VT52-2_RPRD2</t>
  </si>
  <si>
    <t>Q5VTB9_RNF220</t>
  </si>
  <si>
    <t>Q5VTE0_EEF1A1P5</t>
  </si>
  <si>
    <t>Q5VTR2_RNF20</t>
  </si>
  <si>
    <t>Q5VUA4_ZNF318</t>
  </si>
  <si>
    <t>Q5VUE5_C1orf53</t>
  </si>
  <si>
    <t>Q5VVQ6-2_YOD1</t>
  </si>
  <si>
    <t>Q5VW32_BROX</t>
  </si>
  <si>
    <t>Q5VW36_FOCAD</t>
  </si>
  <si>
    <t>Q5VWP3_MLIP</t>
  </si>
  <si>
    <t>Q5VWQ8-3_DAB2IP</t>
  </si>
  <si>
    <t>Q5VWZ2_LYPLAL1</t>
  </si>
  <si>
    <t>Q5VYK3_ECM29</t>
  </si>
  <si>
    <t>Q5VYS8-6_ZCCHC6</t>
  </si>
  <si>
    <t>Q5VYX0-2_RNLS</t>
  </si>
  <si>
    <t>Q5VZL5-4_ZMYM4</t>
  </si>
  <si>
    <t>Q5W0V3_FAM160B1</t>
  </si>
  <si>
    <t>Q5W111-2_SPRYD7</t>
  </si>
  <si>
    <t>Q63HM1_AFMID</t>
  </si>
  <si>
    <t>Q63HN8_RNF213</t>
  </si>
  <si>
    <t>Q63HR2-2_TENC1</t>
  </si>
  <si>
    <t>Q63ZY3-3_KANK2</t>
  </si>
  <si>
    <t>Q63ZY6-4_NSUN5P2</t>
  </si>
  <si>
    <t>Q66K14-2_TBC1D9B</t>
  </si>
  <si>
    <t>Q66PJ3_ARL6IP4</t>
  </si>
  <si>
    <t>Q676U5-2_ATG16L1</t>
  </si>
  <si>
    <t>Q68CK6_ACSM2B</t>
  </si>
  <si>
    <t>Q68CQ4_DIEXF</t>
  </si>
  <si>
    <t>Q68CZ2_TNS3</t>
  </si>
  <si>
    <t>Q68EM7-6_ARHGAP17</t>
  </si>
  <si>
    <t>Q69YN2_CWF19L1</t>
  </si>
  <si>
    <t>Q69YQ0-2_SPECC1L</t>
  </si>
  <si>
    <t>Q6A1A2_PDPK2</t>
  </si>
  <si>
    <t>Q6DD88_ATL3</t>
  </si>
  <si>
    <t>Q6DN90-2_IQSEC1</t>
  </si>
  <si>
    <t>Q6EEV4-2_POLR2M</t>
  </si>
  <si>
    <t>Q6EMK4_VASN</t>
  </si>
  <si>
    <t>Q6FI81-3_CIAPIN1</t>
  </si>
  <si>
    <t>Q6FIF0-2_ZFAND6</t>
  </si>
  <si>
    <t>Q6GMR7_FAAH2</t>
  </si>
  <si>
    <t>Q6GMV2_SMYD5</t>
  </si>
  <si>
    <t>Q6GMV3_PTRHD1</t>
  </si>
  <si>
    <t>Q6GQQ9-2_OTUD7B</t>
  </si>
  <si>
    <t>Q6IA69_NADSYN1</t>
  </si>
  <si>
    <t>Q6IA86-4_ELP2</t>
  </si>
  <si>
    <t>Q6IB77_GLYAT</t>
  </si>
  <si>
    <t>Q6IBS0_TWF2</t>
  </si>
  <si>
    <t>Q6IC98_GRAMD4</t>
  </si>
  <si>
    <t>Q6IN85-2_SMEK1</t>
  </si>
  <si>
    <t>Q6IPR1_LYRM5</t>
  </si>
  <si>
    <t>Q6IQ22_RAB12</t>
  </si>
  <si>
    <t>Q6IQ23_PLEKHA7</t>
  </si>
  <si>
    <t>Q6JQN1_ACAD10</t>
  </si>
  <si>
    <t>Q6KC79-3_NIPBL</t>
  </si>
  <si>
    <t>Q6N043-2_ZNF280D</t>
  </si>
  <si>
    <t>Q6N063_OGFOD2</t>
  </si>
  <si>
    <t>Q6NUN0_ACSM5</t>
  </si>
  <si>
    <t>Q6NUQ4-2_TMEM214</t>
  </si>
  <si>
    <t>Q6NVY1_HIBCH</t>
  </si>
  <si>
    <t>Q6NYC8_PPP1R18</t>
  </si>
  <si>
    <t>Q6NZY4_ZCCHC8</t>
  </si>
  <si>
    <t>Q6P1J9_CDC73</t>
  </si>
  <si>
    <t>Q6P1N0-2_CC2D1A</t>
  </si>
  <si>
    <t>Q6P1N9_TATDN1</t>
  </si>
  <si>
    <t>Q6P1X6_C8orf82</t>
  </si>
  <si>
    <t>Q6P2E9_EDC4</t>
  </si>
  <si>
    <t>Q6P2P2_PRMT10</t>
  </si>
  <si>
    <t>Q6P2Q9_PRPF8</t>
  </si>
  <si>
    <t>Q6P3X3_TTC27</t>
  </si>
  <si>
    <t>Q6P4A8_PLBD1</t>
  </si>
  <si>
    <t>Q6P4F2_FDX1L</t>
  </si>
  <si>
    <t>Q6P587_FAHD1</t>
  </si>
  <si>
    <t>Q6P6B1_C8orf47</t>
  </si>
  <si>
    <t>Q6PD74_AAGAB</t>
  </si>
  <si>
    <t>Q6PGP7_TTC37</t>
  </si>
  <si>
    <t>Q6PI48_DARS2</t>
  </si>
  <si>
    <t>Q6PJT7-5_ZC3H14</t>
  </si>
  <si>
    <t>Q6PKG0_LARP1</t>
  </si>
  <si>
    <t>Q6QHF9-4_PAOX</t>
  </si>
  <si>
    <t>Q6QNY0_BLOC1S3</t>
  </si>
  <si>
    <t>Q6UB28_METAP1D</t>
  </si>
  <si>
    <t>Q6ULP2-5_AFTPH</t>
  </si>
  <si>
    <t>Q6UN15-4_FIP1L1</t>
  </si>
  <si>
    <t>Q6UWE0-2_LRSAM1</t>
  </si>
  <si>
    <t>Q6UWP2_DHRS11</t>
  </si>
  <si>
    <t>Q6UX53_METTL7B</t>
  </si>
  <si>
    <t>Q6UXH1-4_CRELD2</t>
  </si>
  <si>
    <t>Q6UXN9_WDR82</t>
  </si>
  <si>
    <t>Q6UXV4_APOOL</t>
  </si>
  <si>
    <t>Q6VY07_PACS1</t>
  </si>
  <si>
    <t>Q6XQN6_NAPRT1</t>
  </si>
  <si>
    <t>Q6XZF7_DNMBP</t>
  </si>
  <si>
    <t>Q6Y7W6-4_GIGYF2</t>
  </si>
  <si>
    <t>Q6YN16_HSDL2</t>
  </si>
  <si>
    <t>Q6YP21-3_CCBL2</t>
  </si>
  <si>
    <t>Q6ZMI0_PPP1R21</t>
  </si>
  <si>
    <t>Q6ZNW5_GDPGP1</t>
  </si>
  <si>
    <t>Q6ZSJ8_C1orf122</t>
  </si>
  <si>
    <t>Q6ZT12_UBR3</t>
  </si>
  <si>
    <t>Q6ZUJ8_PIK3AP1</t>
  </si>
  <si>
    <t>Q709C8-3_VPS13C</t>
  </si>
  <si>
    <t>Q709F0_ACAD11</t>
  </si>
  <si>
    <t>Q70E73_RAPH1</t>
  </si>
  <si>
    <t>Q712K3_UBE2R2</t>
  </si>
  <si>
    <t>Q71RC2-6_LARP4</t>
  </si>
  <si>
    <t>Q71U36-2_TUBA1A</t>
  </si>
  <si>
    <t>Q765P7_MTSS1L</t>
  </si>
  <si>
    <t>Q7KZ85_SUPT6H</t>
  </si>
  <si>
    <t>Q7KZF4_SND1</t>
  </si>
  <si>
    <t>Q7KZI7-12_MARK2</t>
  </si>
  <si>
    <t>Q7L014_DDX46</t>
  </si>
  <si>
    <t>Q7L099-4_RUFY3</t>
  </si>
  <si>
    <t>Q7L0Y3_TRMT10C</t>
  </si>
  <si>
    <t>Q7L1Q6_BZW1</t>
  </si>
  <si>
    <t>Q7L1W4_LRRC8D</t>
  </si>
  <si>
    <t>Q7L2J0_MEPCE</t>
  </si>
  <si>
    <t>Q7L576_CYFIP1</t>
  </si>
  <si>
    <t>Q7L5D6_GET4</t>
  </si>
  <si>
    <t>Q7L5Y1_ENOSF1</t>
  </si>
  <si>
    <t>Q7L775_EPM2AIP1</t>
  </si>
  <si>
    <t>Q7L7X3-3_TAOK1</t>
  </si>
  <si>
    <t>Q7L8L6_FASTKD5</t>
  </si>
  <si>
    <t>Q7LBC6_KDM3B</t>
  </si>
  <si>
    <t>Q7LBR1_CHMP1B</t>
  </si>
  <si>
    <t>Q7LG56_RRM2B</t>
  </si>
  <si>
    <t>Q7RTP6_MICAL3</t>
  </si>
  <si>
    <t>Q7RTV0_PHF5A</t>
  </si>
  <si>
    <t>Q7Z2W4_ZC3HAV1</t>
  </si>
  <si>
    <t>Q7Z2Z2_EFTUD1</t>
  </si>
  <si>
    <t>Q7Z3J2_C16orf62</t>
  </si>
  <si>
    <t>Q7Z3T8_ZFYVE16</t>
  </si>
  <si>
    <t>Q7Z406-6_MYH14</t>
  </si>
  <si>
    <t>Q7Z417_NUFIP2</t>
  </si>
  <si>
    <t>Q7Z422-2_SZRD1</t>
  </si>
  <si>
    <t>Q7Z434_MAVS</t>
  </si>
  <si>
    <t>Q7Z460-2_CLASP1</t>
  </si>
  <si>
    <t>Q7Z478_DHX29</t>
  </si>
  <si>
    <t>Q7Z4G1_COMMD6</t>
  </si>
  <si>
    <t>Q7Z4G4-2_TRMT11</t>
  </si>
  <si>
    <t>Q7Z4H3-2_HDDC2</t>
  </si>
  <si>
    <t>Q7Z4H8_KDELC2</t>
  </si>
  <si>
    <t>Q7Z4I7-3_LIMS2</t>
  </si>
  <si>
    <t>Q7Z4S6-3_KIF21A</t>
  </si>
  <si>
    <t>Q7Z4V5_HDGFRP2</t>
  </si>
  <si>
    <t>Q7Z4W1_DCXR</t>
  </si>
  <si>
    <t>Q7Z5K2-3_WAPAL</t>
  </si>
  <si>
    <t>Q7Z5L9-2_IRF2BP2</t>
  </si>
  <si>
    <t>Q7Z5P4_HSD17B13</t>
  </si>
  <si>
    <t>Q7Z5R6_APBB1IP</t>
  </si>
  <si>
    <t>Q7Z6B0-2_CCDC91</t>
  </si>
  <si>
    <t>Q7Z6E9-2_RBBP6</t>
  </si>
  <si>
    <t>Q7Z6K3_PTAR1</t>
  </si>
  <si>
    <t>Q7Z6M1_RABEPK</t>
  </si>
  <si>
    <t>Q7Z6Z7-2_HUWE1</t>
  </si>
  <si>
    <t>Q7Z7E8_UBE2Q1</t>
  </si>
  <si>
    <t>Q7Z7K0_CMC1</t>
  </si>
  <si>
    <t>Q86SQ0-3_PHLDB2</t>
  </si>
  <si>
    <t>Q86SQ0_PHLDB2</t>
  </si>
  <si>
    <t>Q86SX6_GLRX5</t>
  </si>
  <si>
    <t>Q86SZ2-2_TRAPPC6B</t>
  </si>
  <si>
    <t>Q86TB9-4_PATL1</t>
  </si>
  <si>
    <t>Q86TI2_DPP9</t>
  </si>
  <si>
    <t>Q86TP1_PRUNE</t>
  </si>
  <si>
    <t>Q86TU7_SETD3</t>
  </si>
  <si>
    <t>Q86TX2_ACOT1</t>
  </si>
  <si>
    <t>Q86U17_SERPINA11</t>
  </si>
  <si>
    <t>Q86U28_ISCA2</t>
  </si>
  <si>
    <t>Q86U42-2_PABPN1</t>
  </si>
  <si>
    <t>Q86U44_METTL3</t>
  </si>
  <si>
    <t>Q86U90_YRDC</t>
  </si>
  <si>
    <t>Q86UA1_PRPF39</t>
  </si>
  <si>
    <t>Q86UK7-2_ZNF598</t>
  </si>
  <si>
    <t>Q86UP2_KTN1</t>
  </si>
  <si>
    <t>Q86UR1-3_NOXA1</t>
  </si>
  <si>
    <t>Q86UU0-4_BCL9L</t>
  </si>
  <si>
    <t>Q86UX7-2_FERMT3</t>
  </si>
  <si>
    <t>Q86UY8-2_NT5DC3</t>
  </si>
  <si>
    <t>Q86V81_ALYREF</t>
  </si>
  <si>
    <t>Q86VM9-2_ZC3H18</t>
  </si>
  <si>
    <t>Q86VN1-2_VPS36</t>
  </si>
  <si>
    <t>Q86VP6_CAND1</t>
  </si>
  <si>
    <t>Q86VQ6_TXNRD3</t>
  </si>
  <si>
    <t>Q86VR2_FAM134C</t>
  </si>
  <si>
    <t>Q86VS8_HOOK3</t>
  </si>
  <si>
    <t>Q86VX2-2_COMMD7</t>
  </si>
  <si>
    <t>Q86W92-4_PPFIBP1</t>
  </si>
  <si>
    <t>Q86WA6_BPHL</t>
  </si>
  <si>
    <t>Q86WR0_CCDC25</t>
  </si>
  <si>
    <t>Q86WR7_PROSER2</t>
  </si>
  <si>
    <t>Q86WU2-2_LDHD</t>
  </si>
  <si>
    <t>Q86X10-3_RALGAPB</t>
  </si>
  <si>
    <t>Q86X55-1_CARM1</t>
  </si>
  <si>
    <t>Q86X76-2_NIT1</t>
  </si>
  <si>
    <t>Q86X83_COMMD2</t>
  </si>
  <si>
    <t>Q86XE5_HOGA1</t>
  </si>
  <si>
    <t>Q86XP3_DDX42</t>
  </si>
  <si>
    <t>Q86Y07-4_VRK2</t>
  </si>
  <si>
    <t>Q86Y56-2_HEATR2</t>
  </si>
  <si>
    <t>Q86Y82_STX12</t>
  </si>
  <si>
    <t>Q86YB7_ECHDC2</t>
  </si>
  <si>
    <t>Q86YH6_PDSS2</t>
  </si>
  <si>
    <t>Q86YJ6-4_THNSL2</t>
  </si>
  <si>
    <t>Q86YL5_TDRP</t>
  </si>
  <si>
    <t>Q86YP4-2_GATAD2A</t>
  </si>
  <si>
    <t>Q86YS7_C2CD5</t>
  </si>
  <si>
    <t>Q8IUC4_RHPN2</t>
  </si>
  <si>
    <t>Q8IUD2_ERC1</t>
  </si>
  <si>
    <t>Q8IUZ5_AGXT2L2</t>
  </si>
  <si>
    <t>Q8IV08_PLD3</t>
  </si>
  <si>
    <t>Q8IV38_ANKMY2</t>
  </si>
  <si>
    <t>Q8IV50_LYSMD2</t>
  </si>
  <si>
    <t>Q8IVD9_NUDCD3</t>
  </si>
  <si>
    <t>Q8IVF2-3_AHNAK2</t>
  </si>
  <si>
    <t>Q8IVH4_MMAA</t>
  </si>
  <si>
    <t>Q8IVM0_CCDC50</t>
  </si>
  <si>
    <t>Q8IVS2_MCAT</t>
  </si>
  <si>
    <t>Q8IVS8_GLYCTK</t>
  </si>
  <si>
    <t>Q8IW45_CARKD</t>
  </si>
  <si>
    <t>Q8IWB9_TEX2</t>
  </si>
  <si>
    <t>Q8IWE2_FAM114A1</t>
  </si>
  <si>
    <t>Q8IWJ2_GCC2</t>
  </si>
  <si>
    <t>Q8IWL3_HSCB</t>
  </si>
  <si>
    <t>Q8IWU2_LMTK2</t>
  </si>
  <si>
    <t>Q8IWV7_UBR1</t>
  </si>
  <si>
    <t>Q8IWW6-2_ARHGAP12</t>
  </si>
  <si>
    <t>Q8IWW8_ADHFE1</t>
  </si>
  <si>
    <t>Q8IWX8_CHERP</t>
  </si>
  <si>
    <t>Q8IWZ3_ANKHD1</t>
  </si>
  <si>
    <t>Q8IWZ8_SUGP1</t>
  </si>
  <si>
    <t>Q8IX04-6_UEVLD</t>
  </si>
  <si>
    <t>Q8IX12-2_CCAR1</t>
  </si>
  <si>
    <t>Q8IXH7-4_NELFCD</t>
  </si>
  <si>
    <t>Q8IXJ6-2_SIRT2</t>
  </si>
  <si>
    <t>Q8IXQ4_KIAA1704</t>
  </si>
  <si>
    <t>Q8IXQ6-2_PARP9</t>
  </si>
  <si>
    <t>Q8IY50-2_SLC35F3</t>
  </si>
  <si>
    <t>Q8IYA8-2_CCDC36</t>
  </si>
  <si>
    <t>Q8IYB5-3_SMAP1</t>
  </si>
  <si>
    <t>Q8IYB7_DIS3L2</t>
  </si>
  <si>
    <t>Q8IYB8_SUPV3L1</t>
  </si>
  <si>
    <t>Q8IYD1_GSPT2</t>
  </si>
  <si>
    <t>Q8IYI6_EXOC8</t>
  </si>
  <si>
    <t>Q8IYL3_C1orf174</t>
  </si>
  <si>
    <t>Q8IYQ7_THNSL1</t>
  </si>
  <si>
    <t>Q8IYS1_PM20D2</t>
  </si>
  <si>
    <t>Q8IYT4_KATNAL2</t>
  </si>
  <si>
    <t>Q8IZ07_ANKRD13A</t>
  </si>
  <si>
    <t>Q8IZ21-3_PHACTR4</t>
  </si>
  <si>
    <t>Q8IZ69_TRMT2A</t>
  </si>
  <si>
    <t>Q8IZ83_ALDH16A1</t>
  </si>
  <si>
    <t>Q8IZP0-10_ABI1</t>
  </si>
  <si>
    <t>Q8N0U4_FAM185A</t>
  </si>
  <si>
    <t>Q8N0W3_FUK</t>
  </si>
  <si>
    <t>Q8N0X4_CLYBL</t>
  </si>
  <si>
    <t>Q8N0X7_SPG20</t>
  </si>
  <si>
    <t>Q8N129_CNPY4</t>
  </si>
  <si>
    <t>Q8N142_ADSSL1</t>
  </si>
  <si>
    <t>Q8N163_KIAA1967</t>
  </si>
  <si>
    <t>Q8N1B4_VPS52</t>
  </si>
  <si>
    <t>Q8N1F7_NUP93</t>
  </si>
  <si>
    <t>Q8N1G2_FTSJD2</t>
  </si>
  <si>
    <t>Q8N1G4_LRRC47</t>
  </si>
  <si>
    <t>Q8N1I0_DOCK4</t>
  </si>
  <si>
    <t>Q8N1Q1_CA13</t>
  </si>
  <si>
    <t>Q8N201_INTS1</t>
  </si>
  <si>
    <t>Q8N283_ANKRD35</t>
  </si>
  <si>
    <t>Q8N2H3_PYROXD2</t>
  </si>
  <si>
    <t>Q8N3D4_EHBP1L1</t>
  </si>
  <si>
    <t>Q8N3F8_MICALL1</t>
  </si>
  <si>
    <t>Q8N3P4-2_VPS8</t>
  </si>
  <si>
    <t>Q8N3V7-2_SYNPO</t>
  </si>
  <si>
    <t>Q8N3X1_FNBP4</t>
  </si>
  <si>
    <t>Q8N465_D2HGDH</t>
  </si>
  <si>
    <t>Q8N488_RYBP</t>
  </si>
  <si>
    <t>Q8N490-4_PNKD</t>
  </si>
  <si>
    <t>Q8N4C8-2_MINK1</t>
  </si>
  <si>
    <t>Q8N4J0_C9orf41</t>
  </si>
  <si>
    <t>Q8N4P3_HDDC3</t>
  </si>
  <si>
    <t>Q8N4Q0_ZADH2</t>
  </si>
  <si>
    <t>Q8N4Q1_CHCHD4</t>
  </si>
  <si>
    <t>Q8N4T8_CBR4</t>
  </si>
  <si>
    <t>Q8N573-2_OXR1</t>
  </si>
  <si>
    <t>Q8N5C6_SRBD1</t>
  </si>
  <si>
    <t>Q8N5G2_TMEM57</t>
  </si>
  <si>
    <t>Q8N5I9_C12orf45</t>
  </si>
  <si>
    <t>Q8N5L8_RPP25L</t>
  </si>
  <si>
    <t>Q8N5M1_ATPAF2</t>
  </si>
  <si>
    <t>Q8N5N7_MRPL50</t>
  </si>
  <si>
    <t>Q8N5V2_NGEF</t>
  </si>
  <si>
    <t>Q8N5Z0_AADAT</t>
  </si>
  <si>
    <t>Q8N684-2_CPSF7</t>
  </si>
  <si>
    <t>Q8N6H7_ARFGAP2</t>
  </si>
  <si>
    <t>Q8N6N3-2_C1orf52</t>
  </si>
  <si>
    <t>Q8N8N7_PTGR2</t>
  </si>
  <si>
    <t>Q8N8S7_ENAH</t>
  </si>
  <si>
    <t>Q8N8V2_GBP7</t>
  </si>
  <si>
    <t>Q8N999-3_C12orf29</t>
  </si>
  <si>
    <t>Q8N9L9_ACOT4</t>
  </si>
  <si>
    <t>Q8N9V3-2_WDSUB1</t>
  </si>
  <si>
    <t>Q8NBF2_NHLRC2</t>
  </si>
  <si>
    <t>Q8NBJ7_SUMF2</t>
  </si>
  <si>
    <t>Q8NBX0_SCCPDH</t>
  </si>
  <si>
    <t>Q8NC06_ACBD4</t>
  </si>
  <si>
    <t>Q8NC51-4_SERBP1</t>
  </si>
  <si>
    <t>Q8NC96_NECAP1</t>
  </si>
  <si>
    <t>Q8NCA5-2_FAM98A</t>
  </si>
  <si>
    <t>Q8NCC3_PLA2G15</t>
  </si>
  <si>
    <t>Q8NCN5_PDPR</t>
  </si>
  <si>
    <t>Q8NCW5-2_APOA1BP</t>
  </si>
  <si>
    <t>Q8NCW5_APOA1BP</t>
  </si>
  <si>
    <t>Q8ND24_RNF214</t>
  </si>
  <si>
    <t>Q8ND30_PPFIBP2</t>
  </si>
  <si>
    <t>Q8ND76-3_CCNY</t>
  </si>
  <si>
    <t>Q8NDH3-2_NPEPL1</t>
  </si>
  <si>
    <t>Q8NDI1-3_EHBP1</t>
  </si>
  <si>
    <t>Q8NE62_CHDH</t>
  </si>
  <si>
    <t>Q8NE71-2_ABCF1</t>
  </si>
  <si>
    <t>Q8NEB9_PIK3C3</t>
  </si>
  <si>
    <t>Q8NEF9_SRFBP1</t>
  </si>
  <si>
    <t>Q8NEU8-2_APPL2</t>
  </si>
  <si>
    <t>Q8NEZ5_FBXO22</t>
  </si>
  <si>
    <t>Q8NFC6_BOD1L1</t>
  </si>
  <si>
    <t>Q8NFH3_NUP43</t>
  </si>
  <si>
    <t>Q8NFH4_NUP37</t>
  </si>
  <si>
    <t>Q8NFH8-4_REPS2</t>
  </si>
  <si>
    <t>Q8NFI3_ENGASE</t>
  </si>
  <si>
    <t>Q8NFQ8_TOR1AIP2</t>
  </si>
  <si>
    <t>Q8NFU3-4_TSTD1</t>
  </si>
  <si>
    <t>Q8NFU3_TSTD1</t>
  </si>
  <si>
    <t>Q8NFV4_ABHD11</t>
  </si>
  <si>
    <t>Q8NFW8_CMAS</t>
  </si>
  <si>
    <t>Q8NHG8_ZNRF2</t>
  </si>
  <si>
    <t>Q8NHH9-2_ATL2</t>
  </si>
  <si>
    <t>Q8NHM4_TRY6</t>
  </si>
  <si>
    <t>Q8NI08-2_NCOA7</t>
  </si>
  <si>
    <t>Q8NI27_THOC2</t>
  </si>
  <si>
    <t>Q8NI60_ADCK3</t>
  </si>
  <si>
    <t>Q8TAE8_GADD45GIP1</t>
  </si>
  <si>
    <t>Q8TAQ2-2_SMARCC2</t>
  </si>
  <si>
    <t>Q8TAT6_NPLOC4</t>
  </si>
  <si>
    <t>Q8TB03_CXorf38</t>
  </si>
  <si>
    <t>Q8TB22_SPATA20</t>
  </si>
  <si>
    <t>Q8TB45_DEPTOR</t>
  </si>
  <si>
    <t>Q8TBA6-2_GOLGA5</t>
  </si>
  <si>
    <t>Q8TBC4_UBA3</t>
  </si>
  <si>
    <t>Q8TBG4-2_AGXT2L1</t>
  </si>
  <si>
    <t>Q8TBX8_PIP4K2C</t>
  </si>
  <si>
    <t>Q8TC07-2_TBC1D15</t>
  </si>
  <si>
    <t>Q8TCA0_LRRC20</t>
  </si>
  <si>
    <t>Q8TCD5_NT5C</t>
  </si>
  <si>
    <t>Q8TCE6-2_FAM45A</t>
  </si>
  <si>
    <t>Q8TCS8_PNPT1</t>
  </si>
  <si>
    <t>Q8TD19_NEK9</t>
  </si>
  <si>
    <t>Q8TD30_GPT2</t>
  </si>
  <si>
    <t>Q8TDB6_DTX3L</t>
  </si>
  <si>
    <t>Q8TDH9-2_BLOC1S5</t>
  </si>
  <si>
    <t>Q8TDI8_TMC1</t>
  </si>
  <si>
    <t>Q8TDX5_ACMSD</t>
  </si>
  <si>
    <t>Q8TE04_PANK1</t>
  </si>
  <si>
    <t>Q8TE77_SSH3</t>
  </si>
  <si>
    <t>Q8TEA1_NSUN6</t>
  </si>
  <si>
    <t>Q8TEA8_DTD1</t>
  </si>
  <si>
    <t>Q8TEB1-2_DCAF11</t>
  </si>
  <si>
    <t>Q8TEH3_DENND1A</t>
  </si>
  <si>
    <t>Q8TEQ6_GEMIN5</t>
  </si>
  <si>
    <t>Q8TER5-4_ARHGEF40</t>
  </si>
  <si>
    <t>Q8TEW0-5_PARD3</t>
  </si>
  <si>
    <t>Q8TEX9_IPO4</t>
  </si>
  <si>
    <t>Q8TF05-2_PPP4R1</t>
  </si>
  <si>
    <t>Q8TF65_GIPC2</t>
  </si>
  <si>
    <t>Q8TF72_SHROOM3</t>
  </si>
  <si>
    <t>Q8TF74_WIPF2</t>
  </si>
  <si>
    <t>Q8WTS6_SETD7</t>
  </si>
  <si>
    <t>Q8WU79-3_SMAP2</t>
  </si>
  <si>
    <t>Q8WU90_ZC3H15</t>
  </si>
  <si>
    <t>Q8WUA2_PPIL4</t>
  </si>
  <si>
    <t>Q8WUA7-3_TBC1D22A</t>
  </si>
  <si>
    <t>Q8WUH6_C12orf23</t>
  </si>
  <si>
    <t>Q8WUM4_PDCD6IP</t>
  </si>
  <si>
    <t>Q8WUN7_UBTD2</t>
  </si>
  <si>
    <t>Q8WUR7_C15orf40</t>
  </si>
  <si>
    <t>Q8WUW1_BRK1</t>
  </si>
  <si>
    <t>Q8WUX9_CHMP7</t>
  </si>
  <si>
    <t>Q8WV28_BLNK</t>
  </si>
  <si>
    <t>Q8WV41_SNX33</t>
  </si>
  <si>
    <t>Q8WV74_NUDT8</t>
  </si>
  <si>
    <t>Q8WV99-2_ZFAND2B</t>
  </si>
  <si>
    <t>Q8WVB3_HEXDC</t>
  </si>
  <si>
    <t>Q8WVC0_LEO1</t>
  </si>
  <si>
    <t>Q8WVJ2_NUDCD2</t>
  </si>
  <si>
    <t>Q8WVM8_SCFD1</t>
  </si>
  <si>
    <t>Q8WVT3_TRAPPC12</t>
  </si>
  <si>
    <t>Q8WVY7_UBLCP1</t>
  </si>
  <si>
    <t>Q8WW12_PCNP</t>
  </si>
  <si>
    <t>Q8WW59_SPRYD4</t>
  </si>
  <si>
    <t>Q8WWH5_TRUB1</t>
  </si>
  <si>
    <t>Q8WWI1-3_LMO7</t>
  </si>
  <si>
    <t>Q8WWM7_ATXN2L</t>
  </si>
  <si>
    <t>Q8WWV3-2_RTN4IP1</t>
  </si>
  <si>
    <t>Q8WWY3_PRPF31</t>
  </si>
  <si>
    <t>Q8WX92_NELFB</t>
  </si>
  <si>
    <t>Q8WXA9-2_SREK1</t>
  </si>
  <si>
    <t>Q8WXD5_GEMIN6</t>
  </si>
  <si>
    <t>Q8WXE0_CASKIN2</t>
  </si>
  <si>
    <t>Q8WXF1_PSPC1</t>
  </si>
  <si>
    <t>Q8WXG6-6_MADD</t>
  </si>
  <si>
    <t>Q8WXH0_SYNE2</t>
  </si>
  <si>
    <t>Q8WXI9_GATAD2B</t>
  </si>
  <si>
    <t>Q8WY91-2_THAP4</t>
  </si>
  <si>
    <t>Q8WYK0_ACOT12</t>
  </si>
  <si>
    <t>Q8WYP5_AHCTF1</t>
  </si>
  <si>
    <t>Q8WZ42-5_TTN</t>
  </si>
  <si>
    <t>Q8WZ82_OVCA2</t>
  </si>
  <si>
    <t>Q8WZA0_LZIC</t>
  </si>
  <si>
    <t>Q8WZA9_IRGQ</t>
  </si>
  <si>
    <t>Q92499_DDX1</t>
  </si>
  <si>
    <t>Q92506_HSD17B8</t>
  </si>
  <si>
    <t>Q92526_CCT6B</t>
  </si>
  <si>
    <t>Q92538_GBF1</t>
  </si>
  <si>
    <t>Q92541_RTF1</t>
  </si>
  <si>
    <t>Q92545_TMEM131</t>
  </si>
  <si>
    <t>Q92552_MRPS27</t>
  </si>
  <si>
    <t>Q92556_ELMO1</t>
  </si>
  <si>
    <t>Q92572_AP3S1</t>
  </si>
  <si>
    <t>Q92575_UBXN4</t>
  </si>
  <si>
    <t>Q92576-2_PHF3</t>
  </si>
  <si>
    <t>Q92597_NDRG1</t>
  </si>
  <si>
    <t>Q92598-2_HSPH1</t>
  </si>
  <si>
    <t>Q92599-2_SEPT8</t>
  </si>
  <si>
    <t>Q92609_TBC1D5</t>
  </si>
  <si>
    <t>Q92614-4_MYO18A</t>
  </si>
  <si>
    <t>Q92615_LARP4B</t>
  </si>
  <si>
    <t>Q92616_GCN1L1</t>
  </si>
  <si>
    <t>Q92621_NUP205</t>
  </si>
  <si>
    <t>Q92665_MRPS31</t>
  </si>
  <si>
    <t>Q92667_AKAP1</t>
  </si>
  <si>
    <t>Q92688-2_ANP32B</t>
  </si>
  <si>
    <t>Q92696_RABGGTA</t>
  </si>
  <si>
    <t>Q92734-2_TFG</t>
  </si>
  <si>
    <t>Q92738_USP6NL</t>
  </si>
  <si>
    <t>Q92747_ARPC1A</t>
  </si>
  <si>
    <t>Q92748_THRSP</t>
  </si>
  <si>
    <t>Q92766-3_RREB1</t>
  </si>
  <si>
    <t>Q92783-2_STAM</t>
  </si>
  <si>
    <t>Q92784-2_DPF3</t>
  </si>
  <si>
    <t>Q92804-2_TAF15</t>
  </si>
  <si>
    <t>Q92805_GOLGA1</t>
  </si>
  <si>
    <t>Q92820_GGH</t>
  </si>
  <si>
    <t>Q92841_DDX17</t>
  </si>
  <si>
    <t>Q92878_RAD50</t>
  </si>
  <si>
    <t>Q92879-5_CELF1</t>
  </si>
  <si>
    <t>Q92882_OSTF1</t>
  </si>
  <si>
    <t>Q92888-2_ARHGEF1</t>
  </si>
  <si>
    <t>Q92890-3_UFD1L</t>
  </si>
  <si>
    <t>Q92900-2_UPF1</t>
  </si>
  <si>
    <t>Q92905_COPS5</t>
  </si>
  <si>
    <t>Q92917_GPKOW</t>
  </si>
  <si>
    <t>Q92922_SMARCC1</t>
  </si>
  <si>
    <t>Q92934_BAD</t>
  </si>
  <si>
    <t>Q92945_KHSRP</t>
  </si>
  <si>
    <t>Q92947_GCDH</t>
  </si>
  <si>
    <t>Q92973-2_TNPO1</t>
  </si>
  <si>
    <t>Q92979_EMG1</t>
  </si>
  <si>
    <t>Q93008-1_USP9X</t>
  </si>
  <si>
    <t>Q93034_CUL5</t>
  </si>
  <si>
    <t>Q93052_LPP</t>
  </si>
  <si>
    <t>Q93062-4_RBPMS</t>
  </si>
  <si>
    <t>Q93077_HIST1H2AC</t>
  </si>
  <si>
    <t>Q93088_BHMT</t>
  </si>
  <si>
    <t>Q93096_PTP4A1</t>
  </si>
  <si>
    <t>Q93099_HGD</t>
  </si>
  <si>
    <t>Q93100-4_PHKB</t>
  </si>
  <si>
    <t>Q969G6_RFK</t>
  </si>
  <si>
    <t>Q969H8_C19orf10</t>
  </si>
  <si>
    <t>Q969I3_GLYATL1</t>
  </si>
  <si>
    <t>Q969Q0_RPL36AL</t>
  </si>
  <si>
    <t>Q969T7-2_NT5C3B</t>
  </si>
  <si>
    <t>Q969Z0_TBRG4</t>
  </si>
  <si>
    <t>Q96A49_SYAP1</t>
  </si>
  <si>
    <t>Q96A65_EXOC4</t>
  </si>
  <si>
    <t>Q96AB3_ISOC2</t>
  </si>
  <si>
    <t>Q96AC1_FERMT2</t>
  </si>
  <si>
    <t>Q96AE4-2_FUBP1</t>
  </si>
  <si>
    <t>Q96AG4_LRRC59</t>
  </si>
  <si>
    <t>Q96AT1_KIAA1143</t>
  </si>
  <si>
    <t>Q96B26_EXOSC8</t>
  </si>
  <si>
    <t>Q96B36_AKT1S1</t>
  </si>
  <si>
    <t>Q96B45_C10orf32</t>
  </si>
  <si>
    <t>Q96B54_ZNF428</t>
  </si>
  <si>
    <t>Q96B97_SH3KBP1</t>
  </si>
  <si>
    <t>Q96BH1_RNF25</t>
  </si>
  <si>
    <t>Q96BM9_ARL8A</t>
  </si>
  <si>
    <t>Q96BN8_FAM105B</t>
  </si>
  <si>
    <t>Q96BP3_PPWD1</t>
  </si>
  <si>
    <t>Q96BR5_SELRC1</t>
  </si>
  <si>
    <t>Q96BW5-2_PTER</t>
  </si>
  <si>
    <t>Q96BY7_ATG2B</t>
  </si>
  <si>
    <t>Q96C01_FAM136A</t>
  </si>
  <si>
    <t>Q96C11_FGGY</t>
  </si>
  <si>
    <t>Q96C19_EFHD2</t>
  </si>
  <si>
    <t>Q96C23_GALM</t>
  </si>
  <si>
    <t>Q96C24_SYTL4</t>
  </si>
  <si>
    <t>Q96C86_DCPS</t>
  </si>
  <si>
    <t>Q96CB8_INTS12</t>
  </si>
  <si>
    <t>Q96CD0_FBXL8</t>
  </si>
  <si>
    <t>Q96CN7_ISOC1</t>
  </si>
  <si>
    <t>Q96CN9_GCC1</t>
  </si>
  <si>
    <t>Q96CP2_FLYWCH2</t>
  </si>
  <si>
    <t>Q96CT7_CCDC124</t>
  </si>
  <si>
    <t>Q96CV9_OPTN</t>
  </si>
  <si>
    <t>Q96CW1-2_AP2M1</t>
  </si>
  <si>
    <t>Q96CX2_KCTD12</t>
  </si>
  <si>
    <t>Q96D46_NMD3</t>
  </si>
  <si>
    <t>Q96D71-2_REPS1</t>
  </si>
  <si>
    <t>Q96DC8_ECHDC3</t>
  </si>
  <si>
    <t>Q96DE0_NUDT16</t>
  </si>
  <si>
    <t>Q96DG6_CMBL</t>
  </si>
  <si>
    <t>Q96DR7_ARHGEF26</t>
  </si>
  <si>
    <t>Q96DX5_ASB9</t>
  </si>
  <si>
    <t>Q96E11-3_MRRF</t>
  </si>
  <si>
    <t>Q96E39_RBMXL1</t>
  </si>
  <si>
    <t>Q96EB1_ELP4</t>
  </si>
  <si>
    <t>Q96EB6_SIRT1</t>
  </si>
  <si>
    <t>Q96ED9-2_HOOK2</t>
  </si>
  <si>
    <t>Q96EI5_TCEAL4</t>
  </si>
  <si>
    <t>Q96EK5_KIAA1279</t>
  </si>
  <si>
    <t>Q96EK6_GNPNAT1</t>
  </si>
  <si>
    <t>Q96EL3_MRPL53</t>
  </si>
  <si>
    <t>Q96EM0_L3HYPDH</t>
  </si>
  <si>
    <t>Q96EN8_MOCOS</t>
  </si>
  <si>
    <t>Q96EP0_RNF31</t>
  </si>
  <si>
    <t>Q96EP5-2_DAZAP1</t>
  </si>
  <si>
    <t>Q96EV2_RBM33</t>
  </si>
  <si>
    <t>Q96EV8_DTNBP1</t>
  </si>
  <si>
    <t>Q96EY7_PTCD3</t>
  </si>
  <si>
    <t>Q96EY8_MMAB</t>
  </si>
  <si>
    <t>Q96F10_SAT2</t>
  </si>
  <si>
    <t>Q96F24-2_NRBF2</t>
  </si>
  <si>
    <t>Q96FJ2_DYNLL2</t>
  </si>
  <si>
    <t>Q96FV2_SCRN2</t>
  </si>
  <si>
    <t>Q96G03_PGM2</t>
  </si>
  <si>
    <t>Q96G46_DUS3L</t>
  </si>
  <si>
    <t>Q96GA7_SDSL</t>
  </si>
  <si>
    <t>Q96GD0_PDXP</t>
  </si>
  <si>
    <t>Q96GE6_CALML4</t>
  </si>
  <si>
    <t>Q96GF1_RNF185</t>
  </si>
  <si>
    <t>Q96GG9_DCUN1D1</t>
  </si>
  <si>
    <t>Q96GK7_FAHD2A</t>
  </si>
  <si>
    <t>Q96GS4_C17orf59</t>
  </si>
  <si>
    <t>Q96GW9_MARS2</t>
  </si>
  <si>
    <t>Q96GX2_ATXN7L3B</t>
  </si>
  <si>
    <t>Q96GX9_APIP</t>
  </si>
  <si>
    <t>Q96H20_SNF8</t>
  </si>
  <si>
    <t>Q96HC4_PDLIM5</t>
  </si>
  <si>
    <t>Q96HD9_ACY3</t>
  </si>
  <si>
    <t>Q96HE7_ERO1L</t>
  </si>
  <si>
    <t>Q96HJ9-2_C7orf55</t>
  </si>
  <si>
    <t>Q96HJ9_C7orf55</t>
  </si>
  <si>
    <t>Q96HN2-4_AHCYL2</t>
  </si>
  <si>
    <t>Q96HP4_OXNAD1</t>
  </si>
  <si>
    <t>Q96HQ2-2_CDKN2AIPNL</t>
  </si>
  <si>
    <t>Q96HR9_REEP6</t>
  </si>
  <si>
    <t>Q96HS1_PGAM5</t>
  </si>
  <si>
    <t>Q96HY6-2_DDRGK1</t>
  </si>
  <si>
    <t>Q96HY7_DHTKD1</t>
  </si>
  <si>
    <t>Q96I15_SCLY</t>
  </si>
  <si>
    <t>Q96I23_PYURF</t>
  </si>
  <si>
    <t>Q96I24_FUBP3</t>
  </si>
  <si>
    <t>Q96I25_RBM17</t>
  </si>
  <si>
    <t>Q96I51_WBSCR16</t>
  </si>
  <si>
    <t>Q96I59_NARS2</t>
  </si>
  <si>
    <t>Q96I99_SUCLG2</t>
  </si>
  <si>
    <t>Q96IF1_AJUBA</t>
  </si>
  <si>
    <t>Q96IJ6_GMPPA</t>
  </si>
  <si>
    <t>Q96IU4_ABHD14B</t>
  </si>
  <si>
    <t>Q96IV0-3_NGLY1</t>
  </si>
  <si>
    <t>Q96IZ0_PAWR</t>
  </si>
  <si>
    <t>Q96J02-2_ITCH</t>
  </si>
  <si>
    <t>Q96JB2_COG3</t>
  </si>
  <si>
    <t>Q96JB5-2_CDK5RAP3</t>
  </si>
  <si>
    <t>Q96JE7_SEC16B</t>
  </si>
  <si>
    <t>Q96JG6-3_CCDC132</t>
  </si>
  <si>
    <t>Q96JH7_VCPIP1</t>
  </si>
  <si>
    <t>Q96JM3_CHAMP1</t>
  </si>
  <si>
    <t>Q96JP5-2_ZFP91</t>
  </si>
  <si>
    <t>Q96JQ2_CLMN</t>
  </si>
  <si>
    <t>Q96JY6_PDLIM2</t>
  </si>
  <si>
    <t>Q96KC8_DNAJC1</t>
  </si>
  <si>
    <t>Q96KG9-3_SCYL1</t>
  </si>
  <si>
    <t>Q96KM6_ZNF512B</t>
  </si>
  <si>
    <t>Q96KP1_EXOC2</t>
  </si>
  <si>
    <t>Q96KP4_CNDP2</t>
  </si>
  <si>
    <t>Q96KR1_ZFR</t>
  </si>
  <si>
    <t>Q96L92_SNX27</t>
  </si>
  <si>
    <t>Q96LJ7_DHRS1</t>
  </si>
  <si>
    <t>Q96M20-2_CNBD2</t>
  </si>
  <si>
    <t>Q96M27_PRRC1</t>
  </si>
  <si>
    <t>Q96ME1-4_FBXL18</t>
  </si>
  <si>
    <t>Q96MH2_HEXIM2</t>
  </si>
  <si>
    <t>Q96MU7-2_YTHDC1</t>
  </si>
  <si>
    <t>Q96MW1_CCDC43</t>
  </si>
  <si>
    <t>Q96N76_UROC1</t>
  </si>
  <si>
    <t>Q96NC0_ZMAT2</t>
  </si>
  <si>
    <t>Q96NL8_C8orf37</t>
  </si>
  <si>
    <t>Q96NU7_AMDHD1</t>
  </si>
  <si>
    <t>Q96P47_AGAP3</t>
  </si>
  <si>
    <t>Q96P48-7_ARAP1</t>
  </si>
  <si>
    <t>Q96P70_IPO9</t>
  </si>
  <si>
    <t>Q96PD5_PGLYRP2</t>
  </si>
  <si>
    <t>Q96PE7_MCEE</t>
  </si>
  <si>
    <t>Q96PK6_RBM14</t>
  </si>
  <si>
    <t>Q96PM5-3_RCHY1</t>
  </si>
  <si>
    <t>Q96PU5-2_NEDD4L</t>
  </si>
  <si>
    <t>Q96PU8-5_QKI</t>
  </si>
  <si>
    <t>Q96PZ0_PUS7</t>
  </si>
  <si>
    <t>Q96Q05-3_TRAPPC9</t>
  </si>
  <si>
    <t>Q96Q06-2_PLIN4</t>
  </si>
  <si>
    <t>Q96Q11-2_TRNT1</t>
  </si>
  <si>
    <t>Q96QC0_PPP1R10</t>
  </si>
  <si>
    <t>Q96QG7_MTMR9</t>
  </si>
  <si>
    <t>Q96QK1_VPS35</t>
  </si>
  <si>
    <t>Q96QR8_PURB</t>
  </si>
  <si>
    <t>Q96QU8_XPO6</t>
  </si>
  <si>
    <t>Q96QZ7-7_MAGI1</t>
  </si>
  <si>
    <t>Q96RE7_NACC1</t>
  </si>
  <si>
    <t>Q96RF0-2_SNX18</t>
  </si>
  <si>
    <t>Q96RP9_GFM1</t>
  </si>
  <si>
    <t>Q96RQ3_MCCC1</t>
  </si>
  <si>
    <t>Q96RS6-3_NUDCD1</t>
  </si>
  <si>
    <t>Q96RT1-7_ERBB2IP</t>
  </si>
  <si>
    <t>Q96RW7-2_HMCN1</t>
  </si>
  <si>
    <t>Q96S19_C16orf13</t>
  </si>
  <si>
    <t>Q96S44_TP53RK</t>
  </si>
  <si>
    <t>Q96S59-2_RANBP9</t>
  </si>
  <si>
    <t>Q96S66-4_CLCC1</t>
  </si>
  <si>
    <t>Q96ST2-2_IWS1</t>
  </si>
  <si>
    <t>Q96ST3_SIN3A</t>
  </si>
  <si>
    <t>Q96SU4-7_OSBPL9</t>
  </si>
  <si>
    <t>Q96SZ5_ADO</t>
  </si>
  <si>
    <t>Q96T37-2_RBM15</t>
  </si>
  <si>
    <t>Q96T51_RUFY1</t>
  </si>
  <si>
    <t>Q96T58_SPEN</t>
  </si>
  <si>
    <t>Q96T76_MMS19</t>
  </si>
  <si>
    <t>Q99417_MYCBP</t>
  </si>
  <si>
    <t>Q99424_ACOX2</t>
  </si>
  <si>
    <t>Q99426_TBCB</t>
  </si>
  <si>
    <t>Q99436_PSMB7</t>
  </si>
  <si>
    <t>Q99447-3_PCYT2</t>
  </si>
  <si>
    <t>Q99459_CDC5L</t>
  </si>
  <si>
    <t>Q99460_PSMD1</t>
  </si>
  <si>
    <t>Q99471_PFDN5</t>
  </si>
  <si>
    <t>Q99487_PAFAH2</t>
  </si>
  <si>
    <t>Q99489_DDO</t>
  </si>
  <si>
    <t>Q99497_PARK7</t>
  </si>
  <si>
    <t>Q99519_NEU1</t>
  </si>
  <si>
    <t>Q99536_VAT1</t>
  </si>
  <si>
    <t>Q99543_DNAJC2</t>
  </si>
  <si>
    <t>Q99567_NUP88</t>
  </si>
  <si>
    <t>Q99569-2_PKP4</t>
  </si>
  <si>
    <t>Q99570_PIK3R4</t>
  </si>
  <si>
    <t>Q99575_POP1</t>
  </si>
  <si>
    <t>Q99576-4_TSC22D3</t>
  </si>
  <si>
    <t>Q99584_S100A13</t>
  </si>
  <si>
    <t>Q99590-2_SCAF11</t>
  </si>
  <si>
    <t>Q99598_TSNAX</t>
  </si>
  <si>
    <t>Q99611_SEPHS2</t>
  </si>
  <si>
    <t>Q99614_TTC1</t>
  </si>
  <si>
    <t>Q99615_DNAJC7</t>
  </si>
  <si>
    <t>Q99622_C12orf57</t>
  </si>
  <si>
    <t>Q99624_SLC38A3</t>
  </si>
  <si>
    <t>Q99627-2_COPS8</t>
  </si>
  <si>
    <t>Q99707_MTR</t>
  </si>
  <si>
    <t>Q99714_HSD17B10</t>
  </si>
  <si>
    <t>Q99733_NAP1L4</t>
  </si>
  <si>
    <t>Q99747_NAPG</t>
  </si>
  <si>
    <t>Q99757_TXN2</t>
  </si>
  <si>
    <t>Q99766_ATP5S</t>
  </si>
  <si>
    <t>Q99797_MIPEP</t>
  </si>
  <si>
    <t>Q99798_ACO2</t>
  </si>
  <si>
    <t>Q99807-2_COQ7</t>
  </si>
  <si>
    <t>Q99832_CCT7</t>
  </si>
  <si>
    <t>Q99836_MYD88</t>
  </si>
  <si>
    <t>Q99880_HIST1H2BL</t>
  </si>
  <si>
    <t>Q99933-4_BAG1</t>
  </si>
  <si>
    <t>Q99952_PTPN18</t>
  </si>
  <si>
    <t>Q99959-2_PKP2</t>
  </si>
  <si>
    <t>Q99961_SH3GL1</t>
  </si>
  <si>
    <t>Q99996-5_AKAP9</t>
  </si>
  <si>
    <t>Q9BPW8_NIPSNAP1</t>
  </si>
  <si>
    <t>Q9BPX5_ARPC5L</t>
  </si>
  <si>
    <t>Q9BQ52_ELAC2</t>
  </si>
  <si>
    <t>Q9BQ61_C19orf43</t>
  </si>
  <si>
    <t>Q9BQ67_GRWD1</t>
  </si>
  <si>
    <t>Q9BQ69_MACROD1</t>
  </si>
  <si>
    <t>Q9BQC3-2_DPH2</t>
  </si>
  <si>
    <t>Q9BQE5_APOL2</t>
  </si>
  <si>
    <t>Q9BQG0_MYBBP1A</t>
  </si>
  <si>
    <t>Q9BQG2_NUDT12</t>
  </si>
  <si>
    <t>Q9BQK8_LPIN3</t>
  </si>
  <si>
    <t>Q9BQP7_MGME1</t>
  </si>
  <si>
    <t>Q9BQS8_FYCO1</t>
  </si>
  <si>
    <t>Q9BR76_CORO1B</t>
  </si>
  <si>
    <t>Q9BRA2_TXNDC17</t>
  </si>
  <si>
    <t>Q9BRF8_CPPED1</t>
  </si>
  <si>
    <t>Q9BRG1_VPS25</t>
  </si>
  <si>
    <t>Q9BRK5_SDF4</t>
  </si>
  <si>
    <t>Q9BRP4_PAAF1</t>
  </si>
  <si>
    <t>Q9BRP8-2_WIBG</t>
  </si>
  <si>
    <t>Q9BRT3_MIEN1</t>
  </si>
  <si>
    <t>Q9BRV8_SIKE1</t>
  </si>
  <si>
    <t>Q9BRZ2_TRIM56</t>
  </si>
  <si>
    <t>Q9BS26_ERP44</t>
  </si>
  <si>
    <t>Q9BSE5_AGMAT</t>
  </si>
  <si>
    <t>Q9BSH4_TACO1</t>
  </si>
  <si>
    <t>Q9BSH5_HDHD3</t>
  </si>
  <si>
    <t>Q9BSJ5-3_C17orf80</t>
  </si>
  <si>
    <t>Q9BSJ8_ESYT1</t>
  </si>
  <si>
    <t>Q9BSL1_UBAC1</t>
  </si>
  <si>
    <t>Q9BST9-3_RTKN</t>
  </si>
  <si>
    <t>Q9BSU1_C16orf70</t>
  </si>
  <si>
    <t>Q9BSY4_CHCHD5</t>
  </si>
  <si>
    <t>Q9BT09_CNPY3</t>
  </si>
  <si>
    <t>Q9BT30_ALKBH7</t>
  </si>
  <si>
    <t>Q9BT73_PSMG3</t>
  </si>
  <si>
    <t>Q9BT78_COPS4</t>
  </si>
  <si>
    <t>Q9BTC0_DIDO1</t>
  </si>
  <si>
    <t>Q9BTE1-2_DCTN5</t>
  </si>
  <si>
    <t>Q9BTE3-2_MCMBP</t>
  </si>
  <si>
    <t>Q9BTE6_AARSD1</t>
  </si>
  <si>
    <t>Q9BTM9_URM1</t>
  </si>
  <si>
    <t>Q9BTT0-3_ANP32E</t>
  </si>
  <si>
    <t>Q9BTW9_TBCD</t>
  </si>
  <si>
    <t>Q9BTX7_TTPAL</t>
  </si>
  <si>
    <t>Q9BTY2_FUCA2</t>
  </si>
  <si>
    <t>Q9BTY7_FAM203A</t>
  </si>
  <si>
    <t>Q9BTZ2_DHRS4</t>
  </si>
  <si>
    <t>Q9BU02_THTPA</t>
  </si>
  <si>
    <t>Q9BU89_DOHH</t>
  </si>
  <si>
    <t>Q9BUE0_MED18</t>
  </si>
  <si>
    <t>Q9BUE6_ISCA1</t>
  </si>
  <si>
    <t>Q9BUH6_C9orf142</t>
  </si>
  <si>
    <t>Q9BUJ2-2_HNRNPUL1</t>
  </si>
  <si>
    <t>Q9BUP0_EFHD1</t>
  </si>
  <si>
    <t>Q9BUQ8_DDX23</t>
  </si>
  <si>
    <t>Q9BUT1_BDH2</t>
  </si>
  <si>
    <t>Q9BUT9_FAM195A</t>
  </si>
  <si>
    <t>Q9BV19_C1orf50</t>
  </si>
  <si>
    <t>Q9BV20_MRI1</t>
  </si>
  <si>
    <t>Q9BV44_THUMPD3</t>
  </si>
  <si>
    <t>Q9BV57_ADI1</t>
  </si>
  <si>
    <t>Q9BV79_MECR</t>
  </si>
  <si>
    <t>Q9BV86_NTMT1</t>
  </si>
  <si>
    <t>Q9BVG4_PBDC1</t>
  </si>
  <si>
    <t>Q9BVJ7_DUSP23</t>
  </si>
  <si>
    <t>Q9BVL4_SELO</t>
  </si>
  <si>
    <t>Q9BVM4_GGACT</t>
  </si>
  <si>
    <t>Q9BVS5_TRMT61B</t>
  </si>
  <si>
    <t>Q9BW61_DDA1</t>
  </si>
  <si>
    <t>Q9BW71-2_HIRIP3</t>
  </si>
  <si>
    <t>Q9BW83_IFT27</t>
  </si>
  <si>
    <t>Q9BW91-2_NUDT9</t>
  </si>
  <si>
    <t>Q9BW92_TARS2</t>
  </si>
  <si>
    <t>Q9BWD1_ACAT2</t>
  </si>
  <si>
    <t>Q9BWE0_REPIN1</t>
  </si>
  <si>
    <t>Q9BWF3-4_RBM4</t>
  </si>
  <si>
    <t>Q9BWH6_RPAP1</t>
  </si>
  <si>
    <t>Q9BWU0_SLC4A1AP</t>
  </si>
  <si>
    <t>Q9BX66-9_SORBS1</t>
  </si>
  <si>
    <t>Q9BX68_HINT2</t>
  </si>
  <si>
    <t>Q9BX95_SGPP1</t>
  </si>
  <si>
    <t>Q9BXI6_TBC1D10A</t>
  </si>
  <si>
    <t>Q9BXJ9_NAA15</t>
  </si>
  <si>
    <t>Q9BXK5_BCL2L13</t>
  </si>
  <si>
    <t>Q9BXP5-5_SRRT</t>
  </si>
  <si>
    <t>Q9BXR0_QTRT1</t>
  </si>
  <si>
    <t>Q9BXS6-7_NUSAP1</t>
  </si>
  <si>
    <t>Q9BXV9_C14orf142</t>
  </si>
  <si>
    <t>Q9BXW6-2_OSBPL1A</t>
  </si>
  <si>
    <t>Q9BXW7-2_CECR5</t>
  </si>
  <si>
    <t>Q9BY32_ITPA</t>
  </si>
  <si>
    <t>Q9BY42_RTFDC1</t>
  </si>
  <si>
    <t>Q9BY43_CHMP4A</t>
  </si>
  <si>
    <t>Q9BY49_PECR</t>
  </si>
  <si>
    <t>Q9BY77_POLDIP3</t>
  </si>
  <si>
    <t>Q9BY89_KIAA1671</t>
  </si>
  <si>
    <t>Q9BYE9_CDHR2</t>
  </si>
  <si>
    <t>Q9BYM8_RBCK1</t>
  </si>
  <si>
    <t>Q9BYN0_SRXN1</t>
  </si>
  <si>
    <t>Q9BYP7-3_WNK3</t>
  </si>
  <si>
    <t>Q9BYT8_NLN</t>
  </si>
  <si>
    <t>Q9BYV1_AGXT2</t>
  </si>
  <si>
    <t>Q9BYV7-4_BCO2</t>
  </si>
  <si>
    <t>Q9BYX4_IFIH1</t>
  </si>
  <si>
    <t>Q9BZ23-3_PANK2</t>
  </si>
  <si>
    <t>Q9BZE2_PUS3</t>
  </si>
  <si>
    <t>Q9BZE9_ASPSCR1</t>
  </si>
  <si>
    <t>Q9BZH6_WDR11</t>
  </si>
  <si>
    <t>Q9BZI7-2_UPF3B</t>
  </si>
  <si>
    <t>Q9BZK7_TBL1XR1</t>
  </si>
  <si>
    <t>Q9BZL1_UBL5</t>
  </si>
  <si>
    <t>Q9BZL4_PPP1R12C</t>
  </si>
  <si>
    <t>Q9BZZ5-2_API5</t>
  </si>
  <si>
    <t>Q9C005_DPY30</t>
  </si>
  <si>
    <t>Q9C040_TRIM2</t>
  </si>
  <si>
    <t>Q9C0B0_UNK</t>
  </si>
  <si>
    <t>Q9C0B1_FTO</t>
  </si>
  <si>
    <t>Q9C0B5-2_ZDHHC5</t>
  </si>
  <si>
    <t>Q9C0C2_TNKS1BP1</t>
  </si>
  <si>
    <t>Q9C0C9_UBE2O</t>
  </si>
  <si>
    <t>Q9C0G6_DNAH6</t>
  </si>
  <si>
    <t>Q9C0H9-5_SRCIN1</t>
  </si>
  <si>
    <t>Q9C0I1_MTMR12</t>
  </si>
  <si>
    <t>Q9C0J8_WDR33</t>
  </si>
  <si>
    <t>Q9GZN8_C20orf27</t>
  </si>
  <si>
    <t>Q9GZP4_PITHD1</t>
  </si>
  <si>
    <t>Q9GZQ3_COMMD5</t>
  </si>
  <si>
    <t>Q9GZT3-2_SLIRP</t>
  </si>
  <si>
    <t>Q9GZT8-2_NIF3L1</t>
  </si>
  <si>
    <t>Q9GZT9-2_EGLN1</t>
  </si>
  <si>
    <t>Q9GZU8_FAM192A</t>
  </si>
  <si>
    <t>Q9GZZ9_UBA5</t>
  </si>
  <si>
    <t>Q9H008_LHPP</t>
  </si>
  <si>
    <t>Q9H074_PAIP1</t>
  </si>
  <si>
    <t>Q9H098_FAM107B</t>
  </si>
  <si>
    <t>Q9H0C8_ILKAP</t>
  </si>
  <si>
    <t>Q9H0D6_XRN2</t>
  </si>
  <si>
    <t>Q9H0E2_TOLLIP</t>
  </si>
  <si>
    <t>Q9H0F6_SHARPIN</t>
  </si>
  <si>
    <t>Q9H0G5_NSRP1</t>
  </si>
  <si>
    <t>Q9H0K1_SIK2</t>
  </si>
  <si>
    <t>Q9H0L4_CSTF2T</t>
  </si>
  <si>
    <t>Q9H0P0-1_NT5C3A</t>
  </si>
  <si>
    <t>Q9H0R6_QRSL1</t>
  </si>
  <si>
    <t>Q9H0U4_RAB1B</t>
  </si>
  <si>
    <t>Q9H0W9_C11orf54</t>
  </si>
  <si>
    <t>Q9H1B7_IRF2BPL</t>
  </si>
  <si>
    <t>Q9H1E3_NUCKS1</t>
  </si>
  <si>
    <t>Q9H1H9-3_KIF13A</t>
  </si>
  <si>
    <t>Q9H1J1-2_UPF3A</t>
  </si>
  <si>
    <t>Q9H1K0_ZFYVE20</t>
  </si>
  <si>
    <t>Q9H1K1_ISCU</t>
  </si>
  <si>
    <t>Q9H1P3-2_OSBPL2</t>
  </si>
  <si>
    <t>Q9H1Y0_ATG5</t>
  </si>
  <si>
    <t>Q9H1Z4_WDR13</t>
  </si>
  <si>
    <t>Q9H223_EHD4</t>
  </si>
  <si>
    <t>Q9H227_GBA3</t>
  </si>
  <si>
    <t>Q9H267_VPS33B</t>
  </si>
  <si>
    <t>Q9H270_VPS11</t>
  </si>
  <si>
    <t>Q9H2A2_ALDH8A1</t>
  </si>
  <si>
    <t>Q9H2D6-5_TRIOBP</t>
  </si>
  <si>
    <t>Q9H2G2-2_SLK</t>
  </si>
  <si>
    <t>Q9H2H8_PPIL3</t>
  </si>
  <si>
    <t>Q9H2M3_BHMT2</t>
  </si>
  <si>
    <t>Q9H2M9_RAB3GAP2</t>
  </si>
  <si>
    <t>Q9H2P0_ADNP</t>
  </si>
  <si>
    <t>Q9H2P9-3_DPH5</t>
  </si>
  <si>
    <t>Q9H2U1-3_DHX36</t>
  </si>
  <si>
    <t>Q9H2U2_PPA2</t>
  </si>
  <si>
    <t>Q9H2W6_MRPL46</t>
  </si>
  <si>
    <t>Q9H307_PNN</t>
  </si>
  <si>
    <t>Q9H3G5_CPVL</t>
  </si>
  <si>
    <t>Q9H3H3_C11orf68</t>
  </si>
  <si>
    <t>Q9H3K6_BOLA2</t>
  </si>
  <si>
    <t>Q9H3P2_NELFA</t>
  </si>
  <si>
    <t>Q9H3P7_ACBD3</t>
  </si>
  <si>
    <t>Q9H3Q1_CDC42EP4</t>
  </si>
  <si>
    <t>Q9H3S7_PTPN23</t>
  </si>
  <si>
    <t>Q9H3U1-2_UNC45A</t>
  </si>
  <si>
    <t>Q9H400-2_LIME1</t>
  </si>
  <si>
    <t>Q9H444_CHMP4B</t>
  </si>
  <si>
    <t>Q9H479_FN3K</t>
  </si>
  <si>
    <t>Q9H488_POFUT1</t>
  </si>
  <si>
    <t>Q9H4A4_RNPEP</t>
  </si>
  <si>
    <t>Q9H4A6_GOLPH3</t>
  </si>
  <si>
    <t>Q9H4B0_OSGEPL1</t>
  </si>
  <si>
    <t>Q9H4I2_ZHX3</t>
  </si>
  <si>
    <t>Q9H4M9_EHD1</t>
  </si>
  <si>
    <t>Q9H5N1_RABEP2</t>
  </si>
  <si>
    <t>Q9H5Q4_TFB2M</t>
  </si>
  <si>
    <t>Q9H5X1_FAM96A</t>
  </si>
  <si>
    <t>Q9H6Q4-3_NARFL</t>
  </si>
  <si>
    <t>Q9H6R3_ACSS3</t>
  </si>
  <si>
    <t>Q9H6S0_YTHDC2</t>
  </si>
  <si>
    <t>Q9H6S3_EPS8L2</t>
  </si>
  <si>
    <t>Q9H6T0-2_ESRP2</t>
  </si>
  <si>
    <t>Q9H6T3-2_RPAP3</t>
  </si>
  <si>
    <t>Q9H773_DCTPP1</t>
  </si>
  <si>
    <t>Q9H777_ELAC1</t>
  </si>
  <si>
    <t>Q9H788_SH2D4A</t>
  </si>
  <si>
    <t>Q9H7C9_AAMDC</t>
  </si>
  <si>
    <t>Q9H7D0_DOCK5</t>
  </si>
  <si>
    <t>Q9H7E2-3_TDRD3</t>
  </si>
  <si>
    <t>Q9H7N4_SCAF1</t>
  </si>
  <si>
    <t>Q9H7Z6_KAT8</t>
  </si>
  <si>
    <t>Q9H7Z7_PTGES2</t>
  </si>
  <si>
    <t>Q9H814_PHAX</t>
  </si>
  <si>
    <t>Q9H832_UBE2Z</t>
  </si>
  <si>
    <t>Q9H845_ACAD9</t>
  </si>
  <si>
    <t>Q9H8S9_MOB1A</t>
  </si>
  <si>
    <t>Q9H8U3_ZFAND3</t>
  </si>
  <si>
    <t>Q9H8W4_PLEKHF2</t>
  </si>
  <si>
    <t>Q9H8Y8_GORASP2</t>
  </si>
  <si>
    <t>Q9H939_PSTPIP2</t>
  </si>
  <si>
    <t>Q9H974_QTRTD1</t>
  </si>
  <si>
    <t>Q9H993_C6orf211</t>
  </si>
  <si>
    <t>Q9H999_PANK3</t>
  </si>
  <si>
    <t>Q9H9A6_LRRC40</t>
  </si>
  <si>
    <t>Q9H9B1-4_EHMT1</t>
  </si>
  <si>
    <t>Q9H9C1-2_VIPAS39</t>
  </si>
  <si>
    <t>Q9H9E3_COG4</t>
  </si>
  <si>
    <t>Q9H9G7-2_AGO3</t>
  </si>
  <si>
    <t>Q9H9J2_MRPL44</t>
  </si>
  <si>
    <t>Q9H9S4_CAB39L</t>
  </si>
  <si>
    <t>Q9H9T3-2_ELP3</t>
  </si>
  <si>
    <t>Q9HA64_FN3KRP</t>
  </si>
  <si>
    <t>Q9HA65_TBC1D17</t>
  </si>
  <si>
    <t>Q9HA77_CARS2</t>
  </si>
  <si>
    <t>Q9HAB8_PPCS</t>
  </si>
  <si>
    <t>Q9HAC7-4_C7orf10</t>
  </si>
  <si>
    <t>Q9HAN9_NMNAT1</t>
  </si>
  <si>
    <t>Q9HAP2_MLXIP</t>
  </si>
  <si>
    <t>Q9HAT2_SIAE</t>
  </si>
  <si>
    <t>Q9HAU0_PLEKHA5</t>
  </si>
  <si>
    <t>Q9HAU5_UPF2</t>
  </si>
  <si>
    <t>Q9HAV4_XPO5</t>
  </si>
  <si>
    <t>Q9HAV7_GRPEL1</t>
  </si>
  <si>
    <t>Q9HB07_C12orf10</t>
  </si>
  <si>
    <t>Q9HB21_PLEKHA1</t>
  </si>
  <si>
    <t>Q9HB40_SCPEP1</t>
  </si>
  <si>
    <t>Q9HB71_CACYBP</t>
  </si>
  <si>
    <t>Q9HB90_RRAGC</t>
  </si>
  <si>
    <t>Q9HBF4-2_ZFYVE1</t>
  </si>
  <si>
    <t>Q9HBH1_PDF</t>
  </si>
  <si>
    <t>Q9HBI1_PARVB</t>
  </si>
  <si>
    <t>Q9HBK9_AS3MT</t>
  </si>
  <si>
    <t>Q9HBL8_NMRAL1</t>
  </si>
  <si>
    <t>Q9HBR0_SLC38A10</t>
  </si>
  <si>
    <t>Q9HC35_EML4</t>
  </si>
  <si>
    <t>Q9HC38-2_GLOD4</t>
  </si>
  <si>
    <t>Q9HCB6_SPON1</t>
  </si>
  <si>
    <t>Q9HCC0_MCCC2</t>
  </si>
  <si>
    <t>Q9HCC9-5_ZFYVE28</t>
  </si>
  <si>
    <t>Q9HCE5_METTL14</t>
  </si>
  <si>
    <t>Q9HCE6-3_ARHGEF10L</t>
  </si>
  <si>
    <t>Q9HCM4-2_EPB41L5</t>
  </si>
  <si>
    <t>Q9HCN4-3_GPN1</t>
  </si>
  <si>
    <t>Q9HCN8_SDF2L1</t>
  </si>
  <si>
    <t>Q9HD15_SRA1</t>
  </si>
  <si>
    <t>Q9HD26-2_GOPC</t>
  </si>
  <si>
    <t>Q9HD33-2_MRPL47</t>
  </si>
  <si>
    <t>Q9HD40_SEPSECS</t>
  </si>
  <si>
    <t>Q9HD42_CHMP1A</t>
  </si>
  <si>
    <t>Q9HD89_RETN</t>
  </si>
  <si>
    <t>Q9HDC5_JPH1</t>
  </si>
  <si>
    <t>Q9NP61_ARFGAP3</t>
  </si>
  <si>
    <t>Q9NP71-4_MLXIPL</t>
  </si>
  <si>
    <t>Q9NP72_RAB18</t>
  </si>
  <si>
    <t>Q9NP74_PALMD</t>
  </si>
  <si>
    <t>Q9NP77_SSU72</t>
  </si>
  <si>
    <t>Q9NP79_VTA1</t>
  </si>
  <si>
    <t>Q9NP97_DYNLRB1</t>
  </si>
  <si>
    <t>Q9NPA8-2_ENY2</t>
  </si>
  <si>
    <t>Q9NPD3_EXOSC4</t>
  </si>
  <si>
    <t>Q9NPF4_OSGEP</t>
  </si>
  <si>
    <t>Q9NPH0_ACP6</t>
  </si>
  <si>
    <t>Q9NPJ3_ACOT13</t>
  </si>
  <si>
    <t>Q9NPQ8-2_RIC8A</t>
  </si>
  <si>
    <t>Q9NQ88_TIGAR</t>
  </si>
  <si>
    <t>Q9NQ94-2_A1CF</t>
  </si>
  <si>
    <t>Q9NQG5_RPRD1B</t>
  </si>
  <si>
    <t>Q9NQH7-2_XPNPEP3</t>
  </si>
  <si>
    <t>Q9NQP4_PFDN4</t>
  </si>
  <si>
    <t>Q9NQR4_NIT2</t>
  </si>
  <si>
    <t>Q9NQS1_AVEN</t>
  </si>
  <si>
    <t>Q9NQT8_KIF13B</t>
  </si>
  <si>
    <t>Q9NQW7-3_XPNPEP1</t>
  </si>
  <si>
    <t>Q9NQX3_GPHN</t>
  </si>
  <si>
    <t>Q9NR19_ACSS2</t>
  </si>
  <si>
    <t>Q9NR28-2_DIABLO</t>
  </si>
  <si>
    <t>Q9NR30_DDX21</t>
  </si>
  <si>
    <t>Q9NR45_NANS</t>
  </si>
  <si>
    <t>Q9NR46_SH3GLB2</t>
  </si>
  <si>
    <t>Q9NR50_EIF2B3</t>
  </si>
  <si>
    <t>Q9NRF8_CTPS2</t>
  </si>
  <si>
    <t>Q9NRF9_POLE3</t>
  </si>
  <si>
    <t>Q9NRG7-2_SDR39U1</t>
  </si>
  <si>
    <t>Q9NRN7_AASDHPPT</t>
  </si>
  <si>
    <t>Q9NRP4_ACN9</t>
  </si>
  <si>
    <t>Q9NRR5_UBQLN4</t>
  </si>
  <si>
    <t>Q9NRV9_HEBP1</t>
  </si>
  <si>
    <t>Q9NRW7_VPS45</t>
  </si>
  <si>
    <t>Q9NRX4_PHPT1</t>
  </si>
  <si>
    <t>Q9NRY4_ARHGAP35</t>
  </si>
  <si>
    <t>Q9NRY5_FAM114A2</t>
  </si>
  <si>
    <t>Q9NS86_LANCL2</t>
  </si>
  <si>
    <t>Q9NSA3_CTNNBIP1</t>
  </si>
  <si>
    <t>Q9NSE4_IARS2</t>
  </si>
  <si>
    <t>Q9NSK0_KLC4</t>
  </si>
  <si>
    <t>Q9NSY0_NRBP2</t>
  </si>
  <si>
    <t>Q9NSY1-2_BMP2K</t>
  </si>
  <si>
    <t>Q9NSY2_STARD5</t>
  </si>
  <si>
    <t>Q9NT62_ATG3</t>
  </si>
  <si>
    <t>Q9NTG7-2_SIRT3</t>
  </si>
  <si>
    <t>Q9NTG7_SIRT3</t>
  </si>
  <si>
    <t>Q9NTI5-2_PDS5B</t>
  </si>
  <si>
    <t>Q9NTJ4-3_MAN2C1</t>
  </si>
  <si>
    <t>Q9NTK5-2_OLA1</t>
  </si>
  <si>
    <t>Q9NTK5_OLA1</t>
  </si>
  <si>
    <t>Q9NTX5-6_ECHDC1</t>
  </si>
  <si>
    <t>Q9NTZ6_RBM12</t>
  </si>
  <si>
    <t>Q9NU23_LYRM2</t>
  </si>
  <si>
    <t>Q9NUI1_DECR2</t>
  </si>
  <si>
    <t>Q9NUJ1_ABHD10</t>
  </si>
  <si>
    <t>Q9NUL5-4_C19orf66</t>
  </si>
  <si>
    <t>Q9NUP1_BLOC1S4</t>
  </si>
  <si>
    <t>Q9NUQ6_SPATS2L</t>
  </si>
  <si>
    <t>Q9NUQ8-2_ABCF3</t>
  </si>
  <si>
    <t>Q9NUQ9_FAM49B</t>
  </si>
  <si>
    <t>Q9NUV9_GIMAP4</t>
  </si>
  <si>
    <t>Q9NUY8-2_TBC1D23</t>
  </si>
  <si>
    <t>Q9NV35_NUDT15</t>
  </si>
  <si>
    <t>Q9NV56_MRGBP</t>
  </si>
  <si>
    <t>Q9NV70-2_EXOC1</t>
  </si>
  <si>
    <t>Q9NVD7_PARVA</t>
  </si>
  <si>
    <t>Q9NVE7_PANK4</t>
  </si>
  <si>
    <t>Q9NVF9_ETNK2</t>
  </si>
  <si>
    <t>Q9NVG8_TBC1D13</t>
  </si>
  <si>
    <t>Q9NVH6_TMLHE</t>
  </si>
  <si>
    <t>Q9NVM6_DNAJC17</t>
  </si>
  <si>
    <t>Q9NVR5_DNAAF2</t>
  </si>
  <si>
    <t>Q9NVS9_PNPO</t>
  </si>
  <si>
    <t>Q9NVT9_ARMC1</t>
  </si>
  <si>
    <t>Q9NVX2_NLE1</t>
  </si>
  <si>
    <t>Q9NVZ3_NECAP2</t>
  </si>
  <si>
    <t>Q9NW64_RBM22</t>
  </si>
  <si>
    <t>Q9NW68-4_BSDC1</t>
  </si>
  <si>
    <t>Q9NW82_WDR70</t>
  </si>
  <si>
    <t>Q9NWB6-2_ARGLU1</t>
  </si>
  <si>
    <t>Q9NWH9_SLTM</t>
  </si>
  <si>
    <t>Q9NWT8_AURKAIP1</t>
  </si>
  <si>
    <t>Q9NWU1_OXSM</t>
  </si>
  <si>
    <t>Q9NWU2_GID8</t>
  </si>
  <si>
    <t>Q9NWV4_C1orf123</t>
  </si>
  <si>
    <t>Q9NWW6_NMRK1</t>
  </si>
  <si>
    <t>Q9NWX6_THG1L</t>
  </si>
  <si>
    <t>Q9NWY4_C4orf27</t>
  </si>
  <si>
    <t>Q9NWZ3_IRAK4</t>
  </si>
  <si>
    <t>Q9NX08_COMMD8</t>
  </si>
  <si>
    <t>Q9NX38_FAM206A</t>
  </si>
  <si>
    <t>Q9NX46_ADPRHL2</t>
  </si>
  <si>
    <t>Q9NX55_HYPK</t>
  </si>
  <si>
    <t>Q9NXA8_SIRT5</t>
  </si>
  <si>
    <t>Q9NXD2_MTMR10</t>
  </si>
  <si>
    <t>Q9NXG2_THUMPD1</t>
  </si>
  <si>
    <t>Q9NXH9-2_TRMT1</t>
  </si>
  <si>
    <t>Q9NXR7-4_BRE</t>
  </si>
  <si>
    <t>Q9NXU5_ARL15</t>
  </si>
  <si>
    <t>Q9NXV6_CDKN2AIP</t>
  </si>
  <si>
    <t>Q9NXW2_DNAJB12</t>
  </si>
  <si>
    <t>Q9NY27_PPP4R2</t>
  </si>
  <si>
    <t>Q9NY33-4_DPP3</t>
  </si>
  <si>
    <t>Q9NYB0_TERF2IP</t>
  </si>
  <si>
    <t>Q9NYF8-2_BCLAF1</t>
  </si>
  <si>
    <t>Q9NYJ1_COA4</t>
  </si>
  <si>
    <t>Q9NYJ8-2_TAB2</t>
  </si>
  <si>
    <t>Q9NYL2-2_MLTK</t>
  </si>
  <si>
    <t>Q9NYL2_MLTK</t>
  </si>
  <si>
    <t>Q9NYL9_TMOD3</t>
  </si>
  <si>
    <t>Q9NYQ3_HAO2</t>
  </si>
  <si>
    <t>Q9NYU2-2_UGGT1</t>
  </si>
  <si>
    <t>Q9NYY8-2_FASTKD2</t>
  </si>
  <si>
    <t>Q9NZ08_ERAP1</t>
  </si>
  <si>
    <t>Q9NZ09-2_UBAP1</t>
  </si>
  <si>
    <t>Q9NZ32_ACTR10</t>
  </si>
  <si>
    <t>Q9NZ45_CISD1</t>
  </si>
  <si>
    <t>Q9NZ63_C9orf78</t>
  </si>
  <si>
    <t>Q9NZB2_FAM120A</t>
  </si>
  <si>
    <t>Q9NZB8-2_MOCS1</t>
  </si>
  <si>
    <t>Q9NZJ6_COQ3</t>
  </si>
  <si>
    <t>Q9NZJ9_NUDT4</t>
  </si>
  <si>
    <t>Q9NZL4_HSPBP1</t>
  </si>
  <si>
    <t>Q9NZL9_MAT2B</t>
  </si>
  <si>
    <t>Q9NZM3-2_ITSN2</t>
  </si>
  <si>
    <t>Q9NZN5-2_ARHGEF12</t>
  </si>
  <si>
    <t>Q9NZN8-4_CNOT2</t>
  </si>
  <si>
    <t>Q9NZN9-3_AIPL1</t>
  </si>
  <si>
    <t>Q9NZP8_C1RL</t>
  </si>
  <si>
    <t>Q9NZT2-2_OGFR</t>
  </si>
  <si>
    <t>Q9NZU5_LMCD1</t>
  </si>
  <si>
    <t>Q9NZZ3_CHMP5</t>
  </si>
  <si>
    <t>Q9P000_COMMD9</t>
  </si>
  <si>
    <t>Q9P013_CWC15</t>
  </si>
  <si>
    <t>Q9P016_THYN1</t>
  </si>
  <si>
    <t>Q9P0J1_PDP1</t>
  </si>
  <si>
    <t>Q9P0K7-3_RAI14</t>
  </si>
  <si>
    <t>Q9P0L0_VAPA</t>
  </si>
  <si>
    <t>Q9P0P8_C6orf203</t>
  </si>
  <si>
    <t>Q9P0R6_GSKIP</t>
  </si>
  <si>
    <t>Q9P0Z9_PIPOX</t>
  </si>
  <si>
    <t>Q9P1F3_ABRACL</t>
  </si>
  <si>
    <t>Q9P1U1_ACTR3B</t>
  </si>
  <si>
    <t>Q9P1Y5_CAMSAP3</t>
  </si>
  <si>
    <t>Q9P1Z2-2_CALCOCO1</t>
  </si>
  <si>
    <t>Q9P206-2_KIAA1522</t>
  </si>
  <si>
    <t>Q9P258_RCC2</t>
  </si>
  <si>
    <t>Q9P260_KIAA1468</t>
  </si>
  <si>
    <t>Q9P265_DIP2B</t>
  </si>
  <si>
    <t>Q9P270_SLAIN2</t>
  </si>
  <si>
    <t>Q9P287_BCCIP</t>
  </si>
  <si>
    <t>Q9P299_COPZ2</t>
  </si>
  <si>
    <t>Q9P2D3-3_HEATR5B</t>
  </si>
  <si>
    <t>Q9P2E9-2_RRBP1</t>
  </si>
  <si>
    <t>Q9P2E9_RRBP1</t>
  </si>
  <si>
    <t>Q9P2K8-2_EIF2AK4</t>
  </si>
  <si>
    <t>Q9P2M7_CGN</t>
  </si>
  <si>
    <t>Q9P2N5_RBM27</t>
  </si>
  <si>
    <t>Q9P2R3_ANKFY1</t>
  </si>
  <si>
    <t>Q9P2X3_IMPACT</t>
  </si>
  <si>
    <t>Q9UBB4_ATXN10</t>
  </si>
  <si>
    <t>Q9UBC2-3_EPS15L1</t>
  </si>
  <si>
    <t>Q9UBE0_SAE1</t>
  </si>
  <si>
    <t>Q9UBF2_COPG2</t>
  </si>
  <si>
    <t>Q9UBF6_RNF7</t>
  </si>
  <si>
    <t>Q9UBK8-2_MTRR</t>
  </si>
  <si>
    <t>Q9UBK9_UXT</t>
  </si>
  <si>
    <t>Q9UBL3-2_ASH2L</t>
  </si>
  <si>
    <t>Q9UBN7_HDAC6</t>
  </si>
  <si>
    <t>Q9UBP0-3_SPAST</t>
  </si>
  <si>
    <t>Q9UBP6_METTL1</t>
  </si>
  <si>
    <t>Q9UBQ0_VPS29</t>
  </si>
  <si>
    <t>Q9UBQ7_GRHPR</t>
  </si>
  <si>
    <t>Q9UBR1_UPB1</t>
  </si>
  <si>
    <t>Q9UBR2_CTSZ</t>
  </si>
  <si>
    <t>Q9UBS4_DNAJB11</t>
  </si>
  <si>
    <t>Q9UBS8_RNF14</t>
  </si>
  <si>
    <t>Q9UBT2_UBA2</t>
  </si>
  <si>
    <t>Q9UBV8_PEF1</t>
  </si>
  <si>
    <t>Q9UBW8_COPS7A</t>
  </si>
  <si>
    <t>Q9UDR5_AASS</t>
  </si>
  <si>
    <t>Q9UDX3-2_SEC14L4</t>
  </si>
  <si>
    <t>Q9UDY2-3_TJP2</t>
  </si>
  <si>
    <t>Q9UDY4_DNAJB4</t>
  </si>
  <si>
    <t>Q9UEY8-2_ADD3</t>
  </si>
  <si>
    <t>Q9UFG5_C19orf25</t>
  </si>
  <si>
    <t>Q9UFN0_NIPSNAP3A</t>
  </si>
  <si>
    <t>Q9UFW8_CGGBP1</t>
  </si>
  <si>
    <t>Q9UGC7_MTRF1L</t>
  </si>
  <si>
    <t>Q9UGI8_TES</t>
  </si>
  <si>
    <t>Q9UGP4_LIMD1</t>
  </si>
  <si>
    <t>Q9UH62_ARMCX3</t>
  </si>
  <si>
    <t>Q9UH65_SWAP70</t>
  </si>
  <si>
    <t>Q9UH92-2_MLX</t>
  </si>
  <si>
    <t>Q9UHA4_LAMTOR3</t>
  </si>
  <si>
    <t>Q9UHB6_LIMA1</t>
  </si>
  <si>
    <t>Q9UHB9_SRP68</t>
  </si>
  <si>
    <t>Q9UHD1_CHORDC1</t>
  </si>
  <si>
    <t>Q9UHD8_SEPT9</t>
  </si>
  <si>
    <t>Q9UHD9_UBQLN2</t>
  </si>
  <si>
    <t>Q9UHJ6_SHPK</t>
  </si>
  <si>
    <t>Q9UHL4_DPP7</t>
  </si>
  <si>
    <t>Q9UHR4_BAIAP2L1</t>
  </si>
  <si>
    <t>Q9UHR5-2_SAP30BP</t>
  </si>
  <si>
    <t>Q9UHV9_PFDN2</t>
  </si>
  <si>
    <t>Q9UHX1-4_PUF60</t>
  </si>
  <si>
    <t>Q9UHY7_ENOPH1</t>
  </si>
  <si>
    <t>Q9UI08_EVL</t>
  </si>
  <si>
    <t>Q9UI10-3_EIF2B4</t>
  </si>
  <si>
    <t>Q9UI10_EIF2B4</t>
  </si>
  <si>
    <t>Q9UI12-2_ATP6V1H</t>
  </si>
  <si>
    <t>Q9UI17_DMGDH</t>
  </si>
  <si>
    <t>Q9UI32_GLS2</t>
  </si>
  <si>
    <t>Q9UIA9_XPO7</t>
  </si>
  <si>
    <t>Q9UID3-2_VPS51</t>
  </si>
  <si>
    <t>Q9UII2_ATPIF1</t>
  </si>
  <si>
    <t>Q9UIJ7_AK3</t>
  </si>
  <si>
    <t>Q9UIX4_KCNG1</t>
  </si>
  <si>
    <t>Q9UJ41-2_RABGEF1</t>
  </si>
  <si>
    <t>Q9UJ68-5_MSRA</t>
  </si>
  <si>
    <t>Q9UJ70_NAGK</t>
  </si>
  <si>
    <t>Q9UJA5-2_TRMT6</t>
  </si>
  <si>
    <t>Q9UJC5_SH3BGRL2</t>
  </si>
  <si>
    <t>Q9UJM3_ERRFI1</t>
  </si>
  <si>
    <t>Q9UJM8_HAO1</t>
  </si>
  <si>
    <t>Q9UJU6_DBNL</t>
  </si>
  <si>
    <t>Q9UJW0_DCTN4</t>
  </si>
  <si>
    <t>Q9UJY5-4_GGA1</t>
  </si>
  <si>
    <t>Q9UK22_FBXO2</t>
  </si>
  <si>
    <t>Q9UK41_VPS28</t>
  </si>
  <si>
    <t>Q9UK45_LSM7</t>
  </si>
  <si>
    <t>Q9UK59_DBR1</t>
  </si>
  <si>
    <t>Q9UK99-2_FBXO3</t>
  </si>
  <si>
    <t>Q9UKB3-2_DNAJC12</t>
  </si>
  <si>
    <t>Q9UKG1_APPL1</t>
  </si>
  <si>
    <t>Q9UKG9_CROT</t>
  </si>
  <si>
    <t>Q9UKK9_NUDT5</t>
  </si>
  <si>
    <t>Q9UKL6_PCTP</t>
  </si>
  <si>
    <t>Q9UKS6_PACSIN3</t>
  </si>
  <si>
    <t>Q9UKT5_FBXO4</t>
  </si>
  <si>
    <t>Q9UKU7_ACAD8</t>
  </si>
  <si>
    <t>Q9UKV8_AGO2</t>
  </si>
  <si>
    <t>Q9UKX7_NUP50</t>
  </si>
  <si>
    <t>Q9UKY7_CDV3</t>
  </si>
  <si>
    <t>Q9UL12_SARDH</t>
  </si>
  <si>
    <t>Q9UL25_RAB21</t>
  </si>
  <si>
    <t>Q9UL42_PNMA2</t>
  </si>
  <si>
    <t>Q9UL46_PSME2</t>
  </si>
  <si>
    <t>Q9ULA0_DNPEP</t>
  </si>
  <si>
    <t>Q9ULC4_MCTS1</t>
  </si>
  <si>
    <t>Q9ULC5_ACSL5</t>
  </si>
  <si>
    <t>Q9ULD0_OGDHL</t>
  </si>
  <si>
    <t>Q9ULD2-2_MTUS1</t>
  </si>
  <si>
    <t>Q9ULH7-4_MKL2</t>
  </si>
  <si>
    <t>Q9ULP9-2_TBC1D24</t>
  </si>
  <si>
    <t>Q9ULT8_HECTD1</t>
  </si>
  <si>
    <t>Q9ULV4_CORO1C</t>
  </si>
  <si>
    <t>Q9ULZ3-2_PYCARD</t>
  </si>
  <si>
    <t>Q9UM22-2_EPDR1</t>
  </si>
  <si>
    <t>Q9UMR2-2_DDX19B</t>
  </si>
  <si>
    <t>Q9UMS0-3_NFU1</t>
  </si>
  <si>
    <t>Q9UMS4_PRPF19</t>
  </si>
  <si>
    <t>Q9UMX0-2_UBQLN1</t>
  </si>
  <si>
    <t>Q9UMX5_NENF</t>
  </si>
  <si>
    <t>Q9UMY4-2_SNX12</t>
  </si>
  <si>
    <t>Q9UMZ2-6_SYNRG</t>
  </si>
  <si>
    <t>Q9UN36_NDRG2</t>
  </si>
  <si>
    <t>Q9UN37_VPS4A</t>
  </si>
  <si>
    <t>Q9UN86_G3BP2</t>
  </si>
  <si>
    <t>Q9UNE7_STUB1</t>
  </si>
  <si>
    <t>Q9UNF0-2_PACSIN2</t>
  </si>
  <si>
    <t>Q9UNF1_MAGED2</t>
  </si>
  <si>
    <t>Q9UNH7_SNX6</t>
  </si>
  <si>
    <t>Q9UNM6_PSMD13</t>
  </si>
  <si>
    <t>Q9UNN5_FAF1</t>
  </si>
  <si>
    <t>Q9UNS2_COPS3</t>
  </si>
  <si>
    <t>Q9UNZ2_NSFL1C</t>
  </si>
  <si>
    <t>Q9UP83_COG5</t>
  </si>
  <si>
    <t>Q9UPN6_SCAF8</t>
  </si>
  <si>
    <t>Q9UPN7_PPP6R1</t>
  </si>
  <si>
    <t>Q9UPN9-2_TRIM33</t>
  </si>
  <si>
    <t>Q9UPQ9-1_TNRC6B</t>
  </si>
  <si>
    <t>Q9UPT5-2_EXOC7</t>
  </si>
  <si>
    <t>Q9UPU5_USP24</t>
  </si>
  <si>
    <t>Q9UPU7-2_TBC1D2B</t>
  </si>
  <si>
    <t>Q9UPY3-2_DICER1</t>
  </si>
  <si>
    <t>Q9UPY8-2_MAPRE3</t>
  </si>
  <si>
    <t>Q9UPY8_MAPRE3</t>
  </si>
  <si>
    <t>Q9UQ35_SRRM2</t>
  </si>
  <si>
    <t>Q9UQ80_PA2G4</t>
  </si>
  <si>
    <t>Q9UQ88-4_CDK11A</t>
  </si>
  <si>
    <t>Q9UQB8-5_BAIAP2</t>
  </si>
  <si>
    <t>Q9UQE7_SMC3</t>
  </si>
  <si>
    <t>Q9UQN3_CHMP2B</t>
  </si>
  <si>
    <t>Q9Y217_MTMR6</t>
  </si>
  <si>
    <t>Q9Y223_GNE</t>
  </si>
  <si>
    <t>Q9Y224_C14orf166</t>
  </si>
  <si>
    <t>Q9Y230_RUVBL2</t>
  </si>
  <si>
    <t>Q9Y237_PIN4</t>
  </si>
  <si>
    <t>Q9Y259_CHKB</t>
  </si>
  <si>
    <t>Q9Y262-2_EIF3L</t>
  </si>
  <si>
    <t>Q9Y263_PLAA</t>
  </si>
  <si>
    <t>Q9Y265_RUVBL1</t>
  </si>
  <si>
    <t>Q9Y266_NUDC</t>
  </si>
  <si>
    <t>Q9Y281_CFL2</t>
  </si>
  <si>
    <t>Q9Y295_DRG1</t>
  </si>
  <si>
    <t>Q9Y2A7_NCKAP1</t>
  </si>
  <si>
    <t>Q9Y2B0_CNPY2</t>
  </si>
  <si>
    <t>Q9Y2D4_EXOC6B</t>
  </si>
  <si>
    <t>Q9Y2D5-6_AKAP2</t>
  </si>
  <si>
    <t>Q9Y2E4_DIP2C</t>
  </si>
  <si>
    <t>Q9Y2H5_PLEKHA6</t>
  </si>
  <si>
    <t>Q9Y2I1-4_NISCH</t>
  </si>
  <si>
    <t>Q9Y2L5-2_TRAPPC8</t>
  </si>
  <si>
    <t>Q9Y2P5_SLC27A5</t>
  </si>
  <si>
    <t>Q9Y2Q3_GSTK1</t>
  </si>
  <si>
    <t>Q9Y2Q5_LAMTOR2</t>
  </si>
  <si>
    <t>Q9Y2Q9_MRPS28</t>
  </si>
  <si>
    <t>Q9Y2R0_COA3</t>
  </si>
  <si>
    <t>Q9Y2S2_CRYL1</t>
  </si>
  <si>
    <t>Q9Y2S6_TMA7</t>
  </si>
  <si>
    <t>Q9Y2S7_POLDIP2</t>
  </si>
  <si>
    <t>Q9Y2T2_AP3M1</t>
  </si>
  <si>
    <t>Q9Y2T3-3_GDA</t>
  </si>
  <si>
    <t>Q9Y2U8_LEMD3</t>
  </si>
  <si>
    <t>Q9Y2V2_CARHSP1</t>
  </si>
  <si>
    <t>Q9Y2W1_THRAP3</t>
  </si>
  <si>
    <t>Q9Y2X3_NOP58</t>
  </si>
  <si>
    <t>Q9Y2Z0_SUGT1</t>
  </si>
  <si>
    <t>Q9Y2Z2-4_MTO1</t>
  </si>
  <si>
    <t>Q9Y2Z4_YARS2</t>
  </si>
  <si>
    <t>Q9Y2Z9-3_COQ6</t>
  </si>
  <si>
    <t>Q9Y303_AMDHD2</t>
  </si>
  <si>
    <t>Q9Y305_ACOT9</t>
  </si>
  <si>
    <t>Q9Y312_AAR2</t>
  </si>
  <si>
    <t>Q9Y314_NOSIP</t>
  </si>
  <si>
    <t>Q9Y315_DERA</t>
  </si>
  <si>
    <t>Q9Y316_MEMO1</t>
  </si>
  <si>
    <t>Q9Y376_CAB39</t>
  </si>
  <si>
    <t>Q9Y383_LUC7L2</t>
  </si>
  <si>
    <t>Q9Y385_UBE2J1</t>
  </si>
  <si>
    <t>Q9Y399_MRPS2</t>
  </si>
  <si>
    <t>Q9Y3A5_SBDS</t>
  </si>
  <si>
    <t>Q9Y3B9_RRP15</t>
  </si>
  <si>
    <t>Q9Y3C1_NOP16</t>
  </si>
  <si>
    <t>Q9Y3C4-2_TPRKB</t>
  </si>
  <si>
    <t>Q9Y3C6_PPIL1</t>
  </si>
  <si>
    <t>Q9Y3C8_UFC1</t>
  </si>
  <si>
    <t>Q9Y3D0_FAM96B</t>
  </si>
  <si>
    <t>Q9Y3D2_MSRB2</t>
  </si>
  <si>
    <t>Q9Y3D6_FIS1</t>
  </si>
  <si>
    <t>Q9Y3E2_BOLA1</t>
  </si>
  <si>
    <t>Q9Y3E7-4_CHMP3</t>
  </si>
  <si>
    <t>Q9Y3F4_STRAP</t>
  </si>
  <si>
    <t>Q9Y3I0_C22orf28</t>
  </si>
  <si>
    <t>Q9Y3I1-3_FBXO7</t>
  </si>
  <si>
    <t>Q9Y3L5_RAP2C</t>
  </si>
  <si>
    <t>Q9Y3P9_RABGAP1</t>
  </si>
  <si>
    <t>Q9Y3S2_ZNF330</t>
  </si>
  <si>
    <t>Q9Y3X0_CCDC9</t>
  </si>
  <si>
    <t>Q9Y3Y2-4_CHTOP</t>
  </si>
  <si>
    <t>Q9Y3Z3-4_SAMHD1</t>
  </si>
  <si>
    <t>Q9Y450-4_HBS1L</t>
  </si>
  <si>
    <t>Q9Y490_TLN1</t>
  </si>
  <si>
    <t>Q9Y4B6-3_VPRBP</t>
  </si>
  <si>
    <t>Q9Y4C2-2_FAM115A</t>
  </si>
  <si>
    <t>Q9Y4E8_USP15</t>
  </si>
  <si>
    <t>Q9Y4F1_FARP1</t>
  </si>
  <si>
    <t>Q9Y4G6_TLN2</t>
  </si>
  <si>
    <t>Q9Y4H2_IRS2</t>
  </si>
  <si>
    <t>Q9Y4K1_AIM1</t>
  </si>
  <si>
    <t>Q9Y4K3_TRAF6</t>
  </si>
  <si>
    <t>Q9Y4P8-3_WIPI2</t>
  </si>
  <si>
    <t>Q9Y4U1_MMACHC</t>
  </si>
  <si>
    <t>Q9Y4W6_AFG3L2</t>
  </si>
  <si>
    <t>Q9Y4X5_ARIH1</t>
  </si>
  <si>
    <t>Q9Y4Z0_LSM4</t>
  </si>
  <si>
    <t>Q9Y508_RNF114</t>
  </si>
  <si>
    <t>Q9Y520-4_PRRC2C</t>
  </si>
  <si>
    <t>Q9Y570_PPME1</t>
  </si>
  <si>
    <t>Q9Y5A9-2_YTHDF2</t>
  </si>
  <si>
    <t>Q9Y5B0_CTDP1</t>
  </si>
  <si>
    <t>Q9Y5B9_SUPT16H</t>
  </si>
  <si>
    <t>Q9Y5J7_TIMM9</t>
  </si>
  <si>
    <t>Q9Y5J9_TIMM8B</t>
  </si>
  <si>
    <t>Q9Y5K5-2_UCHL5</t>
  </si>
  <si>
    <t>Q9Y5K6_CD2AP</t>
  </si>
  <si>
    <t>Q9Y5K8_ATP6V1D</t>
  </si>
  <si>
    <t>Q9Y5L0_TNPO3</t>
  </si>
  <si>
    <t>Q9Y5L4_TIMM13</t>
  </si>
  <si>
    <t>Q9Y5P4-2_COL4A3BP</t>
  </si>
  <si>
    <t>Q9Y5P6_GMPPB</t>
  </si>
  <si>
    <t>Q9Y5R8_TRAPPC1</t>
  </si>
  <si>
    <t>Q9Y5S2_CDC42BPB</t>
  </si>
  <si>
    <t>Q9Y5S9_RBM8A</t>
  </si>
  <si>
    <t>Q9Y5X1_SNX9</t>
  </si>
  <si>
    <t>Q9Y5X3_SNX5</t>
  </si>
  <si>
    <t>Q9Y5Z4_HEBP2</t>
  </si>
  <si>
    <t>Q9Y608-4_LRRFIP2</t>
  </si>
  <si>
    <t>Q9Y617_PSAT1</t>
  </si>
  <si>
    <t>Q9Y646_CPQ</t>
  </si>
  <si>
    <t>Q9Y678_COPG1</t>
  </si>
  <si>
    <t>Q9Y696_CLIC4</t>
  </si>
  <si>
    <t>Q9Y697-2_NFS1</t>
  </si>
  <si>
    <t>Q9Y6A4_C16orf80</t>
  </si>
  <si>
    <t>Q9Y6B6_SAR1B</t>
  </si>
  <si>
    <t>Q9Y6D5_ARFGEF2</t>
  </si>
  <si>
    <t>Q9Y6D6_ARFGEF1</t>
  </si>
  <si>
    <t>Q9Y6D9_MAD1L1</t>
  </si>
  <si>
    <t>Q9Y6G5_COMMD10</t>
  </si>
  <si>
    <t>Q9Y6G9_DYNC1LI1</t>
  </si>
  <si>
    <t>Q9Y6H1_CHCHD2</t>
  </si>
  <si>
    <t>Q9Y6I3-3_EPN1</t>
  </si>
  <si>
    <t>Q9Y6I9_TEX264</t>
  </si>
  <si>
    <t>Q9Y6K5_OAS3</t>
  </si>
  <si>
    <t>Q9Y6K9_IKBKG</t>
  </si>
  <si>
    <t>Q9Y6N5_SQRDL</t>
  </si>
  <si>
    <t>Q9Y6V0-2_PCLO</t>
  </si>
  <si>
    <t>Q9Y6W3_CAPN7</t>
  </si>
  <si>
    <t>Q9Y6W5_WASF2</t>
  </si>
  <si>
    <t>Q9Y6X5_ENPP4</t>
  </si>
  <si>
    <t>A1A528_ZW10</t>
  </si>
  <si>
    <t>A2ABK1_NELFE</t>
  </si>
  <si>
    <t>A3KFL4_EXOSC2</t>
  </si>
  <si>
    <t>A6H8Z3_RAB3GAP1</t>
  </si>
  <si>
    <t>A6NG64_C10orf11</t>
  </si>
  <si>
    <t>A6NG79_PRCC</t>
  </si>
  <si>
    <t>A6NGP5_HN1L</t>
  </si>
  <si>
    <t>A6NIR2_HSPB11</t>
  </si>
  <si>
    <t>A6NML8_DIAPH2</t>
  </si>
  <si>
    <t>A6NN40_SHROOM1</t>
  </si>
  <si>
    <t>A6NNK5_TP53BP1</t>
  </si>
  <si>
    <t>A8K7Q2_HSPA8</t>
  </si>
  <si>
    <t>A8MTY9_DSCR3</t>
  </si>
  <si>
    <t>A8MU28_NAE1</t>
  </si>
  <si>
    <t>A8MU44_HOOK1</t>
  </si>
  <si>
    <t>A8MUB1_TUBA4A</t>
  </si>
  <si>
    <t>A8MWK3_CDH2</t>
  </si>
  <si>
    <t>A9Z1X7_SRRM1</t>
  </si>
  <si>
    <t>B0UX83_BAG6</t>
  </si>
  <si>
    <t>B0V0T3_PSMB9</t>
  </si>
  <si>
    <t>B1AK87_CAPZB</t>
  </si>
  <si>
    <t>B1AKG0_CFHR1</t>
  </si>
  <si>
    <t>B1AKN7_NFIA</t>
  </si>
  <si>
    <t>B1AKZ5_PEA15</t>
  </si>
  <si>
    <t>B1AL33_UHRF2</t>
  </si>
  <si>
    <t>B1AL69_CDC37L1</t>
  </si>
  <si>
    <t>B1ALY0_PALM2-AKAP2</t>
  </si>
  <si>
    <t>B1AMX9_TRAF2</t>
  </si>
  <si>
    <t>B1ANH0_GUK1</t>
  </si>
  <si>
    <t>B3KRS5_HDAC2</t>
  </si>
  <si>
    <t>B3KSI9_LZTFL1</t>
  </si>
  <si>
    <t>B3KVH8_PHF23</t>
  </si>
  <si>
    <t>B3KWW1_DDX58</t>
  </si>
  <si>
    <t>B3KY83_RXRA</t>
  </si>
  <si>
    <t>B4DDD1_RPUSD2</t>
  </si>
  <si>
    <t>B4DDD6_DBNL</t>
  </si>
  <si>
    <t>B4DDF4_CNN2</t>
  </si>
  <si>
    <t>B4DDZ0_MON1B</t>
  </si>
  <si>
    <t>B4DE16_CTNNBL1</t>
  </si>
  <si>
    <t>B4DFA2_NSF</t>
  </si>
  <si>
    <t>B4DFG6_MRPS18B</t>
  </si>
  <si>
    <t>B4DFI9_HUS1</t>
  </si>
  <si>
    <t>B4DFQ4_COMMD1</t>
  </si>
  <si>
    <t>B4DGU4_CTNNB1</t>
  </si>
  <si>
    <t>B4DGX2_PIP4K2A</t>
  </si>
  <si>
    <t>B4DH53_MAP1S</t>
  </si>
  <si>
    <t>B4DHT5_ACSF2</t>
  </si>
  <si>
    <t>B4DIT7_TGM2</t>
  </si>
  <si>
    <t>B4DJ85_GLMN</t>
  </si>
  <si>
    <t>B4DJA5_RAB5A</t>
  </si>
  <si>
    <t>B4DJC3_H2AFY</t>
  </si>
  <si>
    <t>B4DJP7_SNRPD3</t>
  </si>
  <si>
    <t>B4DJV2_CS</t>
  </si>
  <si>
    <t>B4DK69_AKR1C2</t>
  </si>
  <si>
    <t>B4DK95_ZYG11B</t>
  </si>
  <si>
    <t>B4DKJ3_COMP</t>
  </si>
  <si>
    <t>B4DKL4_LSR</t>
  </si>
  <si>
    <t>B4DL14_ATP5C1</t>
  </si>
  <si>
    <t>B4DL54_CHURC1-FNTB</t>
  </si>
  <si>
    <t>B4DLW8_DDX5</t>
  </si>
  <si>
    <t>B4DP21_PTGES3</t>
  </si>
  <si>
    <t>B4DP38_WDR77</t>
  </si>
  <si>
    <t>B4DPR4_MKRN2</t>
  </si>
  <si>
    <t>B4DPY8_TOX4</t>
  </si>
  <si>
    <t>B4DQ14_EIF2A</t>
  </si>
  <si>
    <t>B4DQA8_GOSR1</t>
  </si>
  <si>
    <t>B4DQJ8_PGD</t>
  </si>
  <si>
    <t>B4DQT1_MAEA</t>
  </si>
  <si>
    <t>B4DR80_STK24</t>
  </si>
  <si>
    <t>B4DRL9_CHM</t>
  </si>
  <si>
    <t>B4DSR5_KIF3B</t>
  </si>
  <si>
    <t>B4DT77_ANXA7</t>
  </si>
  <si>
    <t>B4DTG6_LSM14A</t>
  </si>
  <si>
    <t>B4DUS9_BPNT1</t>
  </si>
  <si>
    <t>B4DV96_RBKS</t>
  </si>
  <si>
    <t>B4DVY1_EIF3D</t>
  </si>
  <si>
    <t>B4DWI1_HACL1</t>
  </si>
  <si>
    <t>B4DWW4_MCM3</t>
  </si>
  <si>
    <t>B4DXK4_KRT72</t>
  </si>
  <si>
    <t>B4DXW4_CLPB</t>
  </si>
  <si>
    <t>B4DZW6_RMDN1</t>
  </si>
  <si>
    <t>B4E0T7_LRCH3</t>
  </si>
  <si>
    <t>B4E107_ATE1</t>
  </si>
  <si>
    <t>B4E1Z4_CFB</t>
  </si>
  <si>
    <t>B4E241_SFRS3</t>
  </si>
  <si>
    <t>B4E2T8_CANX</t>
  </si>
  <si>
    <t>B4E2W0_HADHB</t>
  </si>
  <si>
    <t>B4E351_IGFBP4</t>
  </si>
  <si>
    <t>B4E3Q4_CECR1</t>
  </si>
  <si>
    <t>B5MC59_RPA3</t>
  </si>
  <si>
    <t>B5MCP9_RPS7</t>
  </si>
  <si>
    <t>B5MCX3_SEPT2</t>
  </si>
  <si>
    <t>B7WPP2_FHAD1</t>
  </si>
  <si>
    <t>B7Z1L3_PGRMC1</t>
  </si>
  <si>
    <t>B7Z1R5_ATP6V1A</t>
  </si>
  <si>
    <t>B7Z1W9_CHN2</t>
  </si>
  <si>
    <t>B7Z254_PDIA6</t>
  </si>
  <si>
    <t>B7Z2C3_PPM1F</t>
  </si>
  <si>
    <t>B7Z2R9_LAMP2</t>
  </si>
  <si>
    <t>B7Z2X9_ENO2</t>
  </si>
  <si>
    <t>B7Z2Y2_COG2</t>
  </si>
  <si>
    <t>B7Z341_NDRG3</t>
  </si>
  <si>
    <t>B7Z385_CAP2</t>
  </si>
  <si>
    <t>B7Z3B9_GAB1</t>
  </si>
  <si>
    <t>B7Z3I9_ALAD</t>
  </si>
  <si>
    <t>B7Z493_FGD4</t>
  </si>
  <si>
    <t>B7Z4K6_DNASE2</t>
  </si>
  <si>
    <t>B7Z4L4_RPN1</t>
  </si>
  <si>
    <t>B7Z4M2_WBP4</t>
  </si>
  <si>
    <t>B7Z583_TANGO2</t>
  </si>
  <si>
    <t>B7Z5X7_WARS2</t>
  </si>
  <si>
    <t>B7Z6B8_DECR1</t>
  </si>
  <si>
    <t>B7Z729_SMPDL3A</t>
  </si>
  <si>
    <t>B7Z7F3_RANBP3</t>
  </si>
  <si>
    <t>B7Z7F9_GRB14</t>
  </si>
  <si>
    <t>B7Z815_USP7</t>
  </si>
  <si>
    <t>B7Z848_RFX5</t>
  </si>
  <si>
    <t>B7Z8K9_PTPN3</t>
  </si>
  <si>
    <t>B7Z8V7_NADK2</t>
  </si>
  <si>
    <t>B7Z9K1_STK25</t>
  </si>
  <si>
    <t>B7ZA47_C2orf43</t>
  </si>
  <si>
    <t>B7ZM82_WIZ</t>
  </si>
  <si>
    <t>B8K288_UGT1A4S</t>
  </si>
  <si>
    <t>B8ZZF5_EVA1A</t>
  </si>
  <si>
    <t>B8ZZG1_MPP6</t>
  </si>
  <si>
    <t>B8ZZQ6_PTMA</t>
  </si>
  <si>
    <t>B8ZZT4_VAMP8</t>
  </si>
  <si>
    <t>B8ZZU8_TCEB2</t>
  </si>
  <si>
    <t>C9IZA5_VCP</t>
  </si>
  <si>
    <t>C9IZG4_CUTA</t>
  </si>
  <si>
    <t>C9J050_PCYT1A</t>
  </si>
  <si>
    <t>C9J0K6_SRI</t>
  </si>
  <si>
    <t>C9J1C6_RNF181</t>
  </si>
  <si>
    <t>C9J1Z8_ARF5</t>
  </si>
  <si>
    <t>C9J212_UBE2F</t>
  </si>
  <si>
    <t>C9J5D1_NAA50</t>
  </si>
  <si>
    <t>C9J6F3_PDCD10</t>
  </si>
  <si>
    <t>C9J9K3_RPSA</t>
  </si>
  <si>
    <t>C9JAV3_MBLAC1</t>
  </si>
  <si>
    <t>C9JAX1_FXN</t>
  </si>
  <si>
    <t>C9JB55_TF</t>
  </si>
  <si>
    <t>C9JBI3_PSPH</t>
  </si>
  <si>
    <t>C9JBJ6_POLR2H</t>
  </si>
  <si>
    <t>C9JCD9_BUD31</t>
  </si>
  <si>
    <t>C9JDE9_ACAA1</t>
  </si>
  <si>
    <t>C9JDR0_NSDHL</t>
  </si>
  <si>
    <t>C9JEL3_EIF4E2</t>
  </si>
  <si>
    <t>C9JFE4_GPS1</t>
  </si>
  <si>
    <t>C9JG87_MRPL39</t>
  </si>
  <si>
    <t>C9JG97_AAMP</t>
  </si>
  <si>
    <t>C9JGB2_RMDN2</t>
  </si>
  <si>
    <t>C9JIK8_ATG4B</t>
  </si>
  <si>
    <t>C9JJ54_WDFY1</t>
  </si>
  <si>
    <t>C9JJV1_TSSC4</t>
  </si>
  <si>
    <t>C9JNE2_OARD1</t>
  </si>
  <si>
    <t>C9JP32_SMARCAL1</t>
  </si>
  <si>
    <t>C9JPM4_ARF4</t>
  </si>
  <si>
    <t>C9JQ41_CCDC58</t>
  </si>
  <si>
    <t>C9JQD4_PPIH</t>
  </si>
  <si>
    <t>C9JS27_NDUFAF7</t>
  </si>
  <si>
    <t>C9JSR1_MTMR14</t>
  </si>
  <si>
    <t>C9JV49_HARS2</t>
  </si>
  <si>
    <t>C9JVN9_L2HGDH</t>
  </si>
  <si>
    <t>C9JW69_RCC1</t>
  </si>
  <si>
    <t>C9JXB8_RPL24</t>
  </si>
  <si>
    <t>C9JXB9_DNAJB2</t>
  </si>
  <si>
    <t>C9JXK0_LBR</t>
  </si>
  <si>
    <t>C9JXK9_LPP</t>
  </si>
  <si>
    <t>C9JYY9_NUDT5</t>
  </si>
  <si>
    <t>C9JYZ0_ACY1</t>
  </si>
  <si>
    <t>C9JZP6_DHRS2</t>
  </si>
  <si>
    <t>C9JZY6_UBE2H</t>
  </si>
  <si>
    <t>D3DR31_IFIT1</t>
  </si>
  <si>
    <t>D3YHP0_CXADR</t>
  </si>
  <si>
    <t>D6R9P3_HNRNPAB</t>
  </si>
  <si>
    <t>D6RB81_AMACR</t>
  </si>
  <si>
    <t>D6RBN5_OCIAD1</t>
  </si>
  <si>
    <t>D6RBS9_RBM47</t>
  </si>
  <si>
    <t>D6RBV0_LEMD2</t>
  </si>
  <si>
    <t>D6RCD0_HSD17B11</t>
  </si>
  <si>
    <t>D6RD67_MCCC2</t>
  </si>
  <si>
    <t>D6RDG3_BTF3</t>
  </si>
  <si>
    <t>D6REN3_PSMG4</t>
  </si>
  <si>
    <t>D6RGI3_SEPT11</t>
  </si>
  <si>
    <t>D6RHI9_RNASET2</t>
  </si>
  <si>
    <t>E2QRD0_VWA8</t>
  </si>
  <si>
    <t>E2QRD5_C15orf38-AP3S2</t>
  </si>
  <si>
    <t>E5RFZ8_SLC39A14</t>
  </si>
  <si>
    <t>E5RGX5_STMN2</t>
  </si>
  <si>
    <t>E5RGX8_KIAA0146</t>
  </si>
  <si>
    <t>E5RHG8_TCEB1</t>
  </si>
  <si>
    <t>E5RI99_RPL30</t>
  </si>
  <si>
    <t>E5RIG5_DMTN</t>
  </si>
  <si>
    <t>E5RJ08_CHCHD7</t>
  </si>
  <si>
    <t>E5RJ68_AP3B1</t>
  </si>
  <si>
    <t>E5RJD2_DECR1</t>
  </si>
  <si>
    <t>E5RJJ3_NUDT18</t>
  </si>
  <si>
    <t>E5RJR5_SKP1</t>
  </si>
  <si>
    <t>E5RJU9_MTDH</t>
  </si>
  <si>
    <t>E5RK00_DCTN6</t>
  </si>
  <si>
    <t>E7EM64_COPS6</t>
  </si>
  <si>
    <t>E7EMM2_AP3D1</t>
  </si>
  <si>
    <t>E7EMM4_ASAH1</t>
  </si>
  <si>
    <t>E7EMV7_TNIP1</t>
  </si>
  <si>
    <t>E7EMZ9_TACC2</t>
  </si>
  <si>
    <t>E7ENN3_SYNE1</t>
  </si>
  <si>
    <t>E7EP00_SEC24C</t>
  </si>
  <si>
    <t>E7EPD0_TOM1</t>
  </si>
  <si>
    <t>E7EPL4_PDXDC1</t>
  </si>
  <si>
    <t>E7EQA9_TANK</t>
  </si>
  <si>
    <t>E7EQB9_POLR1C</t>
  </si>
  <si>
    <t>E7EQI7_KIAA0196</t>
  </si>
  <si>
    <t>E7EQT4_ACIN1</t>
  </si>
  <si>
    <t>E7ER68_FAM91A1</t>
  </si>
  <si>
    <t>E7ERJ0_ITSN1</t>
  </si>
  <si>
    <t>E7ES08_HMGB3</t>
  </si>
  <si>
    <t>E7ETA6_PCM1</t>
  </si>
  <si>
    <t>E7ETU5_RBMS1</t>
  </si>
  <si>
    <t>E7ETZ4_BZW2</t>
  </si>
  <si>
    <t>E7EU96_CSNK2A1</t>
  </si>
  <si>
    <t>E7EUG6_GTF2F1</t>
  </si>
  <si>
    <t>E7EUM5_NUP54</t>
  </si>
  <si>
    <t>E7EVJ5_CYFIP2</t>
  </si>
  <si>
    <t>E7EW52_RPE</t>
  </si>
  <si>
    <t>E7EW69_SEPT10</t>
  </si>
  <si>
    <t>E7EW84_EXOC6</t>
  </si>
  <si>
    <t>E7EX44_CALD1</t>
  </si>
  <si>
    <t>E9PB14_PDHX</t>
  </si>
  <si>
    <t>E9PBL8_COG1</t>
  </si>
  <si>
    <t>E9PC74_EIF2B5</t>
  </si>
  <si>
    <t>E9PCJ7_UBR7</t>
  </si>
  <si>
    <t>E9PCY7_HNRNPH1</t>
  </si>
  <si>
    <t>E9PDQ5_ARHGEF7</t>
  </si>
  <si>
    <t>E9PDR5_IBTK</t>
  </si>
  <si>
    <t>E9PEG3_AR</t>
  </si>
  <si>
    <t>E9PEZ3_DIAPH1</t>
  </si>
  <si>
    <t>E9PF01_ST7</t>
  </si>
  <si>
    <t>E9PF10_NUP155</t>
  </si>
  <si>
    <t>E9PFC1_CEP170B</t>
  </si>
  <si>
    <t>E9PFD7_EGFR</t>
  </si>
  <si>
    <t>E9PFR3_PPP2R5D</t>
  </si>
  <si>
    <t>E9PG46_AAK1</t>
  </si>
  <si>
    <t>E9PG73_PPIG</t>
  </si>
  <si>
    <t>E9PGF5_TNS1</t>
  </si>
  <si>
    <t>E9PGF9_MGEA5</t>
  </si>
  <si>
    <t>E9PGM7_FAM13A</t>
  </si>
  <si>
    <t>E9PGT1_TSN</t>
  </si>
  <si>
    <t>E9PGW7_MED22</t>
  </si>
  <si>
    <t>E9PH29_PRDX3</t>
  </si>
  <si>
    <t>E9PHK0_CLEC3B</t>
  </si>
  <si>
    <t>E9PHM2_LARS2</t>
  </si>
  <si>
    <t>E9PHV4_POLR2D</t>
  </si>
  <si>
    <t>E9PHV5_SSFA2</t>
  </si>
  <si>
    <t>E9PIB9_GLI1</t>
  </si>
  <si>
    <t>E9PIC2_STX17</t>
  </si>
  <si>
    <t>E9PIR7_TXNRD1</t>
  </si>
  <si>
    <t>E9PJ81_UBXN1</t>
  </si>
  <si>
    <t>E9PJD7_CYHR1</t>
  </si>
  <si>
    <t>E9PJN7_ZCCHC11</t>
  </si>
  <si>
    <t>E9PK01_EEF1D</t>
  </si>
  <si>
    <t>E9PK26_SNX15</t>
  </si>
  <si>
    <t>E9PK67_PARP10</t>
  </si>
  <si>
    <t>E9PKB0_SORL1</t>
  </si>
  <si>
    <t>E9PKF3_ACAT1</t>
  </si>
  <si>
    <t>E9PKG1_PRMT1</t>
  </si>
  <si>
    <t>E9PKS9_TRAPPC4</t>
  </si>
  <si>
    <t>E9PKV8_TTC9C</t>
  </si>
  <si>
    <t>E9PKY5_PPIE</t>
  </si>
  <si>
    <t>E9PL22_HYOU1</t>
  </si>
  <si>
    <t>E9PL57_NEDD8-MDP1</t>
  </si>
  <si>
    <t>E9PLD2_MTFR1L</t>
  </si>
  <si>
    <t>E9PLK3_NPEPPS</t>
  </si>
  <si>
    <t>E9PM46_USP47</t>
  </si>
  <si>
    <t>E9PMI6_CLNS1A</t>
  </si>
  <si>
    <t>E9PMJ2_FAM118B</t>
  </si>
  <si>
    <t>E9PMS6_LMO7</t>
  </si>
  <si>
    <t>E9PNC7_DRAP1</t>
  </si>
  <si>
    <t>E9PNK6_TPD52L1</t>
  </si>
  <si>
    <t>E9PNU4_STX5</t>
  </si>
  <si>
    <t>E9PNV3_RDX</t>
  </si>
  <si>
    <t>E9PNW4_CD59</t>
  </si>
  <si>
    <t>E9PP36_RPL8</t>
  </si>
  <si>
    <t>E9PP68_ANO1</t>
  </si>
  <si>
    <t>E9PPA0_CHID1</t>
  </si>
  <si>
    <t>E9PQ61_ZC3H11A</t>
  </si>
  <si>
    <t>E9PQG4_PDE4DIP</t>
  </si>
  <si>
    <t>E9PQP7_PPP6R3</t>
  </si>
  <si>
    <t>E9PQW4_MAPK3</t>
  </si>
  <si>
    <t>E9PQY3_ACP2</t>
  </si>
  <si>
    <t>E9PR54_CTSB</t>
  </si>
  <si>
    <t>E9PRI4_RPS6KA1</t>
  </si>
  <si>
    <t>E9PRZ9_C11orf58</t>
  </si>
  <si>
    <t>F2Z2B9_TUBGCP2</t>
  </si>
  <si>
    <t>F2Z2V0_CPNE1</t>
  </si>
  <si>
    <t>F2Z2X4_XPO4</t>
  </si>
  <si>
    <t>F2Z3K9_ESYT2</t>
  </si>
  <si>
    <t>F2Z3M0_TSEN15</t>
  </si>
  <si>
    <t>F5GWI4_ADA</t>
  </si>
  <si>
    <t>F5GWI9_CCDC53</t>
  </si>
  <si>
    <t>F5GWT4_WNK1</t>
  </si>
  <si>
    <t>F5GWU7_SMAD5</t>
  </si>
  <si>
    <t>F5GWX5_CHD4</t>
  </si>
  <si>
    <t>F5GX77_TRMT112</t>
  </si>
  <si>
    <t>F5GXC8_SUCLA2</t>
  </si>
  <si>
    <t>F5GY80_C8B</t>
  </si>
  <si>
    <t>F5GYC4_RPS6KA3</t>
  </si>
  <si>
    <t>F5GYJ5_</t>
  </si>
  <si>
    <t>F5GYK2_STRN4</t>
  </si>
  <si>
    <t>F5GYN4_OTUB1</t>
  </si>
  <si>
    <t>F5GZ54_MCEE</t>
  </si>
  <si>
    <t>F5GZ78_PXN</t>
  </si>
  <si>
    <t>F5GZU5_MED15</t>
  </si>
  <si>
    <t>F5GZZ9_CD163</t>
  </si>
  <si>
    <t>F5H012_TRIM21</t>
  </si>
  <si>
    <t>F5H0B0_TPD52</t>
  </si>
  <si>
    <t>F5H0L8_SEC23IP</t>
  </si>
  <si>
    <t>F5H0U5_GLTP</t>
  </si>
  <si>
    <t>F5H157_RAB35</t>
  </si>
  <si>
    <t>F5H1L4_TXNRD2</t>
  </si>
  <si>
    <t>F5H1X8_LRBA</t>
  </si>
  <si>
    <t>F5H1Z6_STARD10</t>
  </si>
  <si>
    <t>F5H261_FMO3</t>
  </si>
  <si>
    <t>F5H2B9_UACA</t>
  </si>
  <si>
    <t>F5H2Q7_KIAA1715</t>
  </si>
  <si>
    <t>F5H2X0_TJP3</t>
  </si>
  <si>
    <t>F5H315_XAB2</t>
  </si>
  <si>
    <t>F5H345_HMBS</t>
  </si>
  <si>
    <t>F5H365_SEC23A</t>
  </si>
  <si>
    <t>F5H442_TSG101</t>
  </si>
  <si>
    <t>F5H4G7_KPNA6</t>
  </si>
  <si>
    <t>F5H4J2_PEX14</t>
  </si>
  <si>
    <t>F5H4S0_CYP3A5</t>
  </si>
  <si>
    <t>F5H5W4_HDAC4</t>
  </si>
  <si>
    <t>F5H604_CLASP2</t>
  </si>
  <si>
    <t>F5H698_LARS</t>
  </si>
  <si>
    <t>F5H6Y1_FARSB</t>
  </si>
  <si>
    <t>F5H715_AIDA</t>
  </si>
  <si>
    <t>F5H721_WBP11</t>
  </si>
  <si>
    <t>F5H7F6_MGST1</t>
  </si>
  <si>
    <t>F5H801_OGDH</t>
  </si>
  <si>
    <t>F5H897_TRAP1</t>
  </si>
  <si>
    <t>F5H8D7_XRCC1</t>
  </si>
  <si>
    <t>F5H8H2_MVK</t>
  </si>
  <si>
    <t>F6PQP6_EPN2</t>
  </si>
  <si>
    <t>F6RY50_SIPA1</t>
  </si>
  <si>
    <t>F6T1Q0_PDE12</t>
  </si>
  <si>
    <t>F6TQG2_SMARCA1</t>
  </si>
  <si>
    <t>F6TR53_HS1BP3</t>
  </si>
  <si>
    <t>F6U1T9_PPP3R1</t>
  </si>
  <si>
    <t>F6XIH0_ATP7B</t>
  </si>
  <si>
    <t>F6XY72_NME2</t>
  </si>
  <si>
    <t>F8VQP2_ATXN2</t>
  </si>
  <si>
    <t>F8VQR7_CSRP2</t>
  </si>
  <si>
    <t>F8VQX6_METTL7A</t>
  </si>
  <si>
    <t>F8VQY6_RPLP0</t>
  </si>
  <si>
    <t>F8VRD9_SLC38A4</t>
  </si>
  <si>
    <t>F8VRR3_METAP2</t>
  </si>
  <si>
    <t>F8VSC5_SCYL2</t>
  </si>
  <si>
    <t>F8VSL3_NFYB</t>
  </si>
  <si>
    <t>F8VVL1_DENR</t>
  </si>
  <si>
    <t>F8VVX6_COQ5</t>
  </si>
  <si>
    <t>F8VWA6_MON2</t>
  </si>
  <si>
    <t>F8VXY3_OAS1</t>
  </si>
  <si>
    <t>F8VYH9_CDK4</t>
  </si>
  <si>
    <t>F8VZJ2_NACA</t>
  </si>
  <si>
    <t>F8W038_C17orf49</t>
  </si>
  <si>
    <t>F8W1H4_</t>
  </si>
  <si>
    <t>F8W1Q3_BTD</t>
  </si>
  <si>
    <t>F8W1R7_MYL6</t>
  </si>
  <si>
    <t>F8W6G5_APTX</t>
  </si>
  <si>
    <t>F8W6K3_MAP3K2</t>
  </si>
  <si>
    <t>F8W720_GMPS</t>
  </si>
  <si>
    <t>F8W785_GOLIM4</t>
  </si>
  <si>
    <t>F8W7C6_RPL10</t>
  </si>
  <si>
    <t>F8W7S5_RRBP1</t>
  </si>
  <si>
    <t>F8W7U3_FAM21A</t>
  </si>
  <si>
    <t>F8W826_HOMER2</t>
  </si>
  <si>
    <t>F8W8C2_VEZT</t>
  </si>
  <si>
    <t>F8W8I6_TIA1</t>
  </si>
  <si>
    <t>F8W8M4_ABLIM1</t>
  </si>
  <si>
    <t>F8W914_RTN4</t>
  </si>
  <si>
    <t>F8W9S7_GAPVD1</t>
  </si>
  <si>
    <t>F8W9X7_CCDC93</t>
  </si>
  <si>
    <t>F8WAG2_NEK7</t>
  </si>
  <si>
    <t>F8WBM7_F10</t>
  </si>
  <si>
    <t>F8WDV0_IPO11</t>
  </si>
  <si>
    <t>F8WF49_DLGAP4</t>
  </si>
  <si>
    <t>F8WJN3_CPSF6</t>
  </si>
  <si>
    <t>G3V0E8_PCBP2</t>
  </si>
  <si>
    <t>G3V169_CASP1</t>
  </si>
  <si>
    <t>G3V1D4_LIN7C</t>
  </si>
  <si>
    <t>G3V1J5_DIS3</t>
  </si>
  <si>
    <t>G3V1P3_LOH12CR1</t>
  </si>
  <si>
    <t>G3V1Q4_SEPT7</t>
  </si>
  <si>
    <t>G3V1V1_ZCRB1</t>
  </si>
  <si>
    <t>G3V1Y8_ASPG</t>
  </si>
  <si>
    <t>G3V238_METTL10</t>
  </si>
  <si>
    <t>G3V2A6_NDRG2</t>
  </si>
  <si>
    <t>G3V2T6_</t>
  </si>
  <si>
    <t>G3V357_RNASE1</t>
  </si>
  <si>
    <t>G3V394_MYO5A</t>
  </si>
  <si>
    <t>G3V3G9_DCAF8</t>
  </si>
  <si>
    <t>G3V3R7_ATXN3</t>
  </si>
  <si>
    <t>G3V4C1_HNRNPC</t>
  </si>
  <si>
    <t>G3V4S8_CHD2</t>
  </si>
  <si>
    <t>G3V4W0_HNRNPC</t>
  </si>
  <si>
    <t>G3V599_CTAGE5</t>
  </si>
  <si>
    <t>G3V5T0_GSTZ1</t>
  </si>
  <si>
    <t>G3XAA0_ARID1B</t>
  </si>
  <si>
    <t>G3XAH6_PAPOLA</t>
  </si>
  <si>
    <t>G3XAM2_CFI</t>
  </si>
  <si>
    <t>G5E9W7_MRPS22</t>
  </si>
  <si>
    <t>G5E9X3_FNDC3A</t>
  </si>
  <si>
    <t>G5EA37_WIPI1</t>
  </si>
  <si>
    <t>G5EA52_PDIA3</t>
  </si>
  <si>
    <t>G8JL86_COBLL1</t>
  </si>
  <si>
    <t>G8JLB3_PUS1</t>
  </si>
  <si>
    <t>G8JLC6_MIA3</t>
  </si>
  <si>
    <t>H0Y300_HP</t>
  </si>
  <si>
    <t>H0Y3A0_RPL35</t>
  </si>
  <si>
    <t>H0Y3G1_PXDC1</t>
  </si>
  <si>
    <t>H0Y3P2_EIF4G2</t>
  </si>
  <si>
    <t>H0Y4R1_IMPDH2</t>
  </si>
  <si>
    <t>H0Y5G7_NBAS</t>
  </si>
  <si>
    <t>H0Y613_GSE1</t>
  </si>
  <si>
    <t>H0Y614_UFM1</t>
  </si>
  <si>
    <t>H0Y638_RASAL2</t>
  </si>
  <si>
    <t>H0Y6A0_ARFGAP3</t>
  </si>
  <si>
    <t>H0Y6C3_PYCRL</t>
  </si>
  <si>
    <t>H0Y6I0_GOLGA4</t>
  </si>
  <si>
    <t>H0Y6W0_TOP3B</t>
  </si>
  <si>
    <t>H0Y9D9_CPEB2</t>
  </si>
  <si>
    <t>H0Y9R3_WDR26</t>
  </si>
  <si>
    <t>H0YA52_PCBD2</t>
  </si>
  <si>
    <t>H0YA68_MAN2B2</t>
  </si>
  <si>
    <t>H0YAY0_TACC1</t>
  </si>
  <si>
    <t>H0YBL1_IMPA1</t>
  </si>
  <si>
    <t>H0YDB2_STIM1</t>
  </si>
  <si>
    <t>H0YDP7_MRPL49</t>
  </si>
  <si>
    <t>H0YDU8_PPP5C</t>
  </si>
  <si>
    <t>H0YE28_C11orf31</t>
  </si>
  <si>
    <t>H0YEB6_SSSCA1</t>
  </si>
  <si>
    <t>H0YEH2_PUM1</t>
  </si>
  <si>
    <t>H0YEN5_RPS2</t>
  </si>
  <si>
    <t>H0YEP5_SMPD1</t>
  </si>
  <si>
    <t>H0YEZ2_FRG1B</t>
  </si>
  <si>
    <t>H0YFI1_LAMTOR1</t>
  </si>
  <si>
    <t>H0YFP3_PPOX</t>
  </si>
  <si>
    <t>H0YGR4_REXO2</t>
  </si>
  <si>
    <t>H0YGX7_ARHGDIB</t>
  </si>
  <si>
    <t>H0YHC3_NAP1L1</t>
  </si>
  <si>
    <t>H0YI02_RAB3IP</t>
  </si>
  <si>
    <t>H0YIX9_R3HDM2</t>
  </si>
  <si>
    <t>H0YL72_IDH3A</t>
  </si>
  <si>
    <t>H0YL91_TRIP4</t>
  </si>
  <si>
    <t>H0YLA4_SORD</t>
  </si>
  <si>
    <t>H0YLD8_SHF</t>
  </si>
  <si>
    <t>H0YMB3_GMPR2</t>
  </si>
  <si>
    <t>H0YMD0_ANXA2</t>
  </si>
  <si>
    <t>H0YN26_ANP32A</t>
  </si>
  <si>
    <t>H0YN78_C15orf57</t>
  </si>
  <si>
    <t>H0YN81_WDR61</t>
  </si>
  <si>
    <t>H3BLU7_AKR7A2</t>
  </si>
  <si>
    <t>H3BM67_NOL3</t>
  </si>
  <si>
    <t>H3BM79_AKTIP</t>
  </si>
  <si>
    <t>H3BMM5_</t>
  </si>
  <si>
    <t>H3BNC0_PRMT7</t>
  </si>
  <si>
    <t>H3BPB8_MPI</t>
  </si>
  <si>
    <t>H3BPE1_MACF1</t>
  </si>
  <si>
    <t>H3BPN3_TRAPPC2L</t>
  </si>
  <si>
    <t>H3BPZ6_CDAN1</t>
  </si>
  <si>
    <t>H3BQ58_RNF166</t>
  </si>
  <si>
    <t>H3BQH3_KLHDC4</t>
  </si>
  <si>
    <t>H3BQP5_EDC3</t>
  </si>
  <si>
    <t>H3BQV3_COG8</t>
  </si>
  <si>
    <t>H3BQZ7_hCG_2044799</t>
  </si>
  <si>
    <t>H3BRF9_ZFYVE19</t>
  </si>
  <si>
    <t>H3BRL3_UBFD1</t>
  </si>
  <si>
    <t>H3BRQ0_PPCDC</t>
  </si>
  <si>
    <t>H3BRV0_EIF3C</t>
  </si>
  <si>
    <t>H3BS10_HEXA</t>
  </si>
  <si>
    <t>H3BSW0_LRRC57</t>
  </si>
  <si>
    <t>H3BTB7_EARS2</t>
  </si>
  <si>
    <t>H3BTL2_BCKDK</t>
  </si>
  <si>
    <t>H3BTP7_RPL4</t>
  </si>
  <si>
    <t>H3BU49_ARL2BP</t>
  </si>
  <si>
    <t>H3BUL2_COMMD4</t>
  </si>
  <si>
    <t>H3BUU5_SP1</t>
  </si>
  <si>
    <t>H7BXD8_LGALS8</t>
  </si>
  <si>
    <t>H7BXP5_TPRN</t>
  </si>
  <si>
    <t>H7BY36_EWSR1</t>
  </si>
  <si>
    <t>H7BY38_CYP2D6</t>
  </si>
  <si>
    <t>H7BYY1_TPM1</t>
  </si>
  <si>
    <t>H7BZL0_MKI67IP</t>
  </si>
  <si>
    <t>H7C0C0_GTF3C3</t>
  </si>
  <si>
    <t>H7C0E5_ZNF259</t>
  </si>
  <si>
    <t>H7C0G7_NHEJ1</t>
  </si>
  <si>
    <t>H7C1J4_UHRF1BP1</t>
  </si>
  <si>
    <t>H7C1U3_CC2D1B</t>
  </si>
  <si>
    <t>H7C2B1_NOL7</t>
  </si>
  <si>
    <t>H7C2Z6_GCA</t>
  </si>
  <si>
    <t>H7C331_SDCCAG3</t>
  </si>
  <si>
    <t>H7C3G7_CWF19L2</t>
  </si>
  <si>
    <t>H7C3P4_GNS</t>
  </si>
  <si>
    <t>H7C462_BUD13</t>
  </si>
  <si>
    <t>H7C485_ARID4A</t>
  </si>
  <si>
    <t>H7C4T5_MBNL1</t>
  </si>
  <si>
    <t>H7C5G1_IAH1</t>
  </si>
  <si>
    <t>H8Y6P7_GCOM1</t>
  </si>
  <si>
    <t>I3L097_</t>
  </si>
  <si>
    <t>I3L0K7_TRAP1</t>
  </si>
  <si>
    <t>I3L0X5_SPAG7</t>
  </si>
  <si>
    <t>I3L1K7_GOSR2</t>
  </si>
  <si>
    <t>I3L1Q3_ELP5</t>
  </si>
  <si>
    <t>I3L2B0_CLUH</t>
  </si>
  <si>
    <t>I3L2J0_CIC</t>
  </si>
  <si>
    <t>I3L397_EIF5A</t>
  </si>
  <si>
    <t>I3L3P7_RPS15A</t>
  </si>
  <si>
    <t>I3L3T4_TOM1L1</t>
  </si>
  <si>
    <t>I3L4X3_NFKBIB</t>
  </si>
  <si>
    <t>J3KMY5_NPC2</t>
  </si>
  <si>
    <t>J3KN29_PSMD9</t>
  </si>
  <si>
    <t>J3KN75_TBC1D8B</t>
  </si>
  <si>
    <t>J3KN93_ANKRD44</t>
  </si>
  <si>
    <t>J3KNC0_GTF2A1</t>
  </si>
  <si>
    <t>J3KNF4_CCS</t>
  </si>
  <si>
    <t>J3KNJ2_EIF3M</t>
  </si>
  <si>
    <t>J3KNL6_SEC16A</t>
  </si>
  <si>
    <t>J3KP19_SIPA1L1</t>
  </si>
  <si>
    <t>J3KP29_NUP98</t>
  </si>
  <si>
    <t>J3KP36_FAM21C</t>
  </si>
  <si>
    <t>J3KP66_PROX1</t>
  </si>
  <si>
    <t>J3KP74_PRG4</t>
  </si>
  <si>
    <t>J3KPK1_SYNJ1</t>
  </si>
  <si>
    <t>J3KPS2_FAM83H</t>
  </si>
  <si>
    <t>J3KPV7_MPST</t>
  </si>
  <si>
    <t>J3KQG4_GBA</t>
  </si>
  <si>
    <t>J3KQN6_PPP2R5E</t>
  </si>
  <si>
    <t>J3KR05_COBL</t>
  </si>
  <si>
    <t>J3KSI8_MRPS7</t>
  </si>
  <si>
    <t>J3KSS7_GGA3</t>
  </si>
  <si>
    <t>J3KSW8_MPRIP</t>
  </si>
  <si>
    <t>J3KT51_HN1</t>
  </si>
  <si>
    <t>J3KTF8_ARHGDIA</t>
  </si>
  <si>
    <t>J3KTJ3_RPL23</t>
  </si>
  <si>
    <t>J3QK84_NEB</t>
  </si>
  <si>
    <t>J3QKK8_FAM213B</t>
  </si>
  <si>
    <t>J3QKS7_SMARCE1</t>
  </si>
  <si>
    <t>J3QL05_SRSF2</t>
  </si>
  <si>
    <t>J3QL56_SCO1</t>
  </si>
  <si>
    <t>J3QLE5_SNRPN</t>
  </si>
  <si>
    <t>J3QLI9_SNRPD1</t>
  </si>
  <si>
    <t>J3QLV0_NUP85</t>
  </si>
  <si>
    <t>J3QQX3_FDXR</t>
  </si>
  <si>
    <t>J3QRD1_ALDH3A2</t>
  </si>
  <si>
    <t>J3QSV6_RSL1D1</t>
  </si>
  <si>
    <t>J3QT28_BUB3</t>
  </si>
  <si>
    <t>J3QT87_CRBN</t>
  </si>
  <si>
    <t>J9JIC5_C17orf75</t>
  </si>
  <si>
    <t>J9JIE9_HYI</t>
  </si>
  <si>
    <t>K7EIE8_MBD3</t>
  </si>
  <si>
    <t>K7EIG1_CLUH</t>
  </si>
  <si>
    <t>K7EIJ0_WBP2</t>
  </si>
  <si>
    <t>K7EIU8_SMAD4</t>
  </si>
  <si>
    <t>K7EJ78_RPS15</t>
  </si>
  <si>
    <t>K7EJB9_CALR</t>
  </si>
  <si>
    <t>K7EJG0_hCG_27535</t>
  </si>
  <si>
    <t>K7EJL1_AP1M1</t>
  </si>
  <si>
    <t>K7EK07_H3F3B</t>
  </si>
  <si>
    <t>K7EK11_NAGS</t>
  </si>
  <si>
    <t>K7EKE6_LONP1</t>
  </si>
  <si>
    <t>K7EKI8_PPL</t>
  </si>
  <si>
    <t>K7EME0_ACAA2</t>
  </si>
  <si>
    <t>K7EMY9_CIRBP</t>
  </si>
  <si>
    <t>K7ENR6_PSMG2</t>
  </si>
  <si>
    <t>K7ENT8_PRODH2</t>
  </si>
  <si>
    <t>K7EP32_UBXN6</t>
  </si>
  <si>
    <t>K7EPS8_C19orf12</t>
  </si>
  <si>
    <t>K7ER15_HDHD2</t>
  </si>
  <si>
    <t>K7ERI9_APOC1</t>
  </si>
  <si>
    <t>K7ES31_EIF3K</t>
  </si>
  <si>
    <t>K7ESE3_RAD23A</t>
  </si>
  <si>
    <t>M0QWZ7_SARS2</t>
  </si>
  <si>
    <t>M0QX35_PAF1</t>
  </si>
  <si>
    <t>M0QY97_ZC3H4</t>
  </si>
  <si>
    <t>M0QZ28_DTNA</t>
  </si>
  <si>
    <t>M0QZS0_ARHGEF18</t>
  </si>
  <si>
    <t>M0R0F0_RPS5</t>
  </si>
  <si>
    <t>M0R0I0_BABAM1</t>
  </si>
  <si>
    <t>M0R2P8_PIH1D1</t>
  </si>
  <si>
    <t>Q2TAM5_RELA</t>
  </si>
  <si>
    <t>Q32N00_POLD3</t>
  </si>
  <si>
    <t>Q495G6_MMAA</t>
  </si>
  <si>
    <t>Q4VXH1_FBXW2</t>
  </si>
  <si>
    <t>Q53XA7_DKFZp686F13224</t>
  </si>
  <si>
    <t>Q567Q0_PPIA</t>
  </si>
  <si>
    <t>Q5HY54_FLNA</t>
  </si>
  <si>
    <t>Q5JP53_TUBB</t>
  </si>
  <si>
    <t>Q5JR04_MOV10</t>
  </si>
  <si>
    <t>Q5JR08_RHOC</t>
  </si>
  <si>
    <t>Q5JRV4_FIG4</t>
  </si>
  <si>
    <t>Q5JSK8_HMGN5</t>
  </si>
  <si>
    <t>Q5JTV1_GMEB2</t>
  </si>
  <si>
    <t>Q5JUA8_VPS16</t>
  </si>
  <si>
    <t>Q5JW30_STAU1</t>
  </si>
  <si>
    <t>Q5QNY5_PEX19</t>
  </si>
  <si>
    <t>Q5QPM0_RALY</t>
  </si>
  <si>
    <t>Q5QPM7_PSMF1</t>
  </si>
  <si>
    <t>Q5SSZ3_AGER</t>
  </si>
  <si>
    <t>Q5T123_SH3BGRL3</t>
  </si>
  <si>
    <t>Q5T760_SRSF11</t>
  </si>
  <si>
    <t>Q5T985_ITIH2</t>
  </si>
  <si>
    <t>Q5TA02_GSTO1</t>
  </si>
  <si>
    <t>Q5TA58_AGO1</t>
  </si>
  <si>
    <t>Q5TBP5_TAF4</t>
  </si>
  <si>
    <t>Q5TBU2_ADIRF</t>
  </si>
  <si>
    <t>Q5TCU3_TPM2</t>
  </si>
  <si>
    <t>Q5TCZ7_CUTC</t>
  </si>
  <si>
    <t>Q5TH58_C6orf106</t>
  </si>
  <si>
    <t>Q5VTU3_DYNLT1</t>
  </si>
  <si>
    <t>Q5VTW1_ADAMTS4</t>
  </si>
  <si>
    <t>Q5VU10_RPP30</t>
  </si>
  <si>
    <t>Q658Y7_DKFZp313H139</t>
  </si>
  <si>
    <t>Q6ICJ4_Em:AP000351.3</t>
  </si>
  <si>
    <t>Q6P4G0_RECQL5</t>
  </si>
  <si>
    <t>Q71TU5_CSNK1A1</t>
  </si>
  <si>
    <t>Q7Z451_AP2B1</t>
  </si>
  <si>
    <t>Q86TV2_LGMN</t>
  </si>
  <si>
    <t>Q86UY0_TXNDC5</t>
  </si>
  <si>
    <t>Q86VQ2_WASF3</t>
  </si>
  <si>
    <t>Q8IYN9_PTK2</t>
  </si>
  <si>
    <t>Q8WVC2_RPS21</t>
  </si>
  <si>
    <t>Q8WYQ7_LGALS9</t>
  </si>
  <si>
    <t>Q96CG1_ETF1</t>
  </si>
  <si>
    <t>Q9BVB1_POLD4</t>
  </si>
  <si>
    <t>Q9H6Y6_MYO5B</t>
  </si>
  <si>
    <t>Q9UII8_CDH1</t>
  </si>
  <si>
    <t>R4GMR5_PSMD8</t>
  </si>
  <si>
    <t>R4GMX3_BMI1</t>
  </si>
  <si>
    <t>R4GN55_YTHDF3</t>
  </si>
  <si>
    <t>R4GN98_S100A6</t>
  </si>
  <si>
    <t>R4GNB2_DENND4C</t>
  </si>
  <si>
    <t>R4GNG2_AMFR</t>
  </si>
  <si>
    <t>R4GNH3_PSMC3</t>
  </si>
  <si>
    <t>Melting_Curves/meltCurve_sp_A0AVT1_UBA6_HUMAN_.pdf</t>
  </si>
  <si>
    <t>Melting_Curves/meltCurve_sp_A0JNW5_UH1BL_HUMAN_.pdf</t>
  </si>
  <si>
    <t>Melting_Curves/meltCurve_sp_A0MZ66_SHOT1_HUMAN_.pdf</t>
  </si>
  <si>
    <t>Melting_Curves/meltCurve_sp_A1L170_CA226_HUMAN_.pdf</t>
  </si>
  <si>
    <t>Melting_Curves/meltCurve_sp_A1L188_CQ089_HUMAN_.pdf</t>
  </si>
  <si>
    <t>Melting_Curves/meltCurve_sp_A1L390_PKHG3_HUMAN_.pdf</t>
  </si>
  <si>
    <t>Melting_Curves/meltCurve_sp_A1Z1Q3_2_MACD2_HUMAN_.pdf</t>
  </si>
  <si>
    <t>Melting_Curves/meltCurve_sp_A2VDF0_2_FUCM_HUMAN_.pdf</t>
  </si>
  <si>
    <t>Melting_Curves/meltCurve_sp_A4D126_2_ISPD_HUMAN_.pdf</t>
  </si>
  <si>
    <t>Melting_Curves/meltCurve_sp_A4D1P6_2_WDR91_HUMAN_.pdf</t>
  </si>
  <si>
    <t>Melting_Curves/meltCurve_sp_A5YKK6_2_CNOT1_HUMAN_.pdf</t>
  </si>
  <si>
    <t>Melting_Curves/meltCurve_sp_A6ND91_ASPD_HUMAN_.pdf</t>
  </si>
  <si>
    <t>Melting_Curves/meltCurve_sp_A6NDB9_PALM3_HUMAN_.pdf</t>
  </si>
  <si>
    <t>Melting_Curves/meltCurve_sp_A6NDG6_PGP_HUMAN_.pdf</t>
  </si>
  <si>
    <t>Melting_Curves/meltCurve_sp_A6NDU8_CE051_HUMAN_.pdf</t>
  </si>
  <si>
    <t>Melting_Curves/meltCurve_sp_A6NED2_RCCD1_HUMAN_.pdf</t>
  </si>
  <si>
    <t>Melting_Curves/meltCurve_sp_A6NIH7_U119B_HUMAN_.pdf</t>
  </si>
  <si>
    <t>Melting_Curves/meltCurve_sp_A6NK44_GLOD5_HUMAN_.pdf</t>
  </si>
  <si>
    <t>Melting_Curves/meltCurve_sp_A6NK58_LIPT2_HUMAN_.pdf</t>
  </si>
  <si>
    <t>Melting_Curves/meltCurve_sp_A6NKD9_CC85C_HUMAN_.pdf</t>
  </si>
  <si>
    <t>Melting_Curves/meltCurve_sp_A6NKN8_PC4L1_HUMAN_.pdf</t>
  </si>
  <si>
    <t>Melting_Curves/meltCurve_sp_A6NLP5_TTC36_HUMAN_.pdf</t>
  </si>
  <si>
    <t>Melting_Curves/meltCurve_sp_A8MSI8_LYRM9_HUMAN_.pdf</t>
  </si>
  <si>
    <t>Melting_Curves/meltCurve_sp_A8MXV4_NUD19_HUMAN_.pdf</t>
  </si>
  <si>
    <t>Melting_Curves/meltCurve_sp_B1AK53_ESPN_HUMAN_.pdf</t>
  </si>
  <si>
    <t>Melting_Curves/meltCurve_sp_B7ZAP0_RBG10_HUMAN_.pdf</t>
  </si>
  <si>
    <t>Melting_Curves/meltCurve_sp_B7ZBB8_PP13G_HUMAN_.pdf</t>
  </si>
  <si>
    <t>Melting_Curves/meltCurve_sp_C4AMC7_WASH3_HUMAN_.pdf</t>
  </si>
  <si>
    <t>Melting_Curves/meltCurve_sp_F8WCM5_INSR2_HUMAN_.pdf</t>
  </si>
  <si>
    <t>Melting_Curves/meltCurve_sp_O00124_2_UBXN8_HUMAN_.pdf</t>
  </si>
  <si>
    <t>Melting_Curves/meltCurve_sp_O00142_KITM_HUMAN_.pdf</t>
  </si>
  <si>
    <t>Melting_Curves/meltCurve_sp_O00151_PDLI1_HUMAN_.pdf</t>
  </si>
  <si>
    <t>Melting_Curves/meltCurve_sp_O00154_4_BACH_HUMAN_.pdf</t>
  </si>
  <si>
    <t>Melting_Curves/meltCurve_sp_O00161_2_SNP23_HUMAN_.pdf</t>
  </si>
  <si>
    <t>Melting_Curves/meltCurve_sp_O00170_AIP_HUMAN_.pdf</t>
  </si>
  <si>
    <t>Melting_Curves/meltCurve_sp_O00231_PSD11_HUMAN_.pdf</t>
  </si>
  <si>
    <t>Melting_Curves/meltCurve_sp_O00232_PSD12_HUMAN_.pdf</t>
  </si>
  <si>
    <t>Melting_Curves/meltCurve_sp_O00244_ATOX1_HUMAN_.pdf</t>
  </si>
  <si>
    <t>Melting_Curves/meltCurve_sp_O00267_2_SPT5H_HUMAN_.pdf</t>
  </si>
  <si>
    <t>Melting_Curves/meltCurve_sp_O00273_DFFA_HUMAN_.pdf</t>
  </si>
  <si>
    <t>Melting_Curves/meltCurve_sp_O00299_CLIC1_HUMAN_.pdf</t>
  </si>
  <si>
    <t>Melting_Curves/meltCurve_sp_O00401_WASL_HUMAN_.pdf</t>
  </si>
  <si>
    <t>Melting_Curves/meltCurve_sp_O00410_IPO5_HUMAN_.pdf</t>
  </si>
  <si>
    <t>Melting_Curves/meltCurve_sp_O00429_4_DNM1L_HUMAN_.pdf</t>
  </si>
  <si>
    <t>Melting_Curves/meltCurve_sp_O00442_RTCA_HUMAN_.pdf</t>
  </si>
  <si>
    <t>Melting_Curves/meltCurve_sp_O00459_P85B_HUMAN_.pdf</t>
  </si>
  <si>
    <t>Melting_Curves/meltCurve_sp_O00462_MANBA_HUMAN_.pdf</t>
  </si>
  <si>
    <t>Melting_Curves/meltCurve_sp_O00471_EXOC5_HUMAN_.pdf</t>
  </si>
  <si>
    <t>Melting_Curves/meltCurve_sp_O00479_HMGN4_HUMAN_.pdf</t>
  </si>
  <si>
    <t>Melting_Curves/meltCurve_sp_O00487_PSDE_HUMAN_.pdf</t>
  </si>
  <si>
    <t>Melting_Curves/meltCurve_sp_O00499_6_BIN1_HUMAN_.pdf</t>
  </si>
  <si>
    <t>Melting_Curves/meltCurve_sp_O00505_IMA3_HUMAN_.pdf</t>
  </si>
  <si>
    <t>Melting_Curves/meltCurve_sp_O00515_LAD1_HUMAN_.pdf</t>
  </si>
  <si>
    <t>Melting_Curves/meltCurve_sp_O00534_VMA5A_HUMAN_.pdf</t>
  </si>
  <si>
    <t>Melting_Curves/meltCurve_sp_O00567_NOP56_HUMAN_.pdf</t>
  </si>
  <si>
    <t>Melting_Curves/meltCurve_sp_O00571_DDX3X_HUMAN_.pdf</t>
  </si>
  <si>
    <t>Melting_Curves/meltCurve_sp_O00625_PIR_HUMAN_.pdf</t>
  </si>
  <si>
    <t>Melting_Curves/meltCurve_sp_O00629_IMA4_HUMAN_.pdf</t>
  </si>
  <si>
    <t>Melting_Curves/meltCurve_sp_O00743_PPP6_HUMAN_.pdf</t>
  </si>
  <si>
    <t>Melting_Curves/meltCurve_sp_O00748_EST2_HUMAN_.pdf</t>
  </si>
  <si>
    <t>Melting_Curves/meltCurve_sp_O00754_MA2B1_HUMAN_.pdf</t>
  </si>
  <si>
    <t>Melting_Curves/meltCurve_sp_O00757_F16P2_HUMAN_.pdf</t>
  </si>
  <si>
    <t>Melting_Curves/meltCurve_sp_O00763_ACACB_HUMAN_.pdf</t>
  </si>
  <si>
    <t>Melting_Curves/meltCurve_sp_O00764_PDXK_HUMAN_.pdf</t>
  </si>
  <si>
    <t>Melting_Curves/meltCurve_sp_O14497_ARI1A_HUMAN_.pdf</t>
  </si>
  <si>
    <t>Melting_Curves/meltCurve_sp_O14545_TRAD1_HUMAN_.pdf</t>
  </si>
  <si>
    <t>Melting_Curves/meltCurve_sp_O14561_ACPM_HUMAN_.pdf</t>
  </si>
  <si>
    <t>Melting_Curves/meltCurve_sp_O14578_3_CTRO_HUMAN_.pdf</t>
  </si>
  <si>
    <t>Melting_Curves/meltCurve_sp_O14579_COPE_HUMAN_.pdf</t>
  </si>
  <si>
    <t>Melting_Curves/meltCurve_sp_O14686_MLL2_HUMAN_.pdf</t>
  </si>
  <si>
    <t>Melting_Curves/meltCurve_sp_O14732_2_IMPA2_HUMAN_.pdf</t>
  </si>
  <si>
    <t>Melting_Curves/meltCurve_sp_O14734_ACOT8_HUMAN_.pdf</t>
  </si>
  <si>
    <t>Melting_Curves/meltCurve_sp_O14737_PDCD5_HUMAN_.pdf</t>
  </si>
  <si>
    <t>Melting_Curves/meltCurve_sp_O14744_ANM5_HUMAN_.pdf</t>
  </si>
  <si>
    <t>Melting_Curves/meltCurve_sp_O14745_NHRF1_HUMAN_.pdf</t>
  </si>
  <si>
    <t>Melting_Curves/meltCurve_sp_O14756_H17B6_HUMAN_.pdf</t>
  </si>
  <si>
    <t>Melting_Curves/meltCurve_sp_O14772_FPGT_HUMAN_.pdf</t>
  </si>
  <si>
    <t>Melting_Curves/meltCurve_sp_O14773_2_TPP1_HUMAN_.pdf</t>
  </si>
  <si>
    <t>Melting_Curves/meltCurve_sp_O14776_2_TCRG1_HUMAN_.pdf</t>
  </si>
  <si>
    <t>Melting_Curves/meltCurve_sp_O14787_2_TNPO2_HUMAN_.pdf</t>
  </si>
  <si>
    <t>Melting_Curves/meltCurve_sp_O14818_PSA7_HUMAN_.pdf</t>
  </si>
  <si>
    <t>Melting_Curves/meltCurve_sp_O14828_SCAM3_HUMAN_.pdf</t>
  </si>
  <si>
    <t>Melting_Curves/meltCurve_sp_O14832_PAHX_HUMAN_.pdf</t>
  </si>
  <si>
    <t>Melting_Curves/meltCurve_sp_O14841_OPLA_HUMAN_.pdf</t>
  </si>
  <si>
    <t>Melting_Curves/meltCurve_sp_O14879_IFIT3_HUMAN_.pdf</t>
  </si>
  <si>
    <t>Melting_Curves/meltCurve_sp_O14896_IRF6_HUMAN_.pdf</t>
  </si>
  <si>
    <t>Melting_Curves/meltCurve_sp_O14907_TX1B3_HUMAN_.pdf</t>
  </si>
  <si>
    <t>Melting_Curves/meltCurve_sp_O14908_GIPC1_HUMAN_.pdf</t>
  </si>
  <si>
    <t>Melting_Curves/meltCurve_sp_O14929_HAT1_HUMAN_.pdf</t>
  </si>
  <si>
    <t>Melting_Curves/meltCurve_sp_O14933_UB2L6_HUMAN_.pdf</t>
  </si>
  <si>
    <t>Melting_Curves/meltCurve_sp_O14936_3_CSKP_HUMAN_.pdf</t>
  </si>
  <si>
    <t>Melting_Curves/meltCurve_sp_O14964_HGS_HUMAN_.pdf</t>
  </si>
  <si>
    <t>Melting_Curves/meltCurve_sp_O14974_MYPT1_HUMAN_.pdf</t>
  </si>
  <si>
    <t>Melting_Curves/meltCurve_sp_O14976_GAK_HUMAN_.pdf</t>
  </si>
  <si>
    <t>Melting_Curves/meltCurve_sp_O14979_3_HNRDL_HUMAN_.pdf</t>
  </si>
  <si>
    <t>Melting_Curves/meltCurve_sp_O14980_XPO1_HUMAN_.pdf</t>
  </si>
  <si>
    <t>Melting_Curves/meltCurve_sp_O15020_SPTN2_HUMAN_.pdf</t>
  </si>
  <si>
    <t>Melting_Curves/meltCurve_sp_O15021_2_MAST4_HUMAN_.pdf</t>
  </si>
  <si>
    <t>Melting_Curves/meltCurve_sp_O15067_PUR4_HUMAN_.pdf</t>
  </si>
  <si>
    <t>Melting_Curves/meltCurve_sp_O15084_ANR28_HUMAN_.pdf</t>
  </si>
  <si>
    <t>Melting_Curves/meltCurve_sp_O15085_ARHGB_HUMAN_.pdf</t>
  </si>
  <si>
    <t>Melting_Curves/meltCurve_sp_O15143_ARC1B_HUMAN_.pdf</t>
  </si>
  <si>
    <t>Melting_Curves/meltCurve_sp_O15144_ARPC2_HUMAN_.pdf</t>
  </si>
  <si>
    <t>Melting_Curves/meltCurve_sp_O15145_ARPC3_HUMAN_.pdf</t>
  </si>
  <si>
    <t>Melting_Curves/meltCurve_sp_O15173_PGRC2_HUMAN_.pdf</t>
  </si>
  <si>
    <t>Melting_Curves/meltCurve_sp_O15212_PFD6_HUMAN_.pdf</t>
  </si>
  <si>
    <t>Melting_Curves/meltCurve_sp_O15217_GSTA4_HUMAN_.pdf</t>
  </si>
  <si>
    <t>Melting_Curves/meltCurve_sp_O15229_3_KMO_HUMAN_.pdf</t>
  </si>
  <si>
    <t>Melting_Curves/meltCurve_sp_O15254_ACOX3_HUMAN_.pdf</t>
  </si>
  <si>
    <t>Melting_Curves/meltCurve_sp_O15294_3_OGT1_HUMAN_.pdf</t>
  </si>
  <si>
    <t>Melting_Curves/meltCurve_sp_O15305_PMM2_HUMAN_.pdf</t>
  </si>
  <si>
    <t>Melting_Curves/meltCurve_sp_O15355_PPM1G_HUMAN_.pdf</t>
  </si>
  <si>
    <t>Melting_Curves/meltCurve_sp_O15372_EIF3H_HUMAN_.pdf</t>
  </si>
  <si>
    <t>Melting_Curves/meltCurve_sp_O15379_HDAC3_HUMAN_.pdf</t>
  </si>
  <si>
    <t>Melting_Curves/meltCurve_sp_O15382_BCAT2_HUMAN_.pdf</t>
  </si>
  <si>
    <t>Melting_Curves/meltCurve_sp_O15397_IPO8_HUMAN_.pdf</t>
  </si>
  <si>
    <t>Melting_Curves/meltCurve_sp_O15400_2_STX7_HUMAN_.pdf</t>
  </si>
  <si>
    <t>Melting_Curves/meltCurve_sp_O15446_RPA34_HUMAN_.pdf</t>
  </si>
  <si>
    <t>Melting_Curves/meltCurve_sp_O15488_4_GLYG2_HUMAN_.pdf</t>
  </si>
  <si>
    <t>Melting_Curves/meltCurve_sp_O15498_YKT6_HUMAN_.pdf</t>
  </si>
  <si>
    <t>Melting_Curves/meltCurve_sp_O15511_ARPC5_HUMAN_.pdf</t>
  </si>
  <si>
    <t>Melting_Curves/meltCurve_sp_O15541_R113A_HUMAN_.pdf</t>
  </si>
  <si>
    <t>Melting_Curves/meltCurve_sp_O43143_DHX15_HUMAN_.pdf</t>
  </si>
  <si>
    <t>Melting_Curves/meltCurve_sp_O43148_MCES_HUMAN_.pdf</t>
  </si>
  <si>
    <t>Melting_Curves/meltCurve_sp_O43164_2_PJA2_HUMAN_.pdf</t>
  </si>
  <si>
    <t>Melting_Curves/meltCurve_sp_O43175_SERA_HUMAN_.pdf</t>
  </si>
  <si>
    <t>Melting_Curves/meltCurve_sp_O43236_5_SEPT4_HUMAN_.pdf</t>
  </si>
  <si>
    <t>Melting_Curves/meltCurve_sp_O43237_DC1L2_HUMAN_.pdf</t>
  </si>
  <si>
    <t>Melting_Curves/meltCurve_sp_O43242_PSMD3_HUMAN_.pdf</t>
  </si>
  <si>
    <t>Melting_Curves/meltCurve_sp_O43252_PAPS1_HUMAN_.pdf</t>
  </si>
  <si>
    <t>Melting_Curves/meltCurve_sp_O43290_SNUT1_HUMAN_.pdf</t>
  </si>
  <si>
    <t>Melting_Curves/meltCurve_sp_O43312_4_MTSS1_HUMAN_.pdf</t>
  </si>
  <si>
    <t>Melting_Curves/meltCurve_sp_O43314_2_VIP2_HUMAN_.pdf</t>
  </si>
  <si>
    <t>Melting_Curves/meltCurve_sp_O43318_2_M3K7_HUMAN_.pdf</t>
  </si>
  <si>
    <t>Melting_Curves/meltCurve_sp_O43325_LYRM1_HUMAN_.pdf</t>
  </si>
  <si>
    <t>Melting_Curves/meltCurve_sp_O43390_HNRPR_HUMAN_.pdf</t>
  </si>
  <si>
    <t>Melting_Curves/meltCurve_sp_O43396_TXNL1_HUMAN_.pdf</t>
  </si>
  <si>
    <t>Melting_Curves/meltCurve_sp_O43399_TPD54_HUMAN_.pdf</t>
  </si>
  <si>
    <t>Melting_Curves/meltCurve_sp_O43414_3_ERI3_HUMAN_.pdf</t>
  </si>
  <si>
    <t>Melting_Curves/meltCurve_sp_O43432_IF4G3_HUMAN_.pdf</t>
  </si>
  <si>
    <t>Melting_Curves/meltCurve_sp_O43464_HTRA2_HUMAN_.pdf</t>
  </si>
  <si>
    <t>Melting_Curves/meltCurve_sp_O43491_3_E41L2_HUMAN_.pdf</t>
  </si>
  <si>
    <t>Melting_Curves/meltCurve_sp_O43493_2_TGON2_HUMAN_.pdf</t>
  </si>
  <si>
    <t>Melting_Curves/meltCurve_sp_O43566_5_RGS14_HUMAN_.pdf</t>
  </si>
  <si>
    <t>Melting_Curves/meltCurve_sp_O43592_XPOT_HUMAN_.pdf</t>
  </si>
  <si>
    <t>Melting_Curves/meltCurve_sp_O43598_DNPH1_HUMAN_.pdf</t>
  </si>
  <si>
    <t>Melting_Curves/meltCurve_sp_O43615_TIM44_HUMAN_.pdf</t>
  </si>
  <si>
    <t>Melting_Curves/meltCurve_sp_O43617_2_TPPC3_HUMAN_.pdf</t>
  </si>
  <si>
    <t>Melting_Curves/meltCurve_sp_O43633_CHM2A_HUMAN_.pdf</t>
  </si>
  <si>
    <t>Melting_Curves/meltCurve_sp_O43670_2_ZN207_HUMAN_.pdf</t>
  </si>
  <si>
    <t>Melting_Curves/meltCurve_sp_O43678_NDUA2_HUMAN_.pdf</t>
  </si>
  <si>
    <t>Melting_Curves/meltCurve_sp_O43681_ASNA_HUMAN_.pdf</t>
  </si>
  <si>
    <t>Melting_Curves/meltCurve_sp_O43704_ST1B1_HUMAN_.pdf</t>
  </si>
  <si>
    <t>Melting_Curves/meltCurve_sp_O43707_ACTN4_HUMAN_.pdf</t>
  </si>
  <si>
    <t>Melting_Curves/meltCurve_sp_O43708_MAAI_HUMAN_.pdf</t>
  </si>
  <si>
    <t>Melting_Curves/meltCurve_sp_O43715_TRIA1_HUMAN_.pdf</t>
  </si>
  <si>
    <t>Melting_Curves/meltCurve_sp_O43716_GATC_HUMAN_.pdf</t>
  </si>
  <si>
    <t>Melting_Curves/meltCurve_sp_O43719_HTSF1_HUMAN_.pdf</t>
  </si>
  <si>
    <t>Melting_Curves/meltCurve_sp_O43741_AAKB2_HUMAN_.pdf</t>
  </si>
  <si>
    <t>Melting_Curves/meltCurve_sp_O43747_AP1G1_HUMAN_.pdf</t>
  </si>
  <si>
    <t>Melting_Curves/meltCurve_sp_O43765_SGTA_HUMAN_.pdf</t>
  </si>
  <si>
    <t>Melting_Curves/meltCurve_sp_O43766_2_LIAS_HUMAN_.pdf</t>
  </si>
  <si>
    <t>Melting_Curves/meltCurve_sp_O43768_2_ENSA_HUMAN_.pdf</t>
  </si>
  <si>
    <t>Melting_Curves/meltCurve_sp_O43776_SYNC_HUMAN_.pdf</t>
  </si>
  <si>
    <t>Melting_Curves/meltCurve_sp_O43795_2_MYO1B_HUMAN_.pdf</t>
  </si>
  <si>
    <t>Melting_Curves/meltCurve_sp_O43805_SSNA1_HUMAN_.pdf</t>
  </si>
  <si>
    <t>Melting_Curves/meltCurve_sp_O43809_CPSF5_HUMAN_.pdf</t>
  </si>
  <si>
    <t>Melting_Curves/meltCurve_sp_O43813_LANC1_HUMAN_.pdf</t>
  </si>
  <si>
    <t>Melting_Curves/meltCurve_sp_O43815_2_STRN_HUMAN_.pdf</t>
  </si>
  <si>
    <t>Melting_Curves/meltCurve_sp_O43820_4_HYAL3_HUMAN_.pdf</t>
  </si>
  <si>
    <t>Melting_Curves/meltCurve_sp_O43837_IDH3B_HUMAN_.pdf</t>
  </si>
  <si>
    <t>Melting_Curves/meltCurve_sp_O43847_NRDC_HUMAN_.pdf</t>
  </si>
  <si>
    <t>Melting_Curves/meltCurve_sp_O43852_CALU_HUMAN_.pdf</t>
  </si>
  <si>
    <t>Melting_Curves/meltCurve_sp_O43865_SAHH2_HUMAN_.pdf</t>
  </si>
  <si>
    <t>Melting_Curves/meltCurve_sp_O43903_GAS2_HUMAN_.pdf</t>
  </si>
  <si>
    <t>Melting_Curves/meltCurve_sp_O60216_RAD21_HUMAN_.pdf</t>
  </si>
  <si>
    <t>Melting_Curves/meltCurve_sp_O60218_AK1BA_HUMAN_.pdf</t>
  </si>
  <si>
    <t>Melting_Curves/meltCurve_sp_O60220_TIM8A_HUMAN_.pdf</t>
  </si>
  <si>
    <t>Melting_Curves/meltCurve_sp_O60231_DHX16_HUMAN_.pdf</t>
  </si>
  <si>
    <t>Melting_Curves/meltCurve_sp_O60240_PLIN1_HUMAN_.pdf</t>
  </si>
  <si>
    <t>Melting_Curves/meltCurve_sp_O60256_KPRB_HUMAN_.pdf</t>
  </si>
  <si>
    <t>Melting_Curves/meltCurve_sp_O60260_5_PRKN2_HUMAN_.pdf</t>
  </si>
  <si>
    <t>Melting_Curves/meltCurve_sp_O60271_4_JIP4_HUMAN_.pdf</t>
  </si>
  <si>
    <t>Melting_Curves/meltCurve_sp_O60341_KDM1A_HUMAN_.pdf</t>
  </si>
  <si>
    <t>Melting_Curves/meltCurve_sp_O60343_2_TBCD4_HUMAN_.pdf</t>
  </si>
  <si>
    <t>Melting_Curves/meltCurve_sp_O60443_DFNA5_HUMAN_.pdf</t>
  </si>
  <si>
    <t>Melting_Curves/meltCurve_sp_O60493_SNX3_HUMAN_.pdf</t>
  </si>
  <si>
    <t>Melting_Curves/meltCurve_sp_O60504_2_VINEX_HUMAN_.pdf</t>
  </si>
  <si>
    <t>Melting_Curves/meltCurve_sp_O60506_2_HNRPQ_HUMAN_.pdf</t>
  </si>
  <si>
    <t>Melting_Curves/meltCurve_sp_O60518_RNBP6_HUMAN_.pdf</t>
  </si>
  <si>
    <t>Melting_Curves/meltCurve_sp_O60547_2_GMDS_HUMAN_.pdf</t>
  </si>
  <si>
    <t>Melting_Curves/meltCurve_sp_O60551_NMT2_HUMAN_.pdf</t>
  </si>
  <si>
    <t>Melting_Curves/meltCurve_sp_O60613_SEP15_HUMAN_.pdf</t>
  </si>
  <si>
    <t>Melting_Curves/meltCurve_sp_O60645_3_EXOC3_HUMAN_.pdf</t>
  </si>
  <si>
    <t>Melting_Curves/meltCurve_sp_O60664_4_PLIN3_HUMAN_.pdf</t>
  </si>
  <si>
    <t>Melting_Curves/meltCurve_sp_O60671_RAD1_HUMAN_.pdf</t>
  </si>
  <si>
    <t>Melting_Curves/meltCurve_sp_O60701_UGDH_HUMAN_.pdf</t>
  </si>
  <si>
    <t>Melting_Curves/meltCurve_sp_O60716_5_CTND1_HUMAN_.pdf</t>
  </si>
  <si>
    <t>Melting_Curves/meltCurve_sp_O60749_SNX2_HUMAN_.pdf</t>
  </si>
  <si>
    <t>Melting_Curves/meltCurve_sp_O60763_USO1_HUMAN_.pdf</t>
  </si>
  <si>
    <t>Melting_Curves/meltCurve_sp_O60826_CCD22_HUMAN_.pdf</t>
  </si>
  <si>
    <t>Melting_Curves/meltCurve_sp_O60828_2_PQBP1_HUMAN_.pdf</t>
  </si>
  <si>
    <t>Melting_Curves/meltCurve_sp_O60841_IF2P_HUMAN_.pdf</t>
  </si>
  <si>
    <t>Melting_Curves/meltCurve_sp_O60869_EDF1_HUMAN_.pdf</t>
  </si>
  <si>
    <t>Melting_Curves/meltCurve_sp_O60884_DNJA2_HUMAN_.pdf</t>
  </si>
  <si>
    <t>Melting_Curves/meltCurve_sp_O60885_BRD4_HUMAN_.pdf</t>
  </si>
  <si>
    <t>Melting_Curves/meltCurve_sp_O60925_PFD1_HUMAN_.pdf</t>
  </si>
  <si>
    <t>Melting_Curves/meltCurve_sp_O60927_PP1RB_HUMAN_.pdf</t>
  </si>
  <si>
    <t>Melting_Curves/meltCurve_sp_O60934_NBN_HUMAN_.pdf</t>
  </si>
  <si>
    <t>Melting_Curves/meltCurve_sp_O75052_3_CAPON_HUMAN_.pdf</t>
  </si>
  <si>
    <t>Melting_Curves/meltCurve_sp_O75081_2_MTG16_HUMAN_.pdf</t>
  </si>
  <si>
    <t>Melting_Curves/meltCurve_sp_O75083_WDR1_HUMAN_.pdf</t>
  </si>
  <si>
    <t>Melting_Curves/meltCurve_sp_O75116_ROCK2_HUMAN_.pdf</t>
  </si>
  <si>
    <t>Melting_Curves/meltCurve_sp_O75131_CPNE3_HUMAN_.pdf</t>
  </si>
  <si>
    <t>Melting_Curves/meltCurve_sp_O75146_HIP1R_HUMAN_.pdf</t>
  </si>
  <si>
    <t>Melting_Curves/meltCurve_sp_O75150_BRE1B_HUMAN_.pdf</t>
  </si>
  <si>
    <t>Melting_Curves/meltCurve_sp_O75151_PHF2_HUMAN_.pdf</t>
  </si>
  <si>
    <t>Melting_Curves/meltCurve_sp_O75155_2_CAND2_HUMAN_.pdf</t>
  </si>
  <si>
    <t>Melting_Curves/meltCurve_sp_O75165_DJC13_HUMAN_.pdf</t>
  </si>
  <si>
    <t>Melting_Curves/meltCurve_sp_O75170_4_PP6R2_HUMAN_.pdf</t>
  </si>
  <si>
    <t>Melting_Curves/meltCurve_sp_O75175_CNOT3_HUMAN_.pdf</t>
  </si>
  <si>
    <t>Melting_Curves/meltCurve_sp_O75177_CREST_HUMAN_.pdf</t>
  </si>
  <si>
    <t>Melting_Curves/meltCurve_sp_O75179_6_ANR17_HUMAN_.pdf</t>
  </si>
  <si>
    <t>Melting_Curves/meltCurve_sp_O75191_XYLB_HUMAN_.pdf</t>
  </si>
  <si>
    <t>Melting_Curves/meltCurve_sp_O75208_COQ9_HUMAN_.pdf</t>
  </si>
  <si>
    <t>Melting_Curves/meltCurve_sp_O75223_GGCT_HUMAN_.pdf</t>
  </si>
  <si>
    <t>Melting_Curves/meltCurve_sp_O75323_NIPS2_HUMAN_.pdf</t>
  </si>
  <si>
    <t>Melting_Curves/meltCurve_sp_O75340_PDCD6_HUMAN_.pdf</t>
  </si>
  <si>
    <t>Melting_Curves/meltCurve_sp_O75347_TBCA_HUMAN_.pdf</t>
  </si>
  <si>
    <t>Melting_Curves/meltCurve_sp_O75348_VATG1_HUMAN_.pdf</t>
  </si>
  <si>
    <t>Melting_Curves/meltCurve_sp_O75351_VPS4B_HUMAN_.pdf</t>
  </si>
  <si>
    <t>Melting_Curves/meltCurve_sp_O75356_ENTP5_HUMAN_.pdf</t>
  </si>
  <si>
    <t>Melting_Curves/meltCurve_sp_O75368_SH3L1_HUMAN_.pdf</t>
  </si>
  <si>
    <t>Melting_Curves/meltCurve_sp_O75369_8_FLNB_HUMAN_.pdf</t>
  </si>
  <si>
    <t>Melting_Curves/meltCurve_sp_O75376_NCOR1_HUMAN_.pdf</t>
  </si>
  <si>
    <t>Melting_Curves/meltCurve_sp_O75380_NDUS6_HUMAN_.pdf</t>
  </si>
  <si>
    <t>Melting_Curves/meltCurve_sp_O75396_SC22B_HUMAN_.pdf</t>
  </si>
  <si>
    <t>Melting_Curves/meltCurve_sp_O75400_2_PR40A_HUMAN_.pdf</t>
  </si>
  <si>
    <t>Melting_Curves/meltCurve_sp_O75414_2_NDK6_HUMAN_.pdf</t>
  </si>
  <si>
    <t>Melting_Curves/meltCurve_sp_O75436_VP26A_HUMAN_.pdf</t>
  </si>
  <si>
    <t>Melting_Curves/meltCurve_sp_O75439_MPPB_HUMAN_.pdf</t>
  </si>
  <si>
    <t>Melting_Curves/meltCurve_sp_O75452_RDH16_HUMAN_.pdf</t>
  </si>
  <si>
    <t>Melting_Curves/meltCurve_sp_O75475_PSIP1_HUMAN_.pdf</t>
  </si>
  <si>
    <t>Melting_Curves/meltCurve_sp_O75503_CLN5_HUMAN_.pdf</t>
  </si>
  <si>
    <t>Melting_Curves/meltCurve_sp_O75506_HSBP1_HUMAN_.pdf</t>
  </si>
  <si>
    <t>Melting_Curves/meltCurve_sp_O75521_2_ECI2_HUMAN_.pdf</t>
  </si>
  <si>
    <t>Melting_Curves/meltCurve_sp_O75531_BAF_HUMAN_.pdf</t>
  </si>
  <si>
    <t>Melting_Curves/meltCurve_sp_O75533_SF3B1_HUMAN_.pdf</t>
  </si>
  <si>
    <t>Melting_Curves/meltCurve_sp_O75534_CSDE1_HUMAN_.pdf</t>
  </si>
  <si>
    <t>Melting_Curves/meltCurve_sp_O75570_RF1M_HUMAN_.pdf</t>
  </si>
  <si>
    <t>Melting_Curves/meltCurve_sp_O75600_KBL_HUMAN_.pdf</t>
  </si>
  <si>
    <t>Melting_Curves/meltCurve_sp_O75607_NPM3_HUMAN_.pdf</t>
  </si>
  <si>
    <t>Melting_Curves/meltCurve_sp_O75608_2_LYPA1_HUMAN_.pdf</t>
  </si>
  <si>
    <t>Melting_Curves/meltCurve_sp_O75629_CREG1_HUMAN_.pdf</t>
  </si>
  <si>
    <t>Melting_Curves/meltCurve_sp_O75643_U520_HUMAN_.pdf</t>
  </si>
  <si>
    <t>Melting_Curves/meltCurve_sp_O75648_MTU1_HUMAN_.pdf</t>
  </si>
  <si>
    <t>Melting_Curves/meltCurve_sp_O75663_TIPRL_HUMAN_.pdf</t>
  </si>
  <si>
    <t>Melting_Curves/meltCurve_sp_O75688_PPM1B_HUMAN_.pdf</t>
  </si>
  <si>
    <t>Melting_Curves/meltCurve_sp_O75695_XRP2_HUMAN_.pdf</t>
  </si>
  <si>
    <t>Melting_Curves/meltCurve_sp_O75764_TCEA3_HUMAN_.pdf</t>
  </si>
  <si>
    <t>Melting_Curves/meltCurve_sp_O75818_2_RPP40_HUMAN_.pdf</t>
  </si>
  <si>
    <t>Melting_Curves/meltCurve_sp_O75821_EIF3G_HUMAN_.pdf</t>
  </si>
  <si>
    <t>Melting_Curves/meltCurve_sp_O75822_EIF3J_HUMAN_.pdf</t>
  </si>
  <si>
    <t>Melting_Curves/meltCurve_sp_O75874_IDHC_HUMAN_.pdf</t>
  </si>
  <si>
    <t>Melting_Curves/meltCurve_sp_O75882_3_ATRN_HUMAN_.pdf</t>
  </si>
  <si>
    <t>Melting_Curves/meltCurve_sp_O75884_RBBP9_HUMAN_.pdf</t>
  </si>
  <si>
    <t>Melting_Curves/meltCurve_sp_O75886_STAM2_HUMAN_.pdf</t>
  </si>
  <si>
    <t>Melting_Curves/meltCurve_sp_O75891_AL1L1_HUMAN_.pdf</t>
  </si>
  <si>
    <t>Melting_Curves/meltCurve_sp_O75896_TUSC2_HUMAN_.pdf</t>
  </si>
  <si>
    <t>Melting_Curves/meltCurve_sp_O75909_CCNK_HUMAN_.pdf</t>
  </si>
  <si>
    <t>Melting_Curves/meltCurve_sp_O75934_SPF27_HUMAN_.pdf</t>
  </si>
  <si>
    <t>Melting_Curves/meltCurve_sp_O75935_3_DCTN3_HUMAN_.pdf</t>
  </si>
  <si>
    <t>Melting_Curves/meltCurve_sp_O75936_BODG_HUMAN_.pdf</t>
  </si>
  <si>
    <t>Melting_Curves/meltCurve_sp_O75937_DNJC8_HUMAN_.pdf</t>
  </si>
  <si>
    <t>Melting_Curves/meltCurve_sp_O75940_SPF30_HUMAN_.pdf</t>
  </si>
  <si>
    <t>Melting_Curves/meltCurve_sp_O75970_3_MPDZ_HUMAN_.pdf</t>
  </si>
  <si>
    <t>Melting_Curves/meltCurve_sp_O75976_CBPD_HUMAN_.pdf</t>
  </si>
  <si>
    <t>Melting_Curves/meltCurve_sp_O76003_GLRX3_HUMAN_.pdf</t>
  </si>
  <si>
    <t>Melting_Curves/meltCurve_sp_O76031_CLPX_HUMAN_.pdf</t>
  </si>
  <si>
    <t>Melting_Curves/meltCurve_sp_O76054_S14L2_HUMAN_.pdf</t>
  </si>
  <si>
    <t>Melting_Curves/meltCurve_sp_O76071_CIAO1_HUMAN_.pdf</t>
  </si>
  <si>
    <t>Melting_Curves/meltCurve_sp_O76094_SRP72_HUMAN_.pdf</t>
  </si>
  <si>
    <t>Melting_Curves/meltCurve_sp_O94760_DDAH1_HUMAN_.pdf</t>
  </si>
  <si>
    <t>Melting_Curves/meltCurve_sp_O94763_RMP_HUMAN_.pdf</t>
  </si>
  <si>
    <t>Melting_Curves/meltCurve_sp_O94776_MTA2_HUMAN_.pdf</t>
  </si>
  <si>
    <t>Melting_Curves/meltCurve_sp_O94788_4_AL1A2_HUMAN_.pdf</t>
  </si>
  <si>
    <t>Melting_Curves/meltCurve_sp_O94804_STK10_HUMAN_.pdf</t>
  </si>
  <si>
    <t>Melting_Curves/meltCurve_sp_O94811_TPPP_HUMAN_.pdf</t>
  </si>
  <si>
    <t>Melting_Curves/meltCurve_sp_O94817_ATG12_HUMAN_.pdf</t>
  </si>
  <si>
    <t>Melting_Curves/meltCurve_sp_O94819_KBTBB_HUMAN_.pdf</t>
  </si>
  <si>
    <t>Melting_Curves/meltCurve_sp_O94826_TOM70_HUMAN_.pdf</t>
  </si>
  <si>
    <t>Melting_Curves/meltCurve_sp_O94829_IPO13_HUMAN_.pdf</t>
  </si>
  <si>
    <t>Melting_Curves/meltCurve_sp_O94851_5_MICA2_HUMAN_.pdf</t>
  </si>
  <si>
    <t>Melting_Curves/meltCurve_sp_O94855_SC24D_HUMAN_.pdf</t>
  </si>
  <si>
    <t>Melting_Curves/meltCurve_sp_O94874_UFL1_HUMAN_.pdf</t>
  </si>
  <si>
    <t>Melting_Curves/meltCurve_sp_O94875_12_SRBS2_HUMAN_.pdf</t>
  </si>
  <si>
    <t>Melting_Curves/meltCurve_sp_O94887_FARP2_HUMAN_.pdf</t>
  </si>
  <si>
    <t>Melting_Curves/meltCurve_sp_O94888_UBXN7_HUMAN_.pdf</t>
  </si>
  <si>
    <t>Melting_Curves/meltCurve_sp_O94903_PROSC_HUMAN_.pdf</t>
  </si>
  <si>
    <t>Melting_Curves/meltCurve_sp_O94929_2_ABLM3_HUMAN_.pdf</t>
  </si>
  <si>
    <t>Melting_Curves/meltCurve_sp_O94966_7_UBP19_HUMAN_.pdf</t>
  </si>
  <si>
    <t>Melting_Curves/meltCurve_sp_O94973_2_AP2A2_HUMAN_.pdf</t>
  </si>
  <si>
    <t>Melting_Curves/meltCurve_sp_O94973_AP2A2_HUMAN_.pdf</t>
  </si>
  <si>
    <t>Melting_Curves/meltCurve_sp_O94979_3_SC31A_HUMAN_.pdf</t>
  </si>
  <si>
    <t>Melting_Curves/meltCurve_sp_O94992_HEXI1_HUMAN_.pdf</t>
  </si>
  <si>
    <t>Melting_Curves/meltCurve_sp_O95081_AGFG2_HUMAN_.pdf</t>
  </si>
  <si>
    <t>Melting_Curves/meltCurve_sp_O95104_3_SFR15_HUMAN_.pdf</t>
  </si>
  <si>
    <t>Melting_Curves/meltCurve_sp_O95154_ARK73_HUMAN_.pdf</t>
  </si>
  <si>
    <t>Melting_Curves/meltCurve_sp_O95155_3_UBE4B_HUMAN_.pdf</t>
  </si>
  <si>
    <t>Melting_Curves/meltCurve_sp_O95163_ELP1_HUMAN_.pdf</t>
  </si>
  <si>
    <t>Melting_Curves/meltCurve_sp_O95202_LETM1_HUMAN_.pdf</t>
  </si>
  <si>
    <t>Melting_Curves/meltCurve_sp_O95210_STBD1_HUMAN_.pdf</t>
  </si>
  <si>
    <t>Melting_Curves/meltCurve_sp_O95218_2_ZRAB2_HUMAN_.pdf</t>
  </si>
  <si>
    <t>Melting_Curves/meltCurve_sp_O95219_SNX4_HUMAN_.pdf</t>
  </si>
  <si>
    <t>Melting_Curves/meltCurve_sp_O95232_LC7L3_HUMAN_.pdf</t>
  </si>
  <si>
    <t>Melting_Curves/meltCurve_sp_O95243_3_MBD4_HUMAN_.pdf</t>
  </si>
  <si>
    <t>Melting_Curves/meltCurve_sp_O95251_2_KAT7_HUMAN_.pdf</t>
  </si>
  <si>
    <t>Melting_Curves/meltCurve_sp_O95278_7_EPM2A_HUMAN_.pdf</t>
  </si>
  <si>
    <t>Melting_Curves/meltCurve_sp_O95292_VAPB_HUMAN_.pdf</t>
  </si>
  <si>
    <t>Melting_Curves/meltCurve_sp_O95336_6PGL_HUMAN_.pdf</t>
  </si>
  <si>
    <t>Melting_Curves/meltCurve_sp_O95340_PAPS2_HUMAN_.pdf</t>
  </si>
  <si>
    <t>Melting_Curves/meltCurve_sp_O95352_ATG7_HUMAN_.pdf</t>
  </si>
  <si>
    <t>Melting_Curves/meltCurve_sp_O95363_SYFM_HUMAN_.pdf</t>
  </si>
  <si>
    <t>Melting_Curves/meltCurve_sp_O95372_LYPA2_HUMAN_.pdf</t>
  </si>
  <si>
    <t>Melting_Curves/meltCurve_sp_O95373_IPO7_HUMAN_.pdf</t>
  </si>
  <si>
    <t>Melting_Curves/meltCurve_sp_O95376_ARI2_HUMAN_.pdf</t>
  </si>
  <si>
    <t>Melting_Curves/meltCurve_sp_O95394_AGM1_HUMAN_.pdf</t>
  </si>
  <si>
    <t>Melting_Curves/meltCurve_sp_O95396_MOCS3_HUMAN_.pdf</t>
  </si>
  <si>
    <t>Melting_Curves/meltCurve_sp_O95399_UTS2_HUMAN_.pdf</t>
  </si>
  <si>
    <t>Melting_Curves/meltCurve_sp_O95400_CD2B2_HUMAN_.pdf</t>
  </si>
  <si>
    <t>Melting_Curves/meltCurve_sp_O95425_2_SVIL_HUMAN_.pdf</t>
  </si>
  <si>
    <t>Melting_Curves/meltCurve_sp_O95433_AHSA1_HUMAN_.pdf</t>
  </si>
  <si>
    <t>Melting_Curves/meltCurve_sp_O95453_2_PARN_HUMAN_.pdf</t>
  </si>
  <si>
    <t>Melting_Curves/meltCurve_sp_O95456_2_PSMG1_HUMAN_.pdf</t>
  </si>
  <si>
    <t>Melting_Curves/meltCurve_sp_O95479_G6PE_HUMAN_.pdf</t>
  </si>
  <si>
    <t>Melting_Curves/meltCurve_sp_O95486_SC24A_HUMAN_.pdf</t>
  </si>
  <si>
    <t>Melting_Curves/meltCurve_sp_O95487_2_SC24B_HUMAN_.pdf</t>
  </si>
  <si>
    <t>Melting_Curves/meltCurve_sp_O95497_VNN1_HUMAN_.pdf</t>
  </si>
  <si>
    <t>Melting_Curves/meltCurve_sp_O95544_NADK_HUMAN_.pdf</t>
  </si>
  <si>
    <t>Melting_Curves/meltCurve_sp_O95551_3_TYDP2_HUMAN_.pdf</t>
  </si>
  <si>
    <t>Melting_Curves/meltCurve_sp_O95571_ETHE1_HUMAN_.pdf</t>
  </si>
  <si>
    <t>Melting_Curves/meltCurve_sp_O95628_5_CNOT4_HUMAN_.pdf</t>
  </si>
  <si>
    <t>Melting_Curves/meltCurve_sp_O95630_STABP_HUMAN_.pdf</t>
  </si>
  <si>
    <t>Melting_Curves/meltCurve_sp_O95671_2_ASML_HUMAN_.pdf</t>
  </si>
  <si>
    <t>Melting_Curves/meltCurve_sp_O95684_2_FR1OP_HUMAN_.pdf</t>
  </si>
  <si>
    <t>Melting_Curves/meltCurve_sp_O95721_SNP29_HUMAN_.pdf</t>
  </si>
  <si>
    <t>Melting_Curves/meltCurve_sp_O95747_OXSR1_HUMAN_.pdf</t>
  </si>
  <si>
    <t>Melting_Curves/meltCurve_sp_O95757_HS74L_HUMAN_.pdf</t>
  </si>
  <si>
    <t>Melting_Curves/meltCurve_sp_O95777_NAA38_HUMAN_.pdf</t>
  </si>
  <si>
    <t>Melting_Curves/meltCurve_sp_O95782_2_AP2A1_HUMAN_.pdf</t>
  </si>
  <si>
    <t>Melting_Curves/meltCurve_sp_O95817_BAG3_HUMAN_.pdf</t>
  </si>
  <si>
    <t>Melting_Curves/meltCurve_sp_O95822_DCMC_HUMAN_.pdf</t>
  </si>
  <si>
    <t>Melting_Curves/meltCurve_sp_O95825_QORL1_HUMAN_.pdf</t>
  </si>
  <si>
    <t>Melting_Curves/meltCurve_sp_O95831_3_AIFM1_HUMAN_.pdf</t>
  </si>
  <si>
    <t>Melting_Curves/meltCurve_sp_O95834_EMAL2_HUMAN_.pdf</t>
  </si>
  <si>
    <t>Melting_Curves/meltCurve_sp_O95865_DDAH2_HUMAN_.pdf</t>
  </si>
  <si>
    <t>Melting_Curves/meltCurve_sp_O95881_TXD12_HUMAN_.pdf</t>
  </si>
  <si>
    <t>Melting_Curves/meltCurve_sp_O95954_FTCD_HUMAN_.pdf</t>
  </si>
  <si>
    <t>Melting_Curves/meltCurve_sp_O95989_NUDT3_HUMAN_.pdf</t>
  </si>
  <si>
    <t>Melting_Curves/meltCurve_sp_O95999_BCL10_HUMAN_.pdf</t>
  </si>
  <si>
    <t>Melting_Curves/meltCurve_sp_O96007_MOC2B_HUMAN_.pdf</t>
  </si>
  <si>
    <t>Melting_Curves/meltCurve_sp_O96019_ACL6A_HUMAN_.pdf</t>
  </si>
  <si>
    <t>Melting_Curves/meltCurve_sp_O96033_MOC2A_HUMAN_.pdf</t>
  </si>
  <si>
    <t>Melting_Curves/meltCurve_sp_P00325_ADH1B_HUMAN_.pdf</t>
  </si>
  <si>
    <t>Melting_Curves/meltCurve_sp_P00326_ADH1G_HUMAN_.pdf</t>
  </si>
  <si>
    <t>Melting_Curves/meltCurve_sp_P00338_LDHA_HUMAN_.pdf</t>
  </si>
  <si>
    <t>Melting_Curves/meltCurve_sp_P00352_AL1A1_HUMAN_.pdf</t>
  </si>
  <si>
    <t>Melting_Curves/meltCurve_sp_P00374_DYR_HUMAN_.pdf</t>
  </si>
  <si>
    <t>Melting_Curves/meltCurve_sp_P00387_2_NB5R3_HUMAN_.pdf</t>
  </si>
  <si>
    <t>Melting_Curves/meltCurve_sp_P00390_2_GSHR_HUMAN_.pdf</t>
  </si>
  <si>
    <t>Melting_Curves/meltCurve_sp_P00439_PH4H_HUMAN_.pdf</t>
  </si>
  <si>
    <t>Melting_Curves/meltCurve_sp_P00450_CERU_HUMAN_.pdf</t>
  </si>
  <si>
    <t>Melting_Curves/meltCurve_sp_P00480_OTC_HUMAN_.pdf</t>
  </si>
  <si>
    <t>Melting_Curves/meltCurve_sp_P00491_PNPH_HUMAN_.pdf</t>
  </si>
  <si>
    <t>Melting_Curves/meltCurve_sp_P00492_HPRT_HUMAN_.pdf</t>
  </si>
  <si>
    <t>Melting_Curves/meltCurve_sp_P00505_AATM_HUMAN_.pdf</t>
  </si>
  <si>
    <t>Melting_Curves/meltCurve_sp_P00558_PGK1_HUMAN_.pdf</t>
  </si>
  <si>
    <t>Melting_Curves/meltCurve_sp_P00568_KAD1_HUMAN_.pdf</t>
  </si>
  <si>
    <t>Melting_Curves/meltCurve_sp_P00734_THRB_HUMAN_.pdf</t>
  </si>
  <si>
    <t>Melting_Curves/meltCurve_sp_P00736_C1R_HUMAN_.pdf</t>
  </si>
  <si>
    <t>Melting_Curves/meltCurve_sp_P00738_HPT_HUMAN_.pdf</t>
  </si>
  <si>
    <t>Melting_Curves/meltCurve_sp_P00740_FA9_HUMAN_.pdf</t>
  </si>
  <si>
    <t>Melting_Curves/meltCurve_sp_P00747_PLMN_HUMAN_.pdf</t>
  </si>
  <si>
    <t>Melting_Curves/meltCurve_sp_P00748_FA12_HUMAN_.pdf</t>
  </si>
  <si>
    <t>Melting_Curves/meltCurve_sp_P00966_ASSY_HUMAN_.pdf</t>
  </si>
  <si>
    <t>Melting_Curves/meltCurve_sp_P01009_A1AT_HUMAN_.pdf</t>
  </si>
  <si>
    <t>Melting_Curves/meltCurve_sp_P01011_AACT_HUMAN_.pdf</t>
  </si>
  <si>
    <t>Melting_Curves/meltCurve_sp_P01019_ANGT_HUMAN_.pdf</t>
  </si>
  <si>
    <t>Melting_Curves/meltCurve_sp_P01023_A2MG_HUMAN_.pdf</t>
  </si>
  <si>
    <t>Melting_Curves/meltCurve_sp_P01024_CO3_HUMAN_.pdf</t>
  </si>
  <si>
    <t>Melting_Curves/meltCurve_sp_P01040_CYTA_HUMAN_.pdf</t>
  </si>
  <si>
    <t>Melting_Curves/meltCurve_sp_P01042_2_KNG1_HUMAN_.pdf</t>
  </si>
  <si>
    <t>Melting_Curves/meltCurve_sp_P01111_RASN_HUMAN_.pdf</t>
  </si>
  <si>
    <t>Melting_Curves/meltCurve_sp_P01116_2_RASK_HUMAN_.pdf</t>
  </si>
  <si>
    <t>Melting_Curves/meltCurve_sp_P01743_HV102_HUMAN_.pdf</t>
  </si>
  <si>
    <t>Melting_Curves/meltCurve_sp_P01765_HV304_HUMAN_.pdf</t>
  </si>
  <si>
    <t>Melting_Curves/meltCurve_sp_P01834_IGKC_HUMAN_.pdf</t>
  </si>
  <si>
    <t>Melting_Curves/meltCurve_sp_P01857_IGHG1_HUMAN_.pdf</t>
  </si>
  <si>
    <t>Melting_Curves/meltCurve_sp_P01859_IGHG2_HUMAN_.pdf</t>
  </si>
  <si>
    <t>Melting_Curves/meltCurve_sp_P01860_IGHG3_HUMAN_.pdf</t>
  </si>
  <si>
    <t>Melting_Curves/meltCurve_sp_P01871_IGHM_HUMAN_.pdf</t>
  </si>
  <si>
    <t>Melting_Curves/meltCurve_sp_P01876_IGHA1_HUMAN_.pdf</t>
  </si>
  <si>
    <t>Melting_Curves/meltCurve_sp_P01877_IGHA2_HUMAN_.pdf</t>
  </si>
  <si>
    <t>Melting_Curves/meltCurve_sp_P02462_2_CO4A1_HUMAN_.pdf</t>
  </si>
  <si>
    <t>Melting_Curves/meltCurve_sp_P02533_K1C14_HUMAN_.pdf</t>
  </si>
  <si>
    <t>Melting_Curves/meltCurve_sp_P02538_K2C6A_HUMAN_.pdf</t>
  </si>
  <si>
    <t>Melting_Curves/meltCurve_sp_P02545_LMNA_HUMAN_.pdf</t>
  </si>
  <si>
    <t>Melting_Curves/meltCurve_sp_P02647_APOA1_HUMAN_.pdf</t>
  </si>
  <si>
    <t>Melting_Curves/meltCurve_sp_P02649_APOE_HUMAN_.pdf</t>
  </si>
  <si>
    <t>Melting_Curves/meltCurve_sp_P02652_APOA2_HUMAN_.pdf</t>
  </si>
  <si>
    <t>Melting_Curves/meltCurve_sp_P02656_APOC3_HUMAN_.pdf</t>
  </si>
  <si>
    <t>Melting_Curves/meltCurve_sp_P02671_2_FIBA_HUMAN_.pdf</t>
  </si>
  <si>
    <t>Melting_Curves/meltCurve_sp_P02675_FIBB_HUMAN_.pdf</t>
  </si>
  <si>
    <t>Melting_Curves/meltCurve_sp_P02679_2_FIBG_HUMAN_.pdf</t>
  </si>
  <si>
    <t>Melting_Curves/meltCurve_sp_P02743_SAMP_HUMAN_.pdf</t>
  </si>
  <si>
    <t>Melting_Curves/meltCurve_sp_P02748_CO9_HUMAN_.pdf</t>
  </si>
  <si>
    <t>Melting_Curves/meltCurve_sp_P02749_APOH_HUMAN_.pdf</t>
  </si>
  <si>
    <t>Melting_Curves/meltCurve_sp_P02750_A2GL_HUMAN_.pdf</t>
  </si>
  <si>
    <t>Melting_Curves/meltCurve_sp_P02751_12_FINC_HUMAN_.pdf</t>
  </si>
  <si>
    <t>Melting_Curves/meltCurve_sp_P02760_AMBP_HUMAN_.pdf</t>
  </si>
  <si>
    <t>Melting_Curves/meltCurve_sp_P02763_A1AG1_HUMAN_.pdf</t>
  </si>
  <si>
    <t>Melting_Curves/meltCurve_sp_P02765_FETUA_HUMAN_.pdf</t>
  </si>
  <si>
    <t>Melting_Curves/meltCurve_sp_P02766_TTHY_HUMAN_.pdf</t>
  </si>
  <si>
    <t>Melting_Curves/meltCurve_sp_P02771_FETA_HUMAN_.pdf</t>
  </si>
  <si>
    <t>Melting_Curves/meltCurve_sp_P02774_VTDB_HUMAN_.pdf</t>
  </si>
  <si>
    <t>Melting_Curves/meltCurve_sp_P02790_HEMO_HUMAN_.pdf</t>
  </si>
  <si>
    <t>Melting_Curves/meltCurve_sp_P02792_FRIL_HUMAN_.pdf</t>
  </si>
  <si>
    <t>Melting_Curves/meltCurve_sp_P02794_FRIH_HUMAN_.pdf</t>
  </si>
  <si>
    <t>Melting_Curves/meltCurve_sp_P02795_MT2_HUMAN_.pdf</t>
  </si>
  <si>
    <t>Melting_Curves/meltCurve_sp_P03950_ANGI_HUMAN_.pdf</t>
  </si>
  <si>
    <t>Melting_Curves/meltCurve_sp_P04003_C4BPA_HUMAN_.pdf</t>
  </si>
  <si>
    <t>Melting_Curves/meltCurve_sp_P04004_VTNC_HUMAN_.pdf</t>
  </si>
  <si>
    <t>Melting_Curves/meltCurve_sp_P04066_FUCO_HUMAN_.pdf</t>
  </si>
  <si>
    <t>Melting_Curves/meltCurve_sp_P04080_CYTB_HUMAN_.pdf</t>
  </si>
  <si>
    <t>Melting_Curves/meltCurve_sp_P04083_ANXA1_HUMAN_.pdf</t>
  </si>
  <si>
    <t>Melting_Curves/meltCurve_sp_P04114_APOB_HUMAN_.pdf</t>
  </si>
  <si>
    <t>Melting_Curves/meltCurve_sp_P04150_7_GCR_HUMAN_.pdf</t>
  </si>
  <si>
    <t>Melting_Curves/meltCurve_sp_P04179_SODM_HUMAN_.pdf</t>
  </si>
  <si>
    <t>Melting_Curves/meltCurve_sp_P04181_OAT_HUMAN_.pdf</t>
  </si>
  <si>
    <t>Melting_Curves/meltCurve_sp_P04196_HRG_HUMAN_.pdf</t>
  </si>
  <si>
    <t>Melting_Curves/meltCurve_sp_P04206_KV307_HUMAN_.pdf</t>
  </si>
  <si>
    <t>Melting_Curves/meltCurve_sp_P04217_2_A1BG_HUMAN_.pdf</t>
  </si>
  <si>
    <t>Melting_Curves/meltCurve_sp_P04217_A1BG_HUMAN_.pdf</t>
  </si>
  <si>
    <t>Melting_Curves/meltCurve_sp_P04264_K2C1_HUMAN_.pdf</t>
  </si>
  <si>
    <t>Melting_Curves/meltCurve_sp_P04406_2_G3P_HUMAN_.pdf</t>
  </si>
  <si>
    <t>Melting_Curves/meltCurve_sp_P04406_G3P_HUMAN_.pdf</t>
  </si>
  <si>
    <t>Melting_Curves/meltCurve_sp_P04424_ARLY_HUMAN_.pdf</t>
  </si>
  <si>
    <t>Melting_Curves/meltCurve_sp_P04632_CPNS1_HUMAN_.pdf</t>
  </si>
  <si>
    <t>Melting_Curves/meltCurve_sp_P04731_MT1A_HUMAN_.pdf</t>
  </si>
  <si>
    <t>Melting_Curves/meltCurve_sp_P04732_MT1E_HUMAN_.pdf</t>
  </si>
  <si>
    <t>Melting_Curves/meltCurve_sp_P04733_MT1F_HUMAN_.pdf</t>
  </si>
  <si>
    <t>Melting_Curves/meltCurve_sp_P04792_HSPB1_HUMAN_.pdf</t>
  </si>
  <si>
    <t>Melting_Curves/meltCurve_sp_P04899_GNAI2_HUMAN_.pdf</t>
  </si>
  <si>
    <t>Melting_Curves/meltCurve_sp_P05062_ALDOB_HUMAN_.pdf</t>
  </si>
  <si>
    <t>Melting_Curves/meltCurve_sp_P05089_ARGI1_HUMAN_.pdf</t>
  </si>
  <si>
    <t>Melting_Curves/meltCurve_sp_P05090_APOD_HUMAN_.pdf</t>
  </si>
  <si>
    <t>Melting_Curves/meltCurve_sp_P05091_ALDH2_HUMAN_.pdf</t>
  </si>
  <si>
    <t>Melting_Curves/meltCurve_sp_P05109_S10A8_HUMAN_.pdf</t>
  </si>
  <si>
    <t>Melting_Curves/meltCurve_sp_P05114_HMGN1_HUMAN_.pdf</t>
  </si>
  <si>
    <t>Melting_Curves/meltCurve_sp_P05141_ADT2_HUMAN_.pdf</t>
  </si>
  <si>
    <t>Melting_Curves/meltCurve_sp_P05154_IPSP_HUMAN_.pdf</t>
  </si>
  <si>
    <t>Melting_Curves/meltCurve_sp_P05155_IC1_HUMAN_.pdf</t>
  </si>
  <si>
    <t>Melting_Curves/meltCurve_sp_P05161_ISG15_HUMAN_.pdf</t>
  </si>
  <si>
    <t>Melting_Curves/meltCurve_sp_P05164_2_PERM_HUMAN_.pdf</t>
  </si>
  <si>
    <t>Melting_Curves/meltCurve_sp_P05165_PCCA_HUMAN_.pdf</t>
  </si>
  <si>
    <t>Melting_Curves/meltCurve_sp_P05166_PCCB_HUMAN_.pdf</t>
  </si>
  <si>
    <t>Melting_Curves/meltCurve_sp_P05177_CP1A2_HUMAN_.pdf</t>
  </si>
  <si>
    <t>Melting_Curves/meltCurve_sp_P05181_CP2E1_HUMAN_.pdf</t>
  </si>
  <si>
    <t>Melting_Curves/meltCurve_sp_P05198_IF2A_HUMAN_.pdf</t>
  </si>
  <si>
    <t>Melting_Curves/meltCurve_sp_P05204_HMGN2_HUMAN_.pdf</t>
  </si>
  <si>
    <t>Melting_Curves/meltCurve_sp_P05386_RLA1_HUMAN_.pdf</t>
  </si>
  <si>
    <t>Melting_Curves/meltCurve_sp_P05387_RLA2_HUMAN_.pdf</t>
  </si>
  <si>
    <t>Melting_Curves/meltCurve_sp_P05455_LA_HUMAN_.pdf</t>
  </si>
  <si>
    <t>Melting_Curves/meltCurve_sp_P05543_THBG_HUMAN_.pdf</t>
  </si>
  <si>
    <t>Melting_Curves/meltCurve_sp_P05546_HEP2_HUMAN_.pdf</t>
  </si>
  <si>
    <t>Melting_Curves/meltCurve_sp_P05783_K1C18_HUMAN_.pdf</t>
  </si>
  <si>
    <t>Melting_Curves/meltCurve_sp_P05787_K2C8_HUMAN_.pdf</t>
  </si>
  <si>
    <t>Melting_Curves/meltCurve_sp_P05976_2_MYL1_HUMAN_.pdf</t>
  </si>
  <si>
    <t>Melting_Curves/meltCurve_sp_P06132_DCUP_HUMAN_.pdf</t>
  </si>
  <si>
    <t>Melting_Curves/meltCurve_sp_P06280_AGAL_HUMAN_.pdf</t>
  </si>
  <si>
    <t>Melting_Curves/meltCurve_sp_P06576_ATPB_HUMAN_.pdf</t>
  </si>
  <si>
    <t>Melting_Curves/meltCurve_sp_P06702_S10A9_HUMAN_.pdf</t>
  </si>
  <si>
    <t>Melting_Curves/meltCurve_sp_P06727_APOA4_HUMAN_.pdf</t>
  </si>
  <si>
    <t>Melting_Curves/meltCurve_sp_P06730_IF4E_HUMAN_.pdf</t>
  </si>
  <si>
    <t>Melting_Curves/meltCurve_sp_P06733_ENOA_HUMAN_.pdf</t>
  </si>
  <si>
    <t>Melting_Curves/meltCurve_sp_P06737_2_PYGL_HUMAN_.pdf</t>
  </si>
  <si>
    <t>Melting_Curves/meltCurve_sp_P06744_G6PI_HUMAN_.pdf</t>
  </si>
  <si>
    <t>Melting_Curves/meltCurve_sp_P06748_NPM_HUMAN_.pdf</t>
  </si>
  <si>
    <t>Melting_Curves/meltCurve_sp_P06753_2_TPM3_HUMAN_.pdf</t>
  </si>
  <si>
    <t>Melting_Curves/meltCurve_sp_P06753_5_TPM3_HUMAN_.pdf</t>
  </si>
  <si>
    <t>Melting_Curves/meltCurve_sp_P07099_HYEP_HUMAN_.pdf</t>
  </si>
  <si>
    <t>Melting_Curves/meltCurve_sp_P07108_ACBP_HUMAN_.pdf</t>
  </si>
  <si>
    <t>Melting_Curves/meltCurve_sp_P07148_FABPL_HUMAN_.pdf</t>
  </si>
  <si>
    <t>Melting_Curves/meltCurve_sp_P07195_LDHB_HUMAN_.pdf</t>
  </si>
  <si>
    <t>Melting_Curves/meltCurve_sp_P07203_GPX1_HUMAN_.pdf</t>
  </si>
  <si>
    <t>Melting_Curves/meltCurve_sp_P07237_PDIA1_HUMAN_.pdf</t>
  </si>
  <si>
    <t>Melting_Curves/meltCurve_sp_P07305_2_H10_HUMAN_.pdf</t>
  </si>
  <si>
    <t>Melting_Curves/meltCurve_sp_P07307_3_ASGR2_HUMAN_.pdf</t>
  </si>
  <si>
    <t>Melting_Curves/meltCurve_sp_P07311_ACYP1_HUMAN_.pdf</t>
  </si>
  <si>
    <t>Melting_Curves/meltCurve_sp_P07327_ADH1A_HUMAN_.pdf</t>
  </si>
  <si>
    <t>Melting_Curves/meltCurve_sp_P07357_CO8A_HUMAN_.pdf</t>
  </si>
  <si>
    <t>Melting_Curves/meltCurve_sp_P07360_CO8G_HUMAN_.pdf</t>
  </si>
  <si>
    <t>Melting_Curves/meltCurve_sp_P07384_CAN1_HUMAN_.pdf</t>
  </si>
  <si>
    <t>Melting_Curves/meltCurve_sp_P07438_MT1B_HUMAN_.pdf</t>
  </si>
  <si>
    <t>Melting_Curves/meltCurve_sp_P07602_SAP_HUMAN_.pdf</t>
  </si>
  <si>
    <t>Melting_Curves/meltCurve_sp_P07686_HEXB_HUMAN_.pdf</t>
  </si>
  <si>
    <t>Melting_Curves/meltCurve_sp_P07711_CATL1_HUMAN_.pdf</t>
  </si>
  <si>
    <t>Melting_Curves/meltCurve_sp_P07737_PROF1_HUMAN_.pdf</t>
  </si>
  <si>
    <t>Melting_Curves/meltCurve_sp_P07738_PMGE_HUMAN_.pdf</t>
  </si>
  <si>
    <t>Melting_Curves/meltCurve_sp_P07741_APT_HUMAN_.pdf</t>
  </si>
  <si>
    <t>Melting_Curves/meltCurve_sp_P07814_SYEP_HUMAN_.pdf</t>
  </si>
  <si>
    <t>Melting_Curves/meltCurve_sp_P07858_CATB_HUMAN_.pdf</t>
  </si>
  <si>
    <t>Melting_Curves/meltCurve_sp_P07900_HS90A_HUMAN_.pdf</t>
  </si>
  <si>
    <t>Melting_Curves/meltCurve_sp_P07902_GALT_HUMAN_.pdf</t>
  </si>
  <si>
    <t>Melting_Curves/meltCurve_sp_P07947_YES_HUMAN_.pdf</t>
  </si>
  <si>
    <t>Melting_Curves/meltCurve_sp_P07954_2_FUMH_HUMAN_.pdf</t>
  </si>
  <si>
    <t>Melting_Curves/meltCurve_sp_P07996_TSP1_HUMAN_.pdf</t>
  </si>
  <si>
    <t>Melting_Curves/meltCurve_sp_P08107_HSP71_HUMAN_.pdf</t>
  </si>
  <si>
    <t>Melting_Curves/meltCurve_sp_P08123_CO1A2_HUMAN_.pdf</t>
  </si>
  <si>
    <t>Melting_Curves/meltCurve_sp_P08133_2_ANXA6_HUMAN_.pdf</t>
  </si>
  <si>
    <t>Melting_Curves/meltCurve_sp_P08185_CBG_HUMAN_.pdf</t>
  </si>
  <si>
    <t>Melting_Curves/meltCurve_sp_P08236_BGLR_HUMAN_.pdf</t>
  </si>
  <si>
    <t>Melting_Curves/meltCurve_sp_P08238_HS90B_HUMAN_.pdf</t>
  </si>
  <si>
    <t>Melting_Curves/meltCurve_sp_P08240_2_SRPR_HUMAN_.pdf</t>
  </si>
  <si>
    <t>Melting_Curves/meltCurve_sp_P08319_ADH4_HUMAN_.pdf</t>
  </si>
  <si>
    <t>Melting_Curves/meltCurve_sp_P08519_APOA_HUMAN_.pdf</t>
  </si>
  <si>
    <t>Melting_Curves/meltCurve_sp_P08559_3_ODPA_HUMAN_.pdf</t>
  </si>
  <si>
    <t>Melting_Curves/meltCurve_sp_P08571_CD14_HUMAN_.pdf</t>
  </si>
  <si>
    <t>Melting_Curves/meltCurve_sp_P08579_RU2B_HUMAN_.pdf</t>
  </si>
  <si>
    <t>Melting_Curves/meltCurve_sp_P08603_CFAH_HUMAN_.pdf</t>
  </si>
  <si>
    <t>Melting_Curves/meltCurve_sp_P08621_2_RU17_HUMAN_.pdf</t>
  </si>
  <si>
    <t>Melting_Curves/meltCurve_sp_P08651_2_NFIC_HUMAN_.pdf</t>
  </si>
  <si>
    <t>Melting_Curves/meltCurve_sp_P08670_VIME_HUMAN_.pdf</t>
  </si>
  <si>
    <t>Melting_Curves/meltCurve_sp_P08684_CP3A4_HUMAN_.pdf</t>
  </si>
  <si>
    <t>Melting_Curves/meltCurve_sp_P08697_A2AP_HUMAN_.pdf</t>
  </si>
  <si>
    <t>Melting_Curves/meltCurve_sp_P08727_K1C19_HUMAN_.pdf</t>
  </si>
  <si>
    <t>Melting_Curves/meltCurve_sp_P08729_K2C7_HUMAN_.pdf</t>
  </si>
  <si>
    <t>Melting_Curves/meltCurve_sp_P09012_SNRPA_HUMAN_.pdf</t>
  </si>
  <si>
    <t>Melting_Curves/meltCurve_sp_P09110_THIK_HUMAN_.pdf</t>
  </si>
  <si>
    <t>Melting_Curves/meltCurve_sp_P09132_SRP19_HUMAN_.pdf</t>
  </si>
  <si>
    <t>Melting_Curves/meltCurve_sp_P09210_GSTA2_HUMAN_.pdf</t>
  </si>
  <si>
    <t>Melting_Curves/meltCurve_sp_P09234_RU1C_HUMAN_.pdf</t>
  </si>
  <si>
    <t>Melting_Curves/meltCurve_sp_P09327_VILI_HUMAN_.pdf</t>
  </si>
  <si>
    <t>Melting_Curves/meltCurve_sp_P09382_LEG1_HUMAN_.pdf</t>
  </si>
  <si>
    <t>Melting_Curves/meltCurve_sp_P09417_DHPR_HUMAN_.pdf</t>
  </si>
  <si>
    <t>Melting_Curves/meltCurve_sp_P09429_HMGB1_HUMAN_.pdf</t>
  </si>
  <si>
    <t>Melting_Curves/meltCurve_sp_P09467_F16P1_HUMAN_.pdf</t>
  </si>
  <si>
    <t>Melting_Curves/meltCurve_sp_P09493_3_TPM1_HUMAN_.pdf</t>
  </si>
  <si>
    <t>Melting_Curves/meltCurve_sp_P09496_2_CLCA_HUMAN_.pdf</t>
  </si>
  <si>
    <t>Melting_Curves/meltCurve_sp_P09497_2_CLCB_HUMAN_.pdf</t>
  </si>
  <si>
    <t>Melting_Curves/meltCurve_sp_P09525_ANXA4_HUMAN_.pdf</t>
  </si>
  <si>
    <t>Melting_Curves/meltCurve_sp_P09543_2_CN37_HUMAN_.pdf</t>
  </si>
  <si>
    <t>Melting_Curves/meltCurve_sp_P09601_HMOX1_HUMAN_.pdf</t>
  </si>
  <si>
    <t>Melting_Curves/meltCurve_sp_P09622_DLDH_HUMAN_.pdf</t>
  </si>
  <si>
    <t>Melting_Curves/meltCurve_sp_P09651_3_ROA1_HUMAN_.pdf</t>
  </si>
  <si>
    <t>Melting_Curves/meltCurve_sp_P09661_RU2A_HUMAN_.pdf</t>
  </si>
  <si>
    <t>Melting_Curves/meltCurve_sp_P09668_CATH_HUMAN_.pdf</t>
  </si>
  <si>
    <t>Melting_Curves/meltCurve_sp_P09871_C1S_HUMAN_.pdf</t>
  </si>
  <si>
    <t>Melting_Curves/meltCurve_sp_P09874_PARP1_HUMAN_.pdf</t>
  </si>
  <si>
    <t>Melting_Curves/meltCurve_sp_P09913_IFIT2_HUMAN_.pdf</t>
  </si>
  <si>
    <t>Melting_Curves/meltCurve_sp_P09960_LKHA4_HUMAN_.pdf</t>
  </si>
  <si>
    <t>Melting_Curves/meltCurve_sp_P09972_ALDOC_HUMAN_.pdf</t>
  </si>
  <si>
    <t>Melting_Curves/meltCurve_sp_P0C024_NUDT7_HUMAN_.pdf</t>
  </si>
  <si>
    <t>Melting_Curves/meltCurve_sp_P0C0L5_CO4B_HUMAN_.pdf</t>
  </si>
  <si>
    <t>Melting_Curves/meltCurve_sp_P0C7P0_CISD3_HUMAN_.pdf</t>
  </si>
  <si>
    <t>Melting_Curves/meltCurve_sp_P0C7U0_ELFN1_HUMAN_.pdf</t>
  </si>
  <si>
    <t>Melting_Curves/meltCurve_sp_P0CG05_LAC2_HUMAN_.pdf</t>
  </si>
  <si>
    <t>Melting_Curves/meltCurve_sp_P0CG12_CTF8A_HUMAN_.pdf</t>
  </si>
  <si>
    <t>Melting_Curves/meltCurve_sp_P0CW22_RS17L_HUMAN_.pdf</t>
  </si>
  <si>
    <t>Melting_Curves/meltCurve_sp_P0DJI8_SAA1_HUMAN_.pdf</t>
  </si>
  <si>
    <t>Melting_Curves/meltCurve_sp_P10109_ADX_HUMAN_.pdf</t>
  </si>
  <si>
    <t>Melting_Curves/meltCurve_sp_P10153_RNAS2_HUMAN_.pdf</t>
  </si>
  <si>
    <t>Melting_Curves/meltCurve_sp_P10155_3_RO60_HUMAN_.pdf</t>
  </si>
  <si>
    <t>Melting_Curves/meltCurve_sp_P10253_LYAG_HUMAN_.pdf</t>
  </si>
  <si>
    <t>Melting_Curves/meltCurve_sp_P10412_H14_HUMAN_.pdf</t>
  </si>
  <si>
    <t>Melting_Curves/meltCurve_sp_P10515_ODP2_HUMAN_.pdf</t>
  </si>
  <si>
    <t>Melting_Curves/meltCurve_sp_P10586_2_PTPRF_HUMAN_.pdf</t>
  </si>
  <si>
    <t>Melting_Curves/meltCurve_sp_P10606_COX5B_HUMAN_.pdf</t>
  </si>
  <si>
    <t>Melting_Curves/meltCurve_sp_P10619_PPGB_HUMAN_.pdf</t>
  </si>
  <si>
    <t>Melting_Curves/meltCurve_sp_P10632_2_CP2C8_HUMAN_.pdf</t>
  </si>
  <si>
    <t>Melting_Curves/meltCurve_sp_P10644_KAP0_HUMAN_.pdf</t>
  </si>
  <si>
    <t>Melting_Curves/meltCurve_sp_P10746_HEM4_HUMAN_.pdf</t>
  </si>
  <si>
    <t>Melting_Curves/meltCurve_sp_P10768_ESTD_HUMAN_.pdf</t>
  </si>
  <si>
    <t>Melting_Curves/meltCurve_sp_P10809_CH60_HUMAN_.pdf</t>
  </si>
  <si>
    <t>Melting_Curves/meltCurve_sp_P10909_4_CLUS_HUMAN_.pdf</t>
  </si>
  <si>
    <t>Melting_Curves/meltCurve_sp_P11021_GRP78_HUMAN_.pdf</t>
  </si>
  <si>
    <t>Melting_Curves/meltCurve_sp_P11047_LAMC1_HUMAN_.pdf</t>
  </si>
  <si>
    <t>Melting_Curves/meltCurve_sp_P11142_HSP7C_HUMAN_.pdf</t>
  </si>
  <si>
    <t>Melting_Curves/meltCurve_sp_P11171_4_41_HUMAN_.pdf</t>
  </si>
  <si>
    <t>Melting_Curves/meltCurve_sp_P11172_UMPS_HUMAN_.pdf</t>
  </si>
  <si>
    <t>Melting_Curves/meltCurve_sp_P11177_3_ODPB_HUMAN_.pdf</t>
  </si>
  <si>
    <t>Melting_Curves/meltCurve_sp_P11182_ODB2_HUMAN_.pdf</t>
  </si>
  <si>
    <t>Melting_Curves/meltCurve_sp_P11216_PYGB_HUMAN_.pdf</t>
  </si>
  <si>
    <t>Melting_Curves/meltCurve_sp_P11226_MBL2_HUMAN_.pdf</t>
  </si>
  <si>
    <t>Melting_Curves/meltCurve_sp_P11245_ARY2_HUMAN_.pdf</t>
  </si>
  <si>
    <t>Melting_Curves/meltCurve_sp_P11277_3_SPTB1_HUMAN_.pdf</t>
  </si>
  <si>
    <t>Melting_Curves/meltCurve_sp_P11310_ACADM_HUMAN_.pdf</t>
  </si>
  <si>
    <t>Melting_Curves/meltCurve_sp_P11441_UBL4A_HUMAN_.pdf</t>
  </si>
  <si>
    <t>Melting_Curves/meltCurve_sp_P11498_PYC_HUMAN_.pdf</t>
  </si>
  <si>
    <t>Melting_Curves/meltCurve_sp_P11532_3_DMD_HUMAN_.pdf</t>
  </si>
  <si>
    <t>Melting_Curves/meltCurve_sp_P11586_C1TC_HUMAN_.pdf</t>
  </si>
  <si>
    <t>Melting_Curves/meltCurve_sp_P11712_CP2C9_HUMAN_.pdf</t>
  </si>
  <si>
    <t>Melting_Curves/meltCurve_sp_P11717_MPRI_HUMAN_.pdf</t>
  </si>
  <si>
    <t>Melting_Curves/meltCurve_sp_P11766_ADHX_HUMAN_.pdf</t>
  </si>
  <si>
    <t>Melting_Curves/meltCurve_sp_P11908_PRPS2_HUMAN_.pdf</t>
  </si>
  <si>
    <t>Melting_Curves/meltCurve_sp_P11940_2_PABP1_HUMAN_.pdf</t>
  </si>
  <si>
    <t>Melting_Curves/meltCurve_sp_P12004_PCNA_HUMAN_.pdf</t>
  </si>
  <si>
    <t>Melting_Curves/meltCurve_sp_P12270_TPR_HUMAN_.pdf</t>
  </si>
  <si>
    <t>Melting_Curves/meltCurve_sp_P12694_ODBA_HUMAN_.pdf</t>
  </si>
  <si>
    <t>Melting_Curves/meltCurve_sp_P12724_ECP_HUMAN_.pdf</t>
  </si>
  <si>
    <t>Melting_Curves/meltCurve_sp_P12814_ACTN1_HUMAN_.pdf</t>
  </si>
  <si>
    <t>Melting_Curves/meltCurve_sp_P12955_PEPD_HUMAN_.pdf</t>
  </si>
  <si>
    <t>Melting_Curves/meltCurve_sp_P12956_XRCC6_HUMAN_.pdf</t>
  </si>
  <si>
    <t>Melting_Curves/meltCurve_sp_P13010_XRCC5_HUMAN_.pdf</t>
  </si>
  <si>
    <t>Melting_Curves/meltCurve_sp_P13073_COX41_HUMAN_.pdf</t>
  </si>
  <si>
    <t>Melting_Curves/meltCurve_sp_P13196_HEM1_HUMAN_.pdf</t>
  </si>
  <si>
    <t>Melting_Curves/meltCurve_sp_P13284_GILT_HUMAN_.pdf</t>
  </si>
  <si>
    <t>Melting_Curves/meltCurve_sp_P13489_RINI_HUMAN_.pdf</t>
  </si>
  <si>
    <t>Melting_Curves/meltCurve_sp_P13639_EF2_HUMAN_.pdf</t>
  </si>
  <si>
    <t>Melting_Curves/meltCurve_sp_P13640_2_MT1G_HUMAN_.pdf</t>
  </si>
  <si>
    <t>Melting_Curves/meltCurve_sp_P13640_MT1G_HUMAN_.pdf</t>
  </si>
  <si>
    <t>Melting_Curves/meltCurve_sp_P13647_K2C5_HUMAN_.pdf</t>
  </si>
  <si>
    <t>Melting_Curves/meltCurve_sp_P13667_PDIA4_HUMAN_.pdf</t>
  </si>
  <si>
    <t>Melting_Curves/meltCurve_sp_P13671_CO6_HUMAN_.pdf</t>
  </si>
  <si>
    <t>Melting_Curves/meltCurve_sp_P13674_P4HA1_HUMAN_.pdf</t>
  </si>
  <si>
    <t>Melting_Curves/meltCurve_sp_P13693_TCTP_HUMAN_.pdf</t>
  </si>
  <si>
    <t>Melting_Curves/meltCurve_sp_P13796_PLSL_HUMAN_.pdf</t>
  </si>
  <si>
    <t>Melting_Curves/meltCurve_sp_P13797_PLST_HUMAN_.pdf</t>
  </si>
  <si>
    <t>Melting_Curves/meltCurve_sp_P13798_ACPH_HUMAN_.pdf</t>
  </si>
  <si>
    <t>Melting_Curves/meltCurve_sp_P13804_ETFA_HUMAN_.pdf</t>
  </si>
  <si>
    <t>Melting_Curves/meltCurve_sp_P13861_KAP2_HUMAN_.pdf</t>
  </si>
  <si>
    <t>Melting_Curves/meltCurve_sp_P13929_ENOB_HUMAN_.pdf</t>
  </si>
  <si>
    <t>Melting_Curves/meltCurve_sp_P13984_T2FB_HUMAN_.pdf</t>
  </si>
  <si>
    <t>Melting_Curves/meltCurve_sp_P14174_MIF_HUMAN_.pdf</t>
  </si>
  <si>
    <t>Melting_Curves/meltCurve_sp_P14314_2_GLU2B_HUMAN_.pdf</t>
  </si>
  <si>
    <t>Melting_Curves/meltCurve_sp_P14317_HCLS1_HUMAN_.pdf</t>
  </si>
  <si>
    <t>Melting_Curves/meltCurve_sp_P14324_2_FPPS_HUMAN_.pdf</t>
  </si>
  <si>
    <t>Melting_Curves/meltCurve_sp_P14550_AK1A1_HUMAN_.pdf</t>
  </si>
  <si>
    <t>Melting_Curves/meltCurve_sp_P14618_KPYM_HUMAN_.pdf</t>
  </si>
  <si>
    <t>Melting_Curves/meltCurve_sp_P14621_ACYP2_HUMAN_.pdf</t>
  </si>
  <si>
    <t>Melting_Curves/meltCurve_sp_P14625_ENPL_HUMAN_.pdf</t>
  </si>
  <si>
    <t>Melting_Curves/meltCurve_sp_P14735_IDE_HUMAN_.pdf</t>
  </si>
  <si>
    <t>Melting_Curves/meltCurve_sp_P14854_CX6B1_HUMAN_.pdf</t>
  </si>
  <si>
    <t>Melting_Curves/meltCurve_sp_P14866_HNRPL_HUMAN_.pdf</t>
  </si>
  <si>
    <t>Melting_Curves/meltCurve_sp_P14868_SYDC_HUMAN_.pdf</t>
  </si>
  <si>
    <t>Melting_Curves/meltCurve_sp_P14920_OXDA_HUMAN_.pdf</t>
  </si>
  <si>
    <t>Melting_Curves/meltCurve_sp_P14923_PLAK_HUMAN_.pdf</t>
  </si>
  <si>
    <t>Melting_Curves/meltCurve_sp_P15104_GLNA_HUMAN_.pdf</t>
  </si>
  <si>
    <t>Melting_Curves/meltCurve_sp_P15121_ALDR_HUMAN_.pdf</t>
  </si>
  <si>
    <t>Melting_Curves/meltCurve_sp_P15144_AMPN_HUMAN_.pdf</t>
  </si>
  <si>
    <t>Melting_Curves/meltCurve_sp_P15170_2_ERF3A_HUMAN_.pdf</t>
  </si>
  <si>
    <t>Melting_Curves/meltCurve_sp_P15289_2_ARSA_HUMAN_.pdf</t>
  </si>
  <si>
    <t>Melting_Curves/meltCurve_sp_P15289_ARSA_HUMAN_.pdf</t>
  </si>
  <si>
    <t>Melting_Curves/meltCurve_sp_P15311_EZRI_HUMAN_.pdf</t>
  </si>
  <si>
    <t>Melting_Curves/meltCurve_sp_P15374_UCHL3_HUMAN_.pdf</t>
  </si>
  <si>
    <t>Melting_Curves/meltCurve_sp_P15428_PGDH_HUMAN_.pdf</t>
  </si>
  <si>
    <t>Melting_Curves/meltCurve_sp_P15531_NDKA_HUMAN_.pdf</t>
  </si>
  <si>
    <t>Melting_Curves/meltCurve_sp_P15735_2_PHKG2_HUMAN_.pdf</t>
  </si>
  <si>
    <t>Melting_Curves/meltCurve_sp_P15848_ARSB_HUMAN_.pdf</t>
  </si>
  <si>
    <t>Melting_Curves/meltCurve_sp_P15924_DESP_HUMAN_.pdf</t>
  </si>
  <si>
    <t>Melting_Curves/meltCurve_sp_P15927_RFA2_HUMAN_.pdf</t>
  </si>
  <si>
    <t>Melting_Curves/meltCurve_sp_P16118_F261_HUMAN_.pdf</t>
  </si>
  <si>
    <t>Melting_Curves/meltCurve_sp_P16152_CBR1_HUMAN_.pdf</t>
  </si>
  <si>
    <t>Melting_Curves/meltCurve_sp_P16219_ACADS_HUMAN_.pdf</t>
  </si>
  <si>
    <t>Melting_Curves/meltCurve_sp_P16220_3_CREB1_HUMAN_.pdf</t>
  </si>
  <si>
    <t>Melting_Curves/meltCurve_sp_P16278_3_BGAL_HUMAN_.pdf</t>
  </si>
  <si>
    <t>Melting_Curves/meltCurve_sp_P16298_3_PP2BB_HUMAN_.pdf</t>
  </si>
  <si>
    <t>Melting_Curves/meltCurve_sp_P16333_NCK1_HUMAN_.pdf</t>
  </si>
  <si>
    <t>Melting_Curves/meltCurve_sp_P16383_2_GCFC2_HUMAN_.pdf</t>
  </si>
  <si>
    <t>Melting_Curves/meltCurve_sp_P16401_H15_HUMAN_.pdf</t>
  </si>
  <si>
    <t>Melting_Curves/meltCurve_sp_P16435_NCPR_HUMAN_.pdf</t>
  </si>
  <si>
    <t>Melting_Curves/meltCurve_sp_P16455_MGMT_HUMAN_.pdf</t>
  </si>
  <si>
    <t>Melting_Curves/meltCurve_sp_P16662_UD2B7_HUMAN_.pdf</t>
  </si>
  <si>
    <t>Melting_Curves/meltCurve_sp_P16885_PLCG2_HUMAN_.pdf</t>
  </si>
  <si>
    <t>Melting_Curves/meltCurve_sp_P16930_FAAA_HUMAN_.pdf</t>
  </si>
  <si>
    <t>Melting_Curves/meltCurve_sp_P16949_STMN1_HUMAN_.pdf</t>
  </si>
  <si>
    <t>Melting_Curves/meltCurve_sp_P16989_2_YBOX3_HUMAN_.pdf</t>
  </si>
  <si>
    <t>Melting_Curves/meltCurve_sp_P17029_ZKSC1_HUMAN_.pdf</t>
  </si>
  <si>
    <t>Melting_Curves/meltCurve_sp_P17050_NAGAB_HUMAN_.pdf</t>
  </si>
  <si>
    <t>Melting_Curves/meltCurve_sp_P17066_HSP76_HUMAN_.pdf</t>
  </si>
  <si>
    <t>Melting_Curves/meltCurve_sp_P17174_AATC_HUMAN_.pdf</t>
  </si>
  <si>
    <t>Melting_Curves/meltCurve_sp_P17516_AK1C4_HUMAN_.pdf</t>
  </si>
  <si>
    <t>Melting_Curves/meltCurve_sp_P17544_5_ATF7_HUMAN_.pdf</t>
  </si>
  <si>
    <t>Melting_Curves/meltCurve_sp_P17612_KAPCA_HUMAN_.pdf</t>
  </si>
  <si>
    <t>Melting_Curves/meltCurve_sp_P17655_CAN2_HUMAN_.pdf</t>
  </si>
  <si>
    <t>Melting_Curves/meltCurve_sp_P17735_ATTY_HUMAN_.pdf</t>
  </si>
  <si>
    <t>Melting_Curves/meltCurve_sp_P17812_PYRG1_HUMAN_.pdf</t>
  </si>
  <si>
    <t>Melting_Curves/meltCurve_sp_P17858_K6PL_HUMAN_.pdf</t>
  </si>
  <si>
    <t>Melting_Curves/meltCurve_sp_P17900_SAP3_HUMAN_.pdf</t>
  </si>
  <si>
    <t>Melting_Curves/meltCurve_sp_P17931_LEG3_HUMAN_.pdf</t>
  </si>
  <si>
    <t>Melting_Curves/meltCurve_sp_P17987_TCPA_HUMAN_.pdf</t>
  </si>
  <si>
    <t>Melting_Curves/meltCurve_sp_P18065_IBP2_HUMAN_.pdf</t>
  </si>
  <si>
    <t>Melting_Curves/meltCurve_sp_P18206_2_VINC_HUMAN_.pdf</t>
  </si>
  <si>
    <t>Melting_Curves/meltCurve_sp_P18283_GPX2_HUMAN_.pdf</t>
  </si>
  <si>
    <t>Melting_Curves/meltCurve_sp_P18440_ARY1_HUMAN_.pdf</t>
  </si>
  <si>
    <t>Melting_Curves/meltCurve_sp_P18510_4_IL1RA_HUMAN_.pdf</t>
  </si>
  <si>
    <t>Melting_Curves/meltCurve_sp_P18583_2_SON_HUMAN_.pdf</t>
  </si>
  <si>
    <t>Melting_Curves/meltCurve_sp_P18621_2_RL17_HUMAN_.pdf</t>
  </si>
  <si>
    <t>Melting_Curves/meltCurve_sp_P18669_PGAM1_HUMAN_.pdf</t>
  </si>
  <si>
    <t>Melting_Curves/meltCurve_sp_P18827_SDC1_HUMAN_.pdf</t>
  </si>
  <si>
    <t>Melting_Curves/meltCurve_sp_P18859_ATP5J_HUMAN_.pdf</t>
  </si>
  <si>
    <t>Melting_Curves/meltCurve_sp_P19105_ML12A_HUMAN_.pdf</t>
  </si>
  <si>
    <t>Melting_Curves/meltCurve_sp_P19174_PLCG1_HUMAN_.pdf</t>
  </si>
  <si>
    <t>Melting_Curves/meltCurve_sp_P19338_NUCL_HUMAN_.pdf</t>
  </si>
  <si>
    <t>Melting_Curves/meltCurve_sp_P19388_RPAB1_HUMAN_.pdf</t>
  </si>
  <si>
    <t>Melting_Curves/meltCurve_sp_P19404_NDUV2_HUMAN_.pdf</t>
  </si>
  <si>
    <t>Melting_Curves/meltCurve_sp_P19525_2_E2AK2_HUMAN_.pdf</t>
  </si>
  <si>
    <t>Melting_Curves/meltCurve_sp_P19623_SPEE_HUMAN_.pdf</t>
  </si>
  <si>
    <t>Melting_Curves/meltCurve_sp_P19652_A1AG2_HUMAN_.pdf</t>
  </si>
  <si>
    <t>Melting_Curves/meltCurve_sp_P19784_CSK22_HUMAN_.pdf</t>
  </si>
  <si>
    <t>Melting_Curves/meltCurve_sp_P19827_ITIH1_HUMAN_.pdf</t>
  </si>
  <si>
    <t>Melting_Curves/meltCurve_sp_P19838_NFKB1_HUMAN_.pdf</t>
  </si>
  <si>
    <t>Melting_Curves/meltCurve_sp_P19971_TYPH_HUMAN_.pdf</t>
  </si>
  <si>
    <t>Melting_Curves/meltCurve_sp_P20042_IF2B_HUMAN_.pdf</t>
  </si>
  <si>
    <t>Melting_Curves/meltCurve_sp_P20132_SDHL_HUMAN_.pdf</t>
  </si>
  <si>
    <t>Melting_Curves/meltCurve_sp_P20290_BTF3_HUMAN_.pdf</t>
  </si>
  <si>
    <t>Melting_Curves/meltCurve_sp_P20338_RAB4A_HUMAN_.pdf</t>
  </si>
  <si>
    <t>Melting_Curves/meltCurve_sp_P20340_2_RAB6A_HUMAN_.pdf</t>
  </si>
  <si>
    <t>Melting_Curves/meltCurve_sp_P20585_MSH3_HUMAN_.pdf</t>
  </si>
  <si>
    <t>Melting_Curves/meltCurve_sp_P20591_MX1_HUMAN_.pdf</t>
  </si>
  <si>
    <t>Melting_Curves/meltCurve_sp_P20618_PSB1_HUMAN_.pdf</t>
  </si>
  <si>
    <t>Melting_Curves/meltCurve_sp_P20674_COX5A_HUMAN_.pdf</t>
  </si>
  <si>
    <t>Melting_Curves/meltCurve_sp_P20700_LMNB1_HUMAN_.pdf</t>
  </si>
  <si>
    <t>Melting_Curves/meltCurve_sp_P20711_3_DDC_HUMAN_.pdf</t>
  </si>
  <si>
    <t>Melting_Curves/meltCurve_sp_P20810_5_ICAL_HUMAN_.pdf</t>
  </si>
  <si>
    <t>Melting_Curves/meltCurve_sp_P20810_6_ICAL_HUMAN_.pdf</t>
  </si>
  <si>
    <t>Melting_Curves/meltCurve_sp_P20823_3_HNF1A_HUMAN_.pdf</t>
  </si>
  <si>
    <t>Melting_Curves/meltCurve_sp_P20930_FILA_HUMAN_.pdf</t>
  </si>
  <si>
    <t>Melting_Curves/meltCurve_sp_P20933_ASPG_HUMAN_.pdf</t>
  </si>
  <si>
    <t>Melting_Curves/meltCurve_sp_P20936_2_RASA1_HUMAN_.pdf</t>
  </si>
  <si>
    <t>Melting_Curves/meltCurve_sp_P20962_PTMS_HUMAN_.pdf</t>
  </si>
  <si>
    <t>Melting_Curves/meltCurve_sp_P21266_GSTM3_HUMAN_.pdf</t>
  </si>
  <si>
    <t>Melting_Curves/meltCurve_sp_P21281_VATB2_HUMAN_.pdf</t>
  </si>
  <si>
    <t>Melting_Curves/meltCurve_sp_P21283_VATC1_HUMAN_.pdf</t>
  </si>
  <si>
    <t>Melting_Curves/meltCurve_sp_P21291_CSRP1_HUMAN_.pdf</t>
  </si>
  <si>
    <t>Melting_Curves/meltCurve_sp_P21399_ACOC_HUMAN_.pdf</t>
  </si>
  <si>
    <t>Melting_Curves/meltCurve_sp_P21549_SPYA_HUMAN_.pdf</t>
  </si>
  <si>
    <t>Melting_Curves/meltCurve_sp_P21695_2_GPDA_HUMAN_.pdf</t>
  </si>
  <si>
    <t>Melting_Curves/meltCurve_sp_P21912_DHSB_HUMAN_.pdf</t>
  </si>
  <si>
    <t>Melting_Curves/meltCurve_sp_P21953_ODBB_HUMAN_.pdf</t>
  </si>
  <si>
    <t>Melting_Curves/meltCurve_sp_P21964_2_COMT_HUMAN_.pdf</t>
  </si>
  <si>
    <t>Melting_Curves/meltCurve_sp_P22033_MUTA_HUMAN_.pdf</t>
  </si>
  <si>
    <t>Melting_Curves/meltCurve_sp_P22059_OSBP1_HUMAN_.pdf</t>
  </si>
  <si>
    <t>Melting_Curves/meltCurve_sp_P22061_PIMT_HUMAN_.pdf</t>
  </si>
  <si>
    <t>Melting_Curves/meltCurve_sp_P22102_PUR2_HUMAN_.pdf</t>
  </si>
  <si>
    <t>Melting_Curves/meltCurve_sp_P22234_PUR6_HUMAN_.pdf</t>
  </si>
  <si>
    <t>Melting_Curves/meltCurve_sp_P22307_2_NLTP_HUMAN_.pdf</t>
  </si>
  <si>
    <t>Melting_Curves/meltCurve_sp_P22307_NLTP_HUMAN_.pdf</t>
  </si>
  <si>
    <t>Melting_Curves/meltCurve_sp_P22314_UBA1_HUMAN_.pdf</t>
  </si>
  <si>
    <t>Melting_Curves/meltCurve_sp_P22392_2_NDKB_HUMAN_.pdf</t>
  </si>
  <si>
    <t>Melting_Curves/meltCurve_sp_P22570_ADRO_HUMAN_.pdf</t>
  </si>
  <si>
    <t>Melting_Curves/meltCurve_sp_P22626_ROA2_HUMAN_.pdf</t>
  </si>
  <si>
    <t>Melting_Curves/meltCurve_sp_P22670_RFX1_HUMAN_.pdf</t>
  </si>
  <si>
    <t>Melting_Curves/meltCurve_sp_P22694_4_KAPCB_HUMAN_.pdf</t>
  </si>
  <si>
    <t>Melting_Curves/meltCurve_sp_P22830_HEMH_HUMAN_.pdf</t>
  </si>
  <si>
    <t>Melting_Curves/meltCurve_sp_P23141_3_EST1_HUMAN_.pdf</t>
  </si>
  <si>
    <t>Melting_Curves/meltCurve_sp_P23142_3_FBLN1_HUMAN_.pdf</t>
  </si>
  <si>
    <t>Melting_Curves/meltCurve_sp_P23193_TCEA1_HUMAN_.pdf</t>
  </si>
  <si>
    <t>Melting_Curves/meltCurve_sp_P23246_SFPQ_HUMAN_.pdf</t>
  </si>
  <si>
    <t>Melting_Curves/meltCurve_sp_P23284_PPIB_HUMAN_.pdf</t>
  </si>
  <si>
    <t>Melting_Curves/meltCurve_sp_P23368_MAOM_HUMAN_.pdf</t>
  </si>
  <si>
    <t>Melting_Curves/meltCurve_sp_P23378_GCSP_HUMAN_.pdf</t>
  </si>
  <si>
    <t>Melting_Curves/meltCurve_sp_P23381_SYWC_HUMAN_.pdf</t>
  </si>
  <si>
    <t>Melting_Curves/meltCurve_sp_P23396_RS3_HUMAN_.pdf</t>
  </si>
  <si>
    <t>Melting_Curves/meltCurve_sp_P23409_MYF6_HUMAN_.pdf</t>
  </si>
  <si>
    <t>Melting_Curves/meltCurve_sp_P23434_GCSH_HUMAN_.pdf</t>
  </si>
  <si>
    <t>Melting_Curves/meltCurve_sp_P23497_SP100_HUMAN_.pdf</t>
  </si>
  <si>
    <t>Melting_Curves/meltCurve_sp_P23508_CRCM_HUMAN_.pdf</t>
  </si>
  <si>
    <t>Melting_Curves/meltCurve_sp_P23526_SAHH_HUMAN_.pdf</t>
  </si>
  <si>
    <t>Melting_Curves/meltCurve_sp_P23528_COF1_HUMAN_.pdf</t>
  </si>
  <si>
    <t>Melting_Curves/meltCurve_sp_P23588_IF4B_HUMAN_.pdf</t>
  </si>
  <si>
    <t>Melting_Curves/meltCurve_sp_P23786_CPT2_HUMAN_.pdf</t>
  </si>
  <si>
    <t>Melting_Curves/meltCurve_sp_P23919_KTHY_HUMAN_.pdf</t>
  </si>
  <si>
    <t>Melting_Curves/meltCurve_sp_P23921_RIR1_HUMAN_.pdf</t>
  </si>
  <si>
    <t>Melting_Curves/meltCurve_sp_P24158_PRTN3_HUMAN_.pdf</t>
  </si>
  <si>
    <t>Melting_Curves/meltCurve_sp_P24298_ALAT1_HUMAN_.pdf</t>
  </si>
  <si>
    <t>Melting_Curves/meltCurve_sp_P24534_EF1B_HUMAN_.pdf</t>
  </si>
  <si>
    <t>Melting_Curves/meltCurve_sp_P24666_PPAC_HUMAN_.pdf</t>
  </si>
  <si>
    <t>Melting_Curves/meltCurve_sp_P24752_THIL_HUMAN_.pdf</t>
  </si>
  <si>
    <t>Melting_Curves/meltCurve_sp_P24941_CDK2_HUMAN_.pdf</t>
  </si>
  <si>
    <t>Melting_Curves/meltCurve_sp_P25054_2_APC_HUMAN_.pdf</t>
  </si>
  <si>
    <t>Melting_Curves/meltCurve_sp_P25311_ZA2G_HUMAN_.pdf</t>
  </si>
  <si>
    <t>Melting_Curves/meltCurve_sp_P25398_RS12_HUMAN_.pdf</t>
  </si>
  <si>
    <t>Melting_Curves/meltCurve_sp_P25685_DNJB1_HUMAN_.pdf</t>
  </si>
  <si>
    <t>Melting_Curves/meltCurve_sp_P25705_ATPA_HUMAN_.pdf</t>
  </si>
  <si>
    <t>Melting_Curves/meltCurve_sp_P25774_CATS_HUMAN_.pdf</t>
  </si>
  <si>
    <t>Melting_Curves/meltCurve_sp_P25786_PSA1_HUMAN_.pdf</t>
  </si>
  <si>
    <t>Melting_Curves/meltCurve_sp_P25787_PSA2_HUMAN_.pdf</t>
  </si>
  <si>
    <t>Melting_Curves/meltCurve_sp_P25788_2_PSA3_HUMAN_.pdf</t>
  </si>
  <si>
    <t>Melting_Curves/meltCurve_sp_P25789_PSA4_HUMAN_.pdf</t>
  </si>
  <si>
    <t>Melting_Curves/meltCurve_sp_P26038_MOES_HUMAN_.pdf</t>
  </si>
  <si>
    <t>Melting_Curves/meltCurve_sp_P26196_DDX6_HUMAN_.pdf</t>
  </si>
  <si>
    <t>Melting_Curves/meltCurve_sp_P26358_DNMT1_HUMAN_.pdf</t>
  </si>
  <si>
    <t>Melting_Curves/meltCurve_sp_P26368_2_U2AF2_HUMAN_.pdf</t>
  </si>
  <si>
    <t>Melting_Curves/meltCurve_sp_P26440_IVD_HUMAN_.pdf</t>
  </si>
  <si>
    <t>Melting_Curves/meltCurve_sp_P26447_S10A4_HUMAN_.pdf</t>
  </si>
  <si>
    <t>Melting_Curves/meltCurve_sp_P26583_HMGB2_HUMAN_.pdf</t>
  </si>
  <si>
    <t>Melting_Curves/meltCurve_sp_P26599_PTBP1_HUMAN_.pdf</t>
  </si>
  <si>
    <t>Melting_Curves/meltCurve_sp_P26639_SYTC_HUMAN_.pdf</t>
  </si>
  <si>
    <t>Melting_Curves/meltCurve_sp_P26640_SYVC_HUMAN_.pdf</t>
  </si>
  <si>
    <t>Melting_Curves/meltCurve_sp_P26641_EF1G_HUMAN_.pdf</t>
  </si>
  <si>
    <t>Melting_Curves/meltCurve_sp_P26885_FKBP2_HUMAN_.pdf</t>
  </si>
  <si>
    <t>Melting_Curves/meltCurve_sp_P26927_HGFL_HUMAN_.pdf</t>
  </si>
  <si>
    <t>Melting_Curves/meltCurve_sp_P27144_KAD4_HUMAN_.pdf</t>
  </si>
  <si>
    <t>Melting_Curves/meltCurve_sp_P27348_1433T_HUMAN_.pdf</t>
  </si>
  <si>
    <t>Melting_Curves/meltCurve_sp_P27540_2_ARNT_HUMAN_.pdf</t>
  </si>
  <si>
    <t>Melting_Curves/meltCurve_sp_P27694_RFA1_HUMAN_.pdf</t>
  </si>
  <si>
    <t>Melting_Curves/meltCurve_sp_P27695_APEX1_HUMAN_.pdf</t>
  </si>
  <si>
    <t>Melting_Curves/meltCurve_sp_P27797_CALR_HUMAN_.pdf</t>
  </si>
  <si>
    <t>Melting_Curves/meltCurve_sp_P27816_6_MAP4_HUMAN_.pdf</t>
  </si>
  <si>
    <t>Melting_Curves/meltCurve_sp_P27986_P85A_HUMAN_.pdf</t>
  </si>
  <si>
    <t>Melting_Curves/meltCurve_sp_P28062_2_PSB8_HUMAN_.pdf</t>
  </si>
  <si>
    <t>Melting_Curves/meltCurve_sp_P28066_PSA5_HUMAN_.pdf</t>
  </si>
  <si>
    <t>Melting_Curves/meltCurve_sp_P28070_PSB4_HUMAN_.pdf</t>
  </si>
  <si>
    <t>Melting_Curves/meltCurve_sp_P28072_PSB6_HUMAN_.pdf</t>
  </si>
  <si>
    <t>Melting_Curves/meltCurve_sp_P28074_PSB5_HUMAN_.pdf</t>
  </si>
  <si>
    <t>Melting_Curves/meltCurve_sp_P28289_TMOD1_HUMAN_.pdf</t>
  </si>
  <si>
    <t>Melting_Curves/meltCurve_sp_P28330_ACADL_HUMAN_.pdf</t>
  </si>
  <si>
    <t>Melting_Curves/meltCurve_sp_P28331_NDUS1_HUMAN_.pdf</t>
  </si>
  <si>
    <t>Melting_Curves/meltCurve_sp_P28332_ADH6_HUMAN_.pdf</t>
  </si>
  <si>
    <t>Melting_Curves/meltCurve_sp_P28340_DPOD1_HUMAN_.pdf</t>
  </si>
  <si>
    <t>Melting_Curves/meltCurve_sp_P28482_MK01_HUMAN_.pdf</t>
  </si>
  <si>
    <t>Melting_Curves/meltCurve_sp_P28715_ERCC5_HUMAN_.pdf</t>
  </si>
  <si>
    <t>Melting_Curves/meltCurve_sp_P28799_GRN_HUMAN_.pdf</t>
  </si>
  <si>
    <t>Melting_Curves/meltCurve_sp_P28838_AMPL_HUMAN_.pdf</t>
  </si>
  <si>
    <t>Melting_Curves/meltCurve_sp_P29144_TPP2_HUMAN_.pdf</t>
  </si>
  <si>
    <t>Melting_Curves/meltCurve_sp_P29350_PTN6_HUMAN_.pdf</t>
  </si>
  <si>
    <t>Melting_Curves/meltCurve_sp_P29353_7_SHC1_HUMAN_.pdf</t>
  </si>
  <si>
    <t>Melting_Curves/meltCurve_sp_P29372_5_3MG_HUMAN_.pdf</t>
  </si>
  <si>
    <t>Melting_Curves/meltCurve_sp_P29401_TKT_HUMAN_.pdf</t>
  </si>
  <si>
    <t>Melting_Curves/meltCurve_sp_P29590_PML_HUMAN_.pdf</t>
  </si>
  <si>
    <t>Melting_Curves/meltCurve_sp_P29622_KAIN_HUMAN_.pdf</t>
  </si>
  <si>
    <t>Melting_Curves/meltCurve_sp_P29966_MARCS_HUMAN_.pdf</t>
  </si>
  <si>
    <t>Melting_Curves/meltCurve_sp_P30038_AL4A1_HUMAN_.pdf</t>
  </si>
  <si>
    <t>Melting_Curves/meltCurve_sp_P30039_PBLD_HUMAN_.pdf</t>
  </si>
  <si>
    <t>Melting_Curves/meltCurve_sp_P30040_ERP29_HUMAN_.pdf</t>
  </si>
  <si>
    <t>Melting_Curves/meltCurve_sp_P30041_PRDX6_HUMAN_.pdf</t>
  </si>
  <si>
    <t>Melting_Curves/meltCurve_sp_P30042_ES1_HUMAN_.pdf</t>
  </si>
  <si>
    <t>Melting_Curves/meltCurve_sp_P30043_BLVRB_HUMAN_.pdf</t>
  </si>
  <si>
    <t>Melting_Curves/meltCurve_sp_P30044_2_PRDX5_HUMAN_.pdf</t>
  </si>
  <si>
    <t>Melting_Curves/meltCurve_sp_P30046_DOPD_HUMAN_.pdf</t>
  </si>
  <si>
    <t>Melting_Curves/meltCurve_sp_P30047_GFRP_HUMAN_.pdf</t>
  </si>
  <si>
    <t>Melting_Curves/meltCurve_sp_P30049_ATPD_HUMAN_.pdf</t>
  </si>
  <si>
    <t>Melting_Curves/meltCurve_sp_P30084_ECHM_HUMAN_.pdf</t>
  </si>
  <si>
    <t>Melting_Curves/meltCurve_sp_P30085_KCY_HUMAN_.pdf</t>
  </si>
  <si>
    <t>Melting_Curves/meltCurve_sp_P30086_PEBP1_HUMAN_.pdf</t>
  </si>
  <si>
    <t>Melting_Curves/meltCurve_sp_P30153_2AAA_HUMAN_.pdf</t>
  </si>
  <si>
    <t>Melting_Curves/meltCurve_sp_P30154_4_2AAB_HUMAN_.pdf</t>
  </si>
  <si>
    <t>Melting_Curves/meltCurve_sp_P30405_PPIF_HUMAN_.pdf</t>
  </si>
  <si>
    <t>Melting_Curves/meltCurve_sp_P30414_NKTR_HUMAN_.pdf</t>
  </si>
  <si>
    <t>Melting_Curves/meltCurve_sp_P30419_NMT1_HUMAN_.pdf</t>
  </si>
  <si>
    <t>Melting_Curves/meltCurve_sp_P30520_PURA2_HUMAN_.pdf</t>
  </si>
  <si>
    <t>Melting_Curves/meltCurve_sp_P30533_AMRP_HUMAN_.pdf</t>
  </si>
  <si>
    <t>Melting_Curves/meltCurve_sp_P30566_PUR8_HUMAN_.pdf</t>
  </si>
  <si>
    <t>Melting_Curves/meltCurve_sp_P30613_2_KPYR_HUMAN_.pdf</t>
  </si>
  <si>
    <t>Melting_Curves/meltCurve_sp_P30622_2_CLIP1_HUMAN_.pdf</t>
  </si>
  <si>
    <t>Melting_Curves/meltCurve_sp_P30711_GSTT1_HUMAN_.pdf</t>
  </si>
  <si>
    <t>Melting_Curves/meltCurve_sp_P30740_ILEU_HUMAN_.pdf</t>
  </si>
  <si>
    <t>Melting_Curves/meltCurve_sp_P30793_GCH1_HUMAN_.pdf</t>
  </si>
  <si>
    <t>Melting_Curves/meltCurve_sp_P30837_AL1B1_HUMAN_.pdf</t>
  </si>
  <si>
    <t>Melting_Curves/meltCurve_sp_P31040_DHSA_HUMAN_.pdf</t>
  </si>
  <si>
    <t>Melting_Curves/meltCurve_sp_P31146_COR1A_HUMAN_.pdf</t>
  </si>
  <si>
    <t>Melting_Curves/meltCurve_sp_P31150_GDIA_HUMAN_.pdf</t>
  </si>
  <si>
    <t>Melting_Curves/meltCurve_sp_P31153_METK2_HUMAN_.pdf</t>
  </si>
  <si>
    <t>Melting_Curves/meltCurve_sp_P31321_KAP1_HUMAN_.pdf</t>
  </si>
  <si>
    <t>Melting_Curves/meltCurve_sp_P31327_CPSM_HUMAN_.pdf</t>
  </si>
  <si>
    <t>Melting_Curves/meltCurve_sp_P31350_RIR2_HUMAN_.pdf</t>
  </si>
  <si>
    <t>Melting_Curves/meltCurve_sp_P31689_DNJA1_HUMAN_.pdf</t>
  </si>
  <si>
    <t>Melting_Curves/meltCurve_sp_P31749_AKT1_HUMAN_.pdf</t>
  </si>
  <si>
    <t>Melting_Curves/meltCurve_sp_P31751_AKT2_HUMAN_.pdf</t>
  </si>
  <si>
    <t>Melting_Curves/meltCurve_sp_P31930_QCR1_HUMAN_.pdf</t>
  </si>
  <si>
    <t>Melting_Curves/meltCurve_sp_P31937_3HIDH_HUMAN_.pdf</t>
  </si>
  <si>
    <t>Melting_Curves/meltCurve_sp_P31939_PUR9_HUMAN_.pdf</t>
  </si>
  <si>
    <t>Melting_Curves/meltCurve_sp_P31942_2_HNRH3_HUMAN_.pdf</t>
  </si>
  <si>
    <t>Melting_Curves/meltCurve_sp_P31946_2_1433B_HUMAN_.pdf</t>
  </si>
  <si>
    <t>Melting_Curves/meltCurve_sp_P31947_2_1433S_HUMAN_.pdf</t>
  </si>
  <si>
    <t>Melting_Curves/meltCurve_sp_P31948_STIP1_HUMAN_.pdf</t>
  </si>
  <si>
    <t>Melting_Curves/meltCurve_sp_P31949_S10AB_HUMAN_.pdf</t>
  </si>
  <si>
    <t>Melting_Curves/meltCurve_sp_P32119_PRDX2_HUMAN_.pdf</t>
  </si>
  <si>
    <t>Melting_Curves/meltCurve_sp_P32189_1_GLPK_HUMAN_.pdf</t>
  </si>
  <si>
    <t>Melting_Curves/meltCurve_sp_P32320_CDD_HUMAN_.pdf</t>
  </si>
  <si>
    <t>Melting_Curves/meltCurve_sp_P32321_DCTD_HUMAN_.pdf</t>
  </si>
  <si>
    <t>Melting_Curves/meltCurve_sp_P32455_GBP1_HUMAN_.pdf</t>
  </si>
  <si>
    <t>Melting_Curves/meltCurve_sp_P32456_GBP2_HUMAN_.pdf</t>
  </si>
  <si>
    <t>Melting_Curves/meltCurve_sp_P32519_2_ELF1_HUMAN_.pdf</t>
  </si>
  <si>
    <t>Melting_Curves/meltCurve_sp_P32754_2_HPPD_HUMAN_.pdf</t>
  </si>
  <si>
    <t>Melting_Curves/meltCurve_sp_P32754_HPPD_HUMAN_.pdf</t>
  </si>
  <si>
    <t>Melting_Curves/meltCurve_sp_P32929_CGL_HUMAN_.pdf</t>
  </si>
  <si>
    <t>Melting_Curves/meltCurve_sp_P33121_ACSL1_HUMAN_.pdf</t>
  </si>
  <si>
    <t>Melting_Curves/meltCurve_sp_P33176_KINH_HUMAN_.pdf</t>
  </si>
  <si>
    <t>Melting_Curves/meltCurve_sp_P33240_2_CSTF2_HUMAN_.pdf</t>
  </si>
  <si>
    <t>Melting_Curves/meltCurve_sp_P33241_LSP1_HUMAN_.pdf</t>
  </si>
  <si>
    <t>Melting_Curves/meltCurve_sp_P33316_2_DUT_HUMAN_.pdf</t>
  </si>
  <si>
    <t>Melting_Curves/meltCurve_sp_P33316_DUT_HUMAN_.pdf</t>
  </si>
  <si>
    <t>Melting_Curves/meltCurve_sp_P33908_MA1A1_HUMAN_.pdf</t>
  </si>
  <si>
    <t>Melting_Curves/meltCurve_sp_P33991_MCM4_HUMAN_.pdf</t>
  </si>
  <si>
    <t>Melting_Curves/meltCurve_sp_P33992_MCM5_HUMAN_.pdf</t>
  </si>
  <si>
    <t>Melting_Curves/meltCurve_sp_P33993_MCM7_HUMAN_.pdf</t>
  </si>
  <si>
    <t>Melting_Curves/meltCurve_sp_P34059_GALNS_HUMAN_.pdf</t>
  </si>
  <si>
    <t>Melting_Curves/meltCurve_sp_P34896_2_GLYC_HUMAN_.pdf</t>
  </si>
  <si>
    <t>Melting_Curves/meltCurve_sp_P34897_3_GLYM_HUMAN_.pdf</t>
  </si>
  <si>
    <t>Melting_Curves/meltCurve_sp_P34913_HYES_HUMAN_.pdf</t>
  </si>
  <si>
    <t>Melting_Curves/meltCurve_sp_P34932_HSP74_HUMAN_.pdf</t>
  </si>
  <si>
    <t>Melting_Curves/meltCurve_sp_P35030_2_TRY3_HUMAN_.pdf</t>
  </si>
  <si>
    <t>Melting_Curves/meltCurve_sp_P35218_CAH5A_HUMAN_.pdf</t>
  </si>
  <si>
    <t>Melting_Curves/meltCurve_sp_P35221_CTNA1_HUMAN_.pdf</t>
  </si>
  <si>
    <t>Melting_Curves/meltCurve_sp_P35237_SPB6_HUMAN_.pdf</t>
  </si>
  <si>
    <t>Melting_Curves/meltCurve_sp_P35240_4_MERL_HUMAN_.pdf</t>
  </si>
  <si>
    <t>Melting_Curves/meltCurve_sp_P35241_RADI_HUMAN_.pdf</t>
  </si>
  <si>
    <t>Melting_Curves/meltCurve_sp_P35251_2_RFC1_HUMAN_.pdf</t>
  </si>
  <si>
    <t>Melting_Curves/meltCurve_sp_P35268_RL22_HUMAN_.pdf</t>
  </si>
  <si>
    <t>Melting_Curves/meltCurve_sp_P35270_SPRE_HUMAN_.pdf</t>
  </si>
  <si>
    <t>Melting_Curves/meltCurve_sp_P35520_CBS_HUMAN_.pdf</t>
  </si>
  <si>
    <t>Melting_Curves/meltCurve_sp_P35558_PCKGC_HUMAN_.pdf</t>
  </si>
  <si>
    <t>Melting_Curves/meltCurve_sp_P35568_IRS1_HUMAN_.pdf</t>
  </si>
  <si>
    <t>Melting_Curves/meltCurve_sp_P35573_GDE_HUMAN_.pdf</t>
  </si>
  <si>
    <t>Melting_Curves/meltCurve_sp_P35579_MYH9_HUMAN_.pdf</t>
  </si>
  <si>
    <t>Melting_Curves/meltCurve_sp_P35580_MYH10_HUMAN_.pdf</t>
  </si>
  <si>
    <t>Melting_Curves/meltCurve_sp_P35606_COPB2_HUMAN_.pdf</t>
  </si>
  <si>
    <t>Melting_Curves/meltCurve_sp_P35611_2_ADDA_HUMAN_.pdf</t>
  </si>
  <si>
    <t>Melting_Curves/meltCurve_sp_P35637_2_FUS_HUMAN_.pdf</t>
  </si>
  <si>
    <t>Melting_Curves/meltCurve_sp_P35658_2_NU214_HUMAN_.pdf</t>
  </si>
  <si>
    <t>Melting_Curves/meltCurve_sp_P35659_DEK_HUMAN_.pdf</t>
  </si>
  <si>
    <t>Melting_Curves/meltCurve_sp_P35754_GLRX1_HUMAN_.pdf</t>
  </si>
  <si>
    <t>Melting_Curves/meltCurve_sp_P35813_PPM1A_HUMAN_.pdf</t>
  </si>
  <si>
    <t>Melting_Curves/meltCurve_sp_P35914_HMGCL_HUMAN_.pdf</t>
  </si>
  <si>
    <t>Melting_Curves/meltCurve_sp_P35998_PRS7_HUMAN_.pdf</t>
  </si>
  <si>
    <t>Melting_Curves/meltCurve_sp_P36405_ARL3_HUMAN_.pdf</t>
  </si>
  <si>
    <t>Melting_Curves/meltCurve_sp_P36507_MP2K2_HUMAN_.pdf</t>
  </si>
  <si>
    <t>Melting_Curves/meltCurve_sp_P36543_VATE1_HUMAN_.pdf</t>
  </si>
  <si>
    <t>Melting_Curves/meltCurve_sp_P36551_HEM6_HUMAN_.pdf</t>
  </si>
  <si>
    <t>Melting_Curves/meltCurve_sp_P36871_PGM1_HUMAN_.pdf</t>
  </si>
  <si>
    <t>Melting_Curves/meltCurve_sp_P36873_PP1G_HUMAN_.pdf</t>
  </si>
  <si>
    <t>Melting_Curves/meltCurve_sp_P36915_GNL1_HUMAN_.pdf</t>
  </si>
  <si>
    <t>Melting_Curves/meltCurve_sp_P36955_PEDF_HUMAN_.pdf</t>
  </si>
  <si>
    <t>Melting_Curves/meltCurve_sp_P36957_ODO2_HUMAN_.pdf</t>
  </si>
  <si>
    <t>Melting_Curves/meltCurve_sp_P36969_2_GPX4_HUMAN_.pdf</t>
  </si>
  <si>
    <t>Melting_Curves/meltCurve_sp_P36980_2_FHR2_HUMAN_.pdf</t>
  </si>
  <si>
    <t>Melting_Curves/meltCurve_sp_P37108_SRP14_HUMAN_.pdf</t>
  </si>
  <si>
    <t>Melting_Curves/meltCurve_sp_P37198_NUP62_HUMAN_.pdf</t>
  </si>
  <si>
    <t>Melting_Curves/meltCurve_sp_P37235_HPCL1_HUMAN_.pdf</t>
  </si>
  <si>
    <t>Melting_Curves/meltCurve_sp_P37802_TAGL2_HUMAN_.pdf</t>
  </si>
  <si>
    <t>Melting_Curves/meltCurve_sp_P37837_TALDO_HUMAN_.pdf</t>
  </si>
  <si>
    <t>Melting_Curves/meltCurve_sp_P38117_ETFB_HUMAN_.pdf</t>
  </si>
  <si>
    <t>Melting_Curves/meltCurve_sp_P38159_RBMX_HUMAN_.pdf</t>
  </si>
  <si>
    <t>Melting_Curves/meltCurve_sp_P38432_COIL_HUMAN_.pdf</t>
  </si>
  <si>
    <t>Melting_Curves/meltCurve_sp_P38646_GRP75_HUMAN_.pdf</t>
  </si>
  <si>
    <t>Melting_Curves/meltCurve_sp_P38919_IF4A3_HUMAN_.pdf</t>
  </si>
  <si>
    <t>Melting_Curves/meltCurve_sp_P39019_RS19_HUMAN_.pdf</t>
  </si>
  <si>
    <t>Melting_Curves/meltCurve_sp_P39748_FEN1_HUMAN_.pdf</t>
  </si>
  <si>
    <t>Melting_Curves/meltCurve_sp_P40222_TXLNA_HUMAN_.pdf</t>
  </si>
  <si>
    <t>Melting_Curves/meltCurve_sp_P40227_TCPZ_HUMAN_.pdf</t>
  </si>
  <si>
    <t>Melting_Curves/meltCurve_sp_P40261_NNMT_HUMAN_.pdf</t>
  </si>
  <si>
    <t>Melting_Curves/meltCurve_sp_P40306_PSB10_HUMAN_.pdf</t>
  </si>
  <si>
    <t>Melting_Curves/meltCurve_sp_P40394_ADH7_HUMAN_.pdf</t>
  </si>
  <si>
    <t>Melting_Curves/meltCurve_sp_P40763_2_STAT3_HUMAN_.pdf</t>
  </si>
  <si>
    <t>Melting_Curves/meltCurve_sp_P40763_STAT3_HUMAN_.pdf</t>
  </si>
  <si>
    <t>Melting_Curves/meltCurve_sp_P40818_UBP8_HUMAN_.pdf</t>
  </si>
  <si>
    <t>Melting_Curves/meltCurve_sp_P40925_MDHC_HUMAN_.pdf</t>
  </si>
  <si>
    <t>Melting_Curves/meltCurve_sp_P40926_MDHM_HUMAN_.pdf</t>
  </si>
  <si>
    <t>Melting_Curves/meltCurve_sp_P40939_ECHA_HUMAN_.pdf</t>
  </si>
  <si>
    <t>Melting_Curves/meltCurve_sp_P41091_IF2G_HUMAN_.pdf</t>
  </si>
  <si>
    <t>Melting_Curves/meltCurve_sp_P41208_CETN2_HUMAN_.pdf</t>
  </si>
  <si>
    <t>Melting_Curves/meltCurve_sp_P41226_UBA7_HUMAN_.pdf</t>
  </si>
  <si>
    <t>Melting_Curves/meltCurve_sp_P41236_IPP2_HUMAN_.pdf</t>
  </si>
  <si>
    <t>Melting_Curves/meltCurve_sp_P41240_CSK_HUMAN_.pdf</t>
  </si>
  <si>
    <t>Melting_Curves/meltCurve_sp_P41250_SYG_HUMAN_.pdf</t>
  </si>
  <si>
    <t>Melting_Curves/meltCurve_sp_P41252_SYIC_HUMAN_.pdf</t>
  </si>
  <si>
    <t>Melting_Curves/meltCurve_sp_P41567_EIF1_HUMAN_.pdf</t>
  </si>
  <si>
    <t>Melting_Curves/meltCurve_sp_P41743_KPCI_HUMAN_.pdf</t>
  </si>
  <si>
    <t>Melting_Curves/meltCurve_sp_P42025_ACTY_HUMAN_.pdf</t>
  </si>
  <si>
    <t>Melting_Curves/meltCurve_sp_P42126_2_ECI1_HUMAN_.pdf</t>
  </si>
  <si>
    <t>Melting_Curves/meltCurve_sp_P42166_LAP2A_HUMAN_.pdf</t>
  </si>
  <si>
    <t>Melting_Curves/meltCurve_sp_P42167_LAP2B_HUMAN_.pdf</t>
  </si>
  <si>
    <t>Melting_Curves/meltCurve_sp_P42224_2_STAT1_HUMAN_.pdf</t>
  </si>
  <si>
    <t>Melting_Curves/meltCurve_sp_P42226_3_STAT6_HUMAN_.pdf</t>
  </si>
  <si>
    <t>Melting_Curves/meltCurve_sp_P42285_SK2L2_HUMAN_.pdf</t>
  </si>
  <si>
    <t>Melting_Curves/meltCurve_sp_P42330_AK1C3_HUMAN_.pdf</t>
  </si>
  <si>
    <t>Melting_Curves/meltCurve_sp_P42336_PK3CA_HUMAN_.pdf</t>
  </si>
  <si>
    <t>Melting_Curves/meltCurve_sp_P42338_PK3CB_HUMAN_.pdf</t>
  </si>
  <si>
    <t>Melting_Curves/meltCurve_sp_P42357_HUTH_HUMAN_.pdf</t>
  </si>
  <si>
    <t>Melting_Curves/meltCurve_sp_P42566_EPS15_HUMAN_.pdf</t>
  </si>
  <si>
    <t>Melting_Curves/meltCurve_sp_P42574_CASP3_HUMAN_.pdf</t>
  </si>
  <si>
    <t>Melting_Curves/meltCurve_sp_P42704_LPPRC_HUMAN_.pdf</t>
  </si>
  <si>
    <t>Melting_Curves/meltCurve_sp_P42765_THIM_HUMAN_.pdf</t>
  </si>
  <si>
    <t>Melting_Curves/meltCurve_sp_P42768_WASP_HUMAN_.pdf</t>
  </si>
  <si>
    <t>Melting_Curves/meltCurve_sp_P42773_CDN2C_HUMAN_.pdf</t>
  </si>
  <si>
    <t>Melting_Curves/meltCurve_sp_P42785_PCP_HUMAN_.pdf</t>
  </si>
  <si>
    <t>Melting_Curves/meltCurve_sp_P42858_HD_HUMAN_.pdf</t>
  </si>
  <si>
    <t>Melting_Curves/meltCurve_sp_P42898_MTHR_HUMAN_.pdf</t>
  </si>
  <si>
    <t>Melting_Curves/meltCurve_sp_P43034_LIS1_HUMAN_.pdf</t>
  </si>
  <si>
    <t>Melting_Curves/meltCurve_sp_P43155_2_CACP_HUMAN_.pdf</t>
  </si>
  <si>
    <t>Melting_Curves/meltCurve_sp_P43243_MATR3_HUMAN_.pdf</t>
  </si>
  <si>
    <t>Melting_Curves/meltCurve_sp_P43246_MSH2_HUMAN_.pdf</t>
  </si>
  <si>
    <t>Melting_Curves/meltCurve_sp_P43487_RANG_HUMAN_.pdf</t>
  </si>
  <si>
    <t>Melting_Curves/meltCurve_sp_P43490_NAMPT_HUMAN_.pdf</t>
  </si>
  <si>
    <t>Melting_Curves/meltCurve_sp_P43652_AFAM_HUMAN_.pdf</t>
  </si>
  <si>
    <t>Melting_Curves/meltCurve_sp_P43686_PRS6B_HUMAN_.pdf</t>
  </si>
  <si>
    <t>Melting_Curves/meltCurve_sp_P43694_GATA4_HUMAN_.pdf</t>
  </si>
  <si>
    <t>Melting_Curves/meltCurve_sp_P43897_EFTS_HUMAN_.pdf</t>
  </si>
  <si>
    <t>Melting_Curves/meltCurve_sp_P45381_ACY2_HUMAN_.pdf</t>
  </si>
  <si>
    <t>Melting_Curves/meltCurve_sp_P45954_ACDSB_HUMAN_.pdf</t>
  </si>
  <si>
    <t>Melting_Curves/meltCurve_sp_P45973_CBX5_HUMAN_.pdf</t>
  </si>
  <si>
    <t>Melting_Curves/meltCurve_sp_P45974_2_UBP5_HUMAN_.pdf</t>
  </si>
  <si>
    <t>Melting_Curves/meltCurve_sp_P45984_2_MK09_HUMAN_.pdf</t>
  </si>
  <si>
    <t>Melting_Curves/meltCurve_sp_P45985_MP2K4_HUMAN_.pdf</t>
  </si>
  <si>
    <t>Melting_Curves/meltCurve_sp_P46019_KPB2_HUMAN_.pdf</t>
  </si>
  <si>
    <t>Melting_Curves/meltCurve_sp_P46060_RAGP1_HUMAN_.pdf</t>
  </si>
  <si>
    <t>Melting_Curves/meltCurve_sp_P46063_RECQ1_HUMAN_.pdf</t>
  </si>
  <si>
    <t>Melting_Curves/meltCurve_sp_P46087_2_NOP2_HUMAN_.pdf</t>
  </si>
  <si>
    <t>Melting_Curves/meltCurve_sp_P46100_2_ATRX_HUMAN_.pdf</t>
  </si>
  <si>
    <t>Melting_Curves/meltCurve_sp_P46108_CRK_HUMAN_.pdf</t>
  </si>
  <si>
    <t>Melting_Curves/meltCurve_sp_P46109_CRKL_HUMAN_.pdf</t>
  </si>
  <si>
    <t>Melting_Curves/meltCurve_sp_P46199_IF2M_HUMAN_.pdf</t>
  </si>
  <si>
    <t>Melting_Curves/meltCurve_sp_P46527_CDN1B_HUMAN_.pdf</t>
  </si>
  <si>
    <t>Melting_Curves/meltCurve_sp_P46734_2_MP2K3_HUMAN_.pdf</t>
  </si>
  <si>
    <t>Melting_Curves/meltCurve_sp_P46736_2_BRCC3_HUMAN_.pdf</t>
  </si>
  <si>
    <t>Melting_Curves/meltCurve_sp_P46777_RL5_HUMAN_.pdf</t>
  </si>
  <si>
    <t>Melting_Curves/meltCurve_sp_P46781_RS9_HUMAN_.pdf</t>
  </si>
  <si>
    <t>Melting_Curves/meltCurve_sp_P46783_RS10_HUMAN_.pdf</t>
  </si>
  <si>
    <t>Melting_Curves/meltCurve_sp_P46926_GNPI1_HUMAN_.pdf</t>
  </si>
  <si>
    <t>Melting_Curves/meltCurve_sp_P46937_YAP1_HUMAN_.pdf</t>
  </si>
  <si>
    <t>Melting_Curves/meltCurve_sp_P46939_UTRO_HUMAN_.pdf</t>
  </si>
  <si>
    <t>Melting_Curves/meltCurve_sp_P46940_IQGA1_HUMAN_.pdf</t>
  </si>
  <si>
    <t>Melting_Curves/meltCurve_sp_P46952_3HAO_HUMAN_.pdf</t>
  </si>
  <si>
    <t>Melting_Curves/meltCurve_sp_P46976_2_GLYG_HUMAN_.pdf</t>
  </si>
  <si>
    <t>Melting_Curves/meltCurve_sp_P47224_MSS4_HUMAN_.pdf</t>
  </si>
  <si>
    <t>Melting_Curves/meltCurve_sp_P47755_CAZA2_HUMAN_.pdf</t>
  </si>
  <si>
    <t>Melting_Curves/meltCurve_sp_P47813_IF1AX_HUMAN_.pdf</t>
  </si>
  <si>
    <t>Melting_Curves/meltCurve_sp_P47897_SYQ_HUMAN_.pdf</t>
  </si>
  <si>
    <t>Melting_Curves/meltCurve_sp_P47914_RL29_HUMAN_.pdf</t>
  </si>
  <si>
    <t>Melting_Curves/meltCurve_sp_P47985_UCRI_HUMAN_.pdf</t>
  </si>
  <si>
    <t>Melting_Curves/meltCurve_sp_P47989_XDH_HUMAN_.pdf</t>
  </si>
  <si>
    <t>Melting_Curves/meltCurve_sp_P48059_LIMS1_HUMAN_.pdf</t>
  </si>
  <si>
    <t>Melting_Curves/meltCurve_sp_P48147_PPCE_HUMAN_.pdf</t>
  </si>
  <si>
    <t>Melting_Curves/meltCurve_sp_P48163_MAOX_HUMAN_.pdf</t>
  </si>
  <si>
    <t>Melting_Curves/meltCurve_sp_P48200_IREB2_HUMAN_.pdf</t>
  </si>
  <si>
    <t>Melting_Curves/meltCurve_sp_P48444_COPD_HUMAN_.pdf</t>
  </si>
  <si>
    <t>Melting_Curves/meltCurve_sp_P48449_3_ERG7_HUMAN_.pdf</t>
  </si>
  <si>
    <t>Melting_Curves/meltCurve_sp_P48506_GSH1_HUMAN_.pdf</t>
  </si>
  <si>
    <t>Melting_Curves/meltCurve_sp_P48507_GSH0_HUMAN_.pdf</t>
  </si>
  <si>
    <t>Melting_Curves/meltCurve_sp_P48634_PRC2A_HUMAN_.pdf</t>
  </si>
  <si>
    <t>Melting_Curves/meltCurve_sp_P48637_GSHB_HUMAN_.pdf</t>
  </si>
  <si>
    <t>Melting_Curves/meltCurve_sp_P48643_TCPE_HUMAN_.pdf</t>
  </si>
  <si>
    <t>Melting_Curves/meltCurve_sp_P48728_GCST_HUMAN_.pdf</t>
  </si>
  <si>
    <t>Melting_Curves/meltCurve_sp_P48730_2_KC1D_HUMAN_.pdf</t>
  </si>
  <si>
    <t>Melting_Curves/meltCurve_sp_P48735_IDHP_HUMAN_.pdf</t>
  </si>
  <si>
    <t>Melting_Curves/meltCurve_sp_P48739_PIPNB_HUMAN_.pdf</t>
  </si>
  <si>
    <t>Melting_Curves/meltCurve_sp_P49006_MRP_HUMAN_.pdf</t>
  </si>
  <si>
    <t>Melting_Curves/meltCurve_sp_P49189_AL9A1_HUMAN_.pdf</t>
  </si>
  <si>
    <t>Melting_Curves/meltCurve_sp_P49321_NASP_HUMAN_.pdf</t>
  </si>
  <si>
    <t>Melting_Curves/meltCurve_sp_P49326_FMO5_HUMAN_.pdf</t>
  </si>
  <si>
    <t>Melting_Curves/meltCurve_sp_P49327_FAS_HUMAN_.pdf</t>
  </si>
  <si>
    <t>Melting_Curves/meltCurve_sp_P49354_FNTA_HUMAN_.pdf</t>
  </si>
  <si>
    <t>Melting_Curves/meltCurve_sp_P49366_DHYS_HUMAN_.pdf</t>
  </si>
  <si>
    <t>Melting_Curves/meltCurve_sp_P49368_TCPG_HUMAN_.pdf</t>
  </si>
  <si>
    <t>Melting_Curves/meltCurve_sp_P49407_2_ARRB1_HUMAN_.pdf</t>
  </si>
  <si>
    <t>Melting_Curves/meltCurve_sp_P49411_EFTU_HUMAN_.pdf</t>
  </si>
  <si>
    <t>Melting_Curves/meltCurve_sp_P49419_2_AL7A1_HUMAN_.pdf</t>
  </si>
  <si>
    <t>Melting_Curves/meltCurve_sp_P49427_UB2R1_HUMAN_.pdf</t>
  </si>
  <si>
    <t>Melting_Curves/meltCurve_sp_P49441_INPP_HUMAN_.pdf</t>
  </si>
  <si>
    <t>Melting_Curves/meltCurve_sp_P49448_DHE4_HUMAN_.pdf</t>
  </si>
  <si>
    <t>Melting_Curves/meltCurve_sp_P49458_SRP09_HUMAN_.pdf</t>
  </si>
  <si>
    <t>Melting_Curves/meltCurve_sp_P49459_UBE2A_HUMAN_.pdf</t>
  </si>
  <si>
    <t>Melting_Curves/meltCurve_sp_P49588_SYAC_HUMAN_.pdf</t>
  </si>
  <si>
    <t>Melting_Curves/meltCurve_sp_P49589_3_SYCC_HUMAN_.pdf</t>
  </si>
  <si>
    <t>Melting_Curves/meltCurve_sp_P49591_SYSC_HUMAN_.pdf</t>
  </si>
  <si>
    <t>Melting_Curves/meltCurve_sp_P49638_TTPA_HUMAN_.pdf</t>
  </si>
  <si>
    <t>Melting_Curves/meltCurve_sp_P49662_CASP4_HUMAN_.pdf</t>
  </si>
  <si>
    <t>Melting_Curves/meltCurve_sp_P49720_PSB3_HUMAN_.pdf</t>
  </si>
  <si>
    <t>Melting_Curves/meltCurve_sp_P49721_PSB2_HUMAN_.pdf</t>
  </si>
  <si>
    <t>Melting_Curves/meltCurve_sp_P49736_MCM2_HUMAN_.pdf</t>
  </si>
  <si>
    <t>Melting_Curves/meltCurve_sp_P49748_ACADV_HUMAN_.pdf</t>
  </si>
  <si>
    <t>Melting_Curves/meltCurve_sp_P49750_4_YLPM1_HUMAN_.pdf</t>
  </si>
  <si>
    <t>Melting_Curves/meltCurve_sp_P49756_RBM25_HUMAN_.pdf</t>
  </si>
  <si>
    <t>Melting_Curves/meltCurve_sp_P49757_4_NUMB_HUMAN_.pdf</t>
  </si>
  <si>
    <t>Melting_Curves/meltCurve_sp_P49770_EI2BB_HUMAN_.pdf</t>
  </si>
  <si>
    <t>Melting_Curves/meltCurve_sp_P49773_HINT1_HUMAN_.pdf</t>
  </si>
  <si>
    <t>Melting_Curves/meltCurve_sp_P49789_FHIT_HUMAN_.pdf</t>
  </si>
  <si>
    <t>Melting_Curves/meltCurve_sp_P49790_NU153_HUMAN_.pdf</t>
  </si>
  <si>
    <t>Melting_Curves/meltCurve_sp_P49792_RBP2_HUMAN_.pdf</t>
  </si>
  <si>
    <t>Melting_Curves/meltCurve_sp_P49821_2_NDUV1_HUMAN_.pdf</t>
  </si>
  <si>
    <t>Melting_Curves/meltCurve_sp_P49840_GSK3A_HUMAN_.pdf</t>
  </si>
  <si>
    <t>Melting_Curves/meltCurve_sp_P49841_GSK3B_HUMAN_.pdf</t>
  </si>
  <si>
    <t>Melting_Curves/meltCurve_sp_P49888_ST1E1_HUMAN_.pdf</t>
  </si>
  <si>
    <t>Melting_Curves/meltCurve_sp_P49902_5NTC_HUMAN_.pdf</t>
  </si>
  <si>
    <t>Melting_Curves/meltCurve_sp_P49903_SPS1_HUMAN_.pdf</t>
  </si>
  <si>
    <t>Melting_Curves/meltCurve_sp_P49914_MTHFS_HUMAN_.pdf</t>
  </si>
  <si>
    <t>Melting_Curves/meltCurve_sp_P49959_MRE11_HUMAN_.pdf</t>
  </si>
  <si>
    <t>Melting_Curves/meltCurve_sp_P50053_2_KHK_HUMAN_.pdf</t>
  </si>
  <si>
    <t>Melting_Curves/meltCurve_sp_P50053_KHK_HUMAN_.pdf</t>
  </si>
  <si>
    <t>Melting_Curves/meltCurve_sp_P50135_HNMT_HUMAN_.pdf</t>
  </si>
  <si>
    <t>Melting_Curves/meltCurve_sp_P50225_ST1A1_HUMAN_.pdf</t>
  </si>
  <si>
    <t>Melting_Curves/meltCurve_sp_P50226_ST1A2_HUMAN_.pdf</t>
  </si>
  <si>
    <t>Melting_Curves/meltCurve_sp_P50395_GDIB_HUMAN_.pdf</t>
  </si>
  <si>
    <t>Melting_Curves/meltCurve_sp_P50402_EMD_HUMAN_.pdf</t>
  </si>
  <si>
    <t>Melting_Curves/meltCurve_sp_P50440_GATM_HUMAN_.pdf</t>
  </si>
  <si>
    <t>Melting_Curves/meltCurve_sp_P50452_SPB8_HUMAN_.pdf</t>
  </si>
  <si>
    <t>Melting_Curves/meltCurve_sp_P50453_SPB9_HUMAN_.pdf</t>
  </si>
  <si>
    <t>Melting_Curves/meltCurve_sp_P50454_SERPH_HUMAN_.pdf</t>
  </si>
  <si>
    <t>Melting_Curves/meltCurve_sp_P50502_F10A1_HUMAN_.pdf</t>
  </si>
  <si>
    <t>Melting_Curves/meltCurve_sp_P50542_2_PEX5_HUMAN_.pdf</t>
  </si>
  <si>
    <t>Melting_Curves/meltCurve_sp_P50552_VASP_HUMAN_.pdf</t>
  </si>
  <si>
    <t>Melting_Curves/meltCurve_sp_P50570_2_DYN2_HUMAN_.pdf</t>
  </si>
  <si>
    <t>Melting_Curves/meltCurve_sp_P50583_AP4A_HUMAN_.pdf</t>
  </si>
  <si>
    <t>Melting_Curves/meltCurve_sp_P50747_BPL1_HUMAN_.pdf</t>
  </si>
  <si>
    <t>Melting_Curves/meltCurve_sp_P50748_KNTC1_HUMAN_.pdf</t>
  </si>
  <si>
    <t>Melting_Curves/meltCurve_sp_P50897_PPT1_HUMAN_.pdf</t>
  </si>
  <si>
    <t>Melting_Curves/meltCurve_sp_P50990_TCPQ_HUMAN_.pdf</t>
  </si>
  <si>
    <t>Melting_Curves/meltCurve_sp_P50991_TCPD_HUMAN_.pdf</t>
  </si>
  <si>
    <t>Melting_Curves/meltCurve_sp_P51114_3_FXR1_HUMAN_.pdf</t>
  </si>
  <si>
    <t>Melting_Curves/meltCurve_sp_P51116_FXR2_HUMAN_.pdf</t>
  </si>
  <si>
    <t>Melting_Curves/meltCurve_sp_P51148_RAB5C_HUMAN_.pdf</t>
  </si>
  <si>
    <t>Melting_Curves/meltCurve_sp_P51149_RAB7A_HUMAN_.pdf</t>
  </si>
  <si>
    <t>Melting_Curves/meltCurve_sp_P51151_RAB9A_HUMAN_.pdf</t>
  </si>
  <si>
    <t>Melting_Curves/meltCurve_sp_P51153_RAB13_HUMAN_.pdf</t>
  </si>
  <si>
    <t>Melting_Curves/meltCurve_sp_P51398_2_RT29_HUMAN_.pdf</t>
  </si>
  <si>
    <t>Melting_Curves/meltCurve_sp_P51452_DUS3_HUMAN_.pdf</t>
  </si>
  <si>
    <t>Melting_Curves/meltCurve_sp_P51532_5_SMCA4_HUMAN_.pdf</t>
  </si>
  <si>
    <t>Melting_Curves/meltCurve_sp_P51553_IDH3G_HUMAN_.pdf</t>
  </si>
  <si>
    <t>Melting_Curves/meltCurve_sp_P51570_GALK1_HUMAN_.pdf</t>
  </si>
  <si>
    <t>Melting_Curves/meltCurve_sp_P51580_TPMT_HUMAN_.pdf</t>
  </si>
  <si>
    <t>Melting_Curves/meltCurve_sp_P51608_MECP2_HUMAN_.pdf</t>
  </si>
  <si>
    <t>Melting_Curves/meltCurve_sp_P51610_4_HCFC1_HUMAN_.pdf</t>
  </si>
  <si>
    <t>Melting_Curves/meltCurve_sp_P51649_SSDH_HUMAN_.pdf</t>
  </si>
  <si>
    <t>Melting_Curves/meltCurve_sp_P51659_DHB4_HUMAN_.pdf</t>
  </si>
  <si>
    <t>Melting_Curves/meltCurve_sp_P51665_PSD7_HUMAN_.pdf</t>
  </si>
  <si>
    <t>Melting_Curves/meltCurve_sp_P51687_SUOX_HUMAN_.pdf</t>
  </si>
  <si>
    <t>Melting_Curves/meltCurve_sp_P51688_SPHM_HUMAN_.pdf</t>
  </si>
  <si>
    <t>Melting_Curves/meltCurve_sp_P51692_STA5B_HUMAN_.pdf</t>
  </si>
  <si>
    <t>Melting_Curves/meltCurve_sp_P51857_AK1D1_HUMAN_.pdf</t>
  </si>
  <si>
    <t>Melting_Curves/meltCurve_sp_P51858_HDGF_HUMAN_.pdf</t>
  </si>
  <si>
    <t>Melting_Curves/meltCurve_sp_P51991_ROA3_HUMAN_.pdf</t>
  </si>
  <si>
    <t>Melting_Curves/meltCurve_sp_P52272_2_HNRPM_HUMAN_.pdf</t>
  </si>
  <si>
    <t>Melting_Curves/meltCurve_sp_P52294_IMA1_HUMAN_.pdf</t>
  </si>
  <si>
    <t>Melting_Curves/meltCurve_sp_P52306_GDS1_HUMAN_.pdf</t>
  </si>
  <si>
    <t>Melting_Curves/meltCurve_sp_P52594_2_AGFG1_HUMAN_.pdf</t>
  </si>
  <si>
    <t>Melting_Curves/meltCurve_sp_P52597_HNRPF_HUMAN_.pdf</t>
  </si>
  <si>
    <t>Melting_Curves/meltCurve_sp_P52630_4_STAT2_HUMAN_.pdf</t>
  </si>
  <si>
    <t>Melting_Curves/meltCurve_sp_P52735_3_VAV2_HUMAN_.pdf</t>
  </si>
  <si>
    <t>Melting_Curves/meltCurve_sp_P52758_UK114_HUMAN_.pdf</t>
  </si>
  <si>
    <t>Melting_Curves/meltCurve_sp_P52788_SPSY_HUMAN_.pdf</t>
  </si>
  <si>
    <t>Melting_Curves/meltCurve_sp_P52790_HXK3_HUMAN_.pdf</t>
  </si>
  <si>
    <t>Melting_Curves/meltCurve_sp_P52815_RM12_HUMAN_.pdf</t>
  </si>
  <si>
    <t>Melting_Curves/meltCurve_sp_P52888_THOP1_HUMAN_.pdf</t>
  </si>
  <si>
    <t>Melting_Curves/meltCurve_sp_P52907_CAZA1_HUMAN_.pdf</t>
  </si>
  <si>
    <t>Melting_Curves/meltCurve_sp_P52943_CRIP2_HUMAN_.pdf</t>
  </si>
  <si>
    <t>Melting_Curves/meltCurve_sp_P53004_BIEA_HUMAN_.pdf</t>
  </si>
  <si>
    <t>Melting_Curves/meltCurve_sp_P53367_ARFP1_HUMAN_.pdf</t>
  </si>
  <si>
    <t>Melting_Curves/meltCurve_sp_P53370_NUDT6_HUMAN_.pdf</t>
  </si>
  <si>
    <t>Melting_Curves/meltCurve_sp_P53384_2_NUBP1_HUMAN_.pdf</t>
  </si>
  <si>
    <t>Melting_Curves/meltCurve_sp_P53396_ACLY_HUMAN_.pdf</t>
  </si>
  <si>
    <t>Melting_Curves/meltCurve_sp_P53597_SUCA_HUMAN_.pdf</t>
  </si>
  <si>
    <t>Melting_Curves/meltCurve_sp_P53602_MVD1_HUMAN_.pdf</t>
  </si>
  <si>
    <t>Melting_Curves/meltCurve_sp_P53609_PGTB1_HUMAN_.pdf</t>
  </si>
  <si>
    <t>Melting_Curves/meltCurve_sp_P53611_PGTB2_HUMAN_.pdf</t>
  </si>
  <si>
    <t>Melting_Curves/meltCurve_sp_P53618_COPB_HUMAN_.pdf</t>
  </si>
  <si>
    <t>Melting_Curves/meltCurve_sp_P53621_COPA_HUMAN_.pdf</t>
  </si>
  <si>
    <t>Melting_Curves/meltCurve_sp_P53634_CATC_HUMAN_.pdf</t>
  </si>
  <si>
    <t>Melting_Curves/meltCurve_sp_P53675_2_CLH2_HUMAN_.pdf</t>
  </si>
  <si>
    <t>Melting_Curves/meltCurve_sp_P53680_AP2S1_HUMAN_.pdf</t>
  </si>
  <si>
    <t>Melting_Curves/meltCurve_sp_P53999_TCP4_HUMAN_.pdf</t>
  </si>
  <si>
    <t>Melting_Curves/meltCurve_sp_P54136_SYRC_HUMAN_.pdf</t>
  </si>
  <si>
    <t>Melting_Curves/meltCurve_sp_P54278_4_PMS2_HUMAN_.pdf</t>
  </si>
  <si>
    <t>Melting_Curves/meltCurve_sp_P54577_SYYC_HUMAN_.pdf</t>
  </si>
  <si>
    <t>Melting_Curves/meltCurve_sp_P54578_2_UBP14_HUMAN_.pdf</t>
  </si>
  <si>
    <t>Melting_Curves/meltCurve_sp_P54619_2_AAKG1_HUMAN_.pdf</t>
  </si>
  <si>
    <t>Melting_Curves/meltCurve_sp_P54727_RD23B_HUMAN_.pdf</t>
  </si>
  <si>
    <t>Melting_Curves/meltCurve_sp_P54802_ANAG_HUMAN_.pdf</t>
  </si>
  <si>
    <t>Melting_Curves/meltCurve_sp_P54819_5_KAD2_HUMAN_.pdf</t>
  </si>
  <si>
    <t>Melting_Curves/meltCurve_sp_P54840_GYS2_HUMAN_.pdf</t>
  </si>
  <si>
    <t>Melting_Curves/meltCurve_sp_P54868_HMCS2_HUMAN_.pdf</t>
  </si>
  <si>
    <t>Melting_Curves/meltCurve_sp_P54886_2_P5CS_HUMAN_.pdf</t>
  </si>
  <si>
    <t>Melting_Curves/meltCurve_sp_P54920_SNAA_HUMAN_.pdf</t>
  </si>
  <si>
    <t>Melting_Curves/meltCurve_sp_P55008_AIF1_HUMAN_.pdf</t>
  </si>
  <si>
    <t>Melting_Curves/meltCurve_sp_P55010_IF5_HUMAN_.pdf</t>
  </si>
  <si>
    <t>Melting_Curves/meltCurve_sp_P55036_PSMD4_HUMAN_.pdf</t>
  </si>
  <si>
    <t>Melting_Curves/meltCurve_sp_P55039_DRG2_HUMAN_.pdf</t>
  </si>
  <si>
    <t>Melting_Curves/meltCurve_sp_P55058_PLTP_HUMAN_.pdf</t>
  </si>
  <si>
    <t>Melting_Curves/meltCurve_sp_P55060_3_XPO2_HUMAN_.pdf</t>
  </si>
  <si>
    <t>Melting_Curves/meltCurve_sp_P55072_TERA_HUMAN_.pdf</t>
  </si>
  <si>
    <t>Melting_Curves/meltCurve_sp_P55081_MFAP1_HUMAN_.pdf</t>
  </si>
  <si>
    <t>Melting_Curves/meltCurve_sp_P55145_MANF_HUMAN_.pdf</t>
  </si>
  <si>
    <t>Melting_Curves/meltCurve_sp_P55157_MTP_HUMAN_.pdf</t>
  </si>
  <si>
    <t>Melting_Curves/meltCurve_sp_P55196_AFAD_HUMAN_.pdf</t>
  </si>
  <si>
    <t>Melting_Curves/meltCurve_sp_P55210_CASP7_HUMAN_.pdf</t>
  </si>
  <si>
    <t>Melting_Curves/meltCurve_sp_P55212_CASP6_HUMAN_.pdf</t>
  </si>
  <si>
    <t>Melting_Curves/meltCurve_sp_P55263_ADK_HUMAN_.pdf</t>
  </si>
  <si>
    <t>Melting_Curves/meltCurve_sp_P55265_5_DSRAD_HUMAN_.pdf</t>
  </si>
  <si>
    <t>Melting_Curves/meltCurve_sp_P55268_LAMB2_HUMAN_.pdf</t>
  </si>
  <si>
    <t>Melting_Curves/meltCurve_sp_P55735_SEC13_HUMAN_.pdf</t>
  </si>
  <si>
    <t>Melting_Curves/meltCurve_sp_P55769_NH2L1_HUMAN_.pdf</t>
  </si>
  <si>
    <t>Melting_Curves/meltCurve_sp_P55795_HNRH2_HUMAN_.pdf</t>
  </si>
  <si>
    <t>Melting_Curves/meltCurve_sp_P55854_SUMO3_HUMAN_.pdf</t>
  </si>
  <si>
    <t>Melting_Curves/meltCurve_sp_P55884_EIF3B_HUMAN_.pdf</t>
  </si>
  <si>
    <t>Melting_Curves/meltCurve_sp_P56181_2_NDUV3_HUMAN_.pdf</t>
  </si>
  <si>
    <t>Melting_Curves/meltCurve_sp_P56192_SYMC_HUMAN_.pdf</t>
  </si>
  <si>
    <t>Melting_Curves/meltCurve_sp_P56199_ITA1_HUMAN_.pdf</t>
  </si>
  <si>
    <t>Melting_Curves/meltCurve_sp_P56211_2_ARP19_HUMAN_.pdf</t>
  </si>
  <si>
    <t>Melting_Curves/meltCurve_sp_P56277_CMC4_HUMAN_.pdf</t>
  </si>
  <si>
    <t>Melting_Curves/meltCurve_sp_P56470_LEG4_HUMAN_.pdf</t>
  </si>
  <si>
    <t>Melting_Curves/meltCurve_sp_P56537_IF6_HUMAN_.pdf</t>
  </si>
  <si>
    <t>Melting_Curves/meltCurve_sp_P57076_CU059_HUMAN_.pdf</t>
  </si>
  <si>
    <t>Melting_Curves/meltCurve_sp_P57737_2_CORO7_HUMAN_.pdf</t>
  </si>
  <si>
    <t>Melting_Curves/meltCurve_sp_P57740_NU107_HUMAN_.pdf</t>
  </si>
  <si>
    <t>Melting_Curves/meltCurve_sp_P57764_GSDMD_HUMAN_.pdf</t>
  </si>
  <si>
    <t>Melting_Curves/meltCurve_sp_P57772_SELB_HUMAN_.pdf</t>
  </si>
  <si>
    <t>Melting_Curves/meltCurve_sp_P58546_MTPN_HUMAN_.pdf</t>
  </si>
  <si>
    <t>Melting_Curves/meltCurve_sp_P59666_DEF3_HUMAN_.pdf</t>
  </si>
  <si>
    <t>Melting_Curves/meltCurve_sp_P59998_ARPC4_HUMAN_.pdf</t>
  </si>
  <si>
    <t>Melting_Curves/meltCurve_sp_P60174_1_TPIS_HUMAN_.pdf</t>
  </si>
  <si>
    <t>Melting_Curves/meltCurve_sp_P60228_EIF3E_HUMAN_.pdf</t>
  </si>
  <si>
    <t>Melting_Curves/meltCurve_sp_P60468_SC61B_HUMAN_.pdf</t>
  </si>
  <si>
    <t>Melting_Curves/meltCurve_sp_P60510_PP4C_HUMAN_.pdf</t>
  </si>
  <si>
    <t>Melting_Curves/meltCurve_sp_P60763_RAC3_HUMAN_.pdf</t>
  </si>
  <si>
    <t>Melting_Curves/meltCurve_sp_P60842_IF4A1_HUMAN_.pdf</t>
  </si>
  <si>
    <t>Melting_Curves/meltCurve_sp_P60866_RS20_HUMAN_.pdf</t>
  </si>
  <si>
    <t>Melting_Curves/meltCurve_sp_P60891_PRPS1_HUMAN_.pdf</t>
  </si>
  <si>
    <t>Melting_Curves/meltCurve_sp_P60900_PSA6_HUMAN_.pdf</t>
  </si>
  <si>
    <t>Melting_Curves/meltCurve_sp_P60953_CDC42_HUMAN_.pdf</t>
  </si>
  <si>
    <t>Melting_Curves/meltCurve_sp_P60981_DEST_HUMAN_.pdf</t>
  </si>
  <si>
    <t>Melting_Curves/meltCurve_sp_P60983_GMFB_HUMAN_.pdf</t>
  </si>
  <si>
    <t>Melting_Curves/meltCurve_sp_P61006_RAB8A_HUMAN_.pdf</t>
  </si>
  <si>
    <t>Melting_Curves/meltCurve_sp_P61011_2_SRP54_HUMAN_.pdf</t>
  </si>
  <si>
    <t>Melting_Curves/meltCurve_sp_P61019_RAB2A_HUMAN_.pdf</t>
  </si>
  <si>
    <t>Melting_Curves/meltCurve_sp_P61020_RAB5B_HUMAN_.pdf</t>
  </si>
  <si>
    <t>Melting_Curves/meltCurve_sp_P61026_RAB10_HUMAN_.pdf</t>
  </si>
  <si>
    <t>Melting_Curves/meltCurve_sp_P61077_UB2D3_HUMAN_.pdf</t>
  </si>
  <si>
    <t>Melting_Curves/meltCurve_sp_P61081_UBC12_HUMAN_.pdf</t>
  </si>
  <si>
    <t>Melting_Curves/meltCurve_sp_P61086_UBE2K_HUMAN_.pdf</t>
  </si>
  <si>
    <t>Melting_Curves/meltCurve_sp_P61088_UBE2N_HUMAN_.pdf</t>
  </si>
  <si>
    <t>Melting_Curves/meltCurve_sp_P61106_RAB14_HUMAN_.pdf</t>
  </si>
  <si>
    <t>Melting_Curves/meltCurve_sp_P61158_ARP3_HUMAN_.pdf</t>
  </si>
  <si>
    <t>Melting_Curves/meltCurve_sp_P61160_ARP2_HUMAN_.pdf</t>
  </si>
  <si>
    <t>Melting_Curves/meltCurve_sp_P61163_ACTZ_HUMAN_.pdf</t>
  </si>
  <si>
    <t>Melting_Curves/meltCurve_sp_P61201_CSN2_HUMAN_.pdf</t>
  </si>
  <si>
    <t>Melting_Curves/meltCurve_sp_P61221_ABCE1_HUMAN_.pdf</t>
  </si>
  <si>
    <t>Melting_Curves/meltCurve_sp_P61224_3_RAP1B_HUMAN_.pdf</t>
  </si>
  <si>
    <t>Melting_Curves/meltCurve_sp_P61247_RS3A_HUMAN_.pdf</t>
  </si>
  <si>
    <t>Melting_Curves/meltCurve_sp_P61289_PSME3_HUMAN_.pdf</t>
  </si>
  <si>
    <t>Melting_Curves/meltCurve_sp_P61326_MGN_HUMAN_.pdf</t>
  </si>
  <si>
    <t>Melting_Curves/meltCurve_sp_P61353_RL27_HUMAN_.pdf</t>
  </si>
  <si>
    <t>Melting_Curves/meltCurve_sp_P61457_PHS_HUMAN_.pdf</t>
  </si>
  <si>
    <t>Melting_Curves/meltCurve_sp_P61586_RHOA_HUMAN_.pdf</t>
  </si>
  <si>
    <t>Melting_Curves/meltCurve_sp_P61604_CH10_HUMAN_.pdf</t>
  </si>
  <si>
    <t>Melting_Curves/meltCurve_sp_P61758_PFD3_HUMAN_.pdf</t>
  </si>
  <si>
    <t>Melting_Curves/meltCurve_sp_P61923_COPZ1_HUMAN_.pdf</t>
  </si>
  <si>
    <t>Melting_Curves/meltCurve_sp_P61956_2_SUMO2_HUMAN_.pdf</t>
  </si>
  <si>
    <t>Melting_Curves/meltCurve_sp_P61964_WDR5_HUMAN_.pdf</t>
  </si>
  <si>
    <t>Melting_Curves/meltCurve_sp_P61966_AP1S1_HUMAN_.pdf</t>
  </si>
  <si>
    <t>Melting_Curves/meltCurve_sp_P61970_NTF2_HUMAN_.pdf</t>
  </si>
  <si>
    <t>Melting_Curves/meltCurve_sp_P61978_3_HNRPK_HUMAN_.pdf</t>
  </si>
  <si>
    <t>Melting_Curves/meltCurve_sp_P61981_1433G_HUMAN_.pdf</t>
  </si>
  <si>
    <t>Melting_Curves/meltCurve_sp_P62070_RRAS2_HUMAN_.pdf</t>
  </si>
  <si>
    <t>Melting_Curves/meltCurve_sp_P62072_TIM10_HUMAN_.pdf</t>
  </si>
  <si>
    <t>Melting_Curves/meltCurve_sp_P62136_PP1A_HUMAN_.pdf</t>
  </si>
  <si>
    <t>Melting_Curves/meltCurve_sp_P62140_PP1B_HUMAN_.pdf</t>
  </si>
  <si>
    <t>Melting_Curves/meltCurve_sp_P62158_CALM_HUMAN_.pdf</t>
  </si>
  <si>
    <t>Melting_Curves/meltCurve_sp_P62191_PRS4_HUMAN_.pdf</t>
  </si>
  <si>
    <t>Melting_Curves/meltCurve_sp_P62195_2_PRS8_HUMAN_.pdf</t>
  </si>
  <si>
    <t>Melting_Curves/meltCurve_sp_P62241_RS8_HUMAN_.pdf</t>
  </si>
  <si>
    <t>Melting_Curves/meltCurve_sp_P62258_1433E_HUMAN_.pdf</t>
  </si>
  <si>
    <t>Melting_Curves/meltCurve_sp_P62263_RS14_HUMAN_.pdf</t>
  </si>
  <si>
    <t>Melting_Curves/meltCurve_sp_P62269_RS18_HUMAN_.pdf</t>
  </si>
  <si>
    <t>Melting_Curves/meltCurve_sp_P62277_RS13_HUMAN_.pdf</t>
  </si>
  <si>
    <t>Melting_Curves/meltCurve_sp_P62280_RS11_HUMAN_.pdf</t>
  </si>
  <si>
    <t>Melting_Curves/meltCurve_sp_P62304_RUXE_HUMAN_.pdf</t>
  </si>
  <si>
    <t>Melting_Curves/meltCurve_sp_P62308_RUXG_HUMAN_.pdf</t>
  </si>
  <si>
    <t>Melting_Curves/meltCurve_sp_P62310_LSM3_HUMAN_.pdf</t>
  </si>
  <si>
    <t>Melting_Curves/meltCurve_sp_P62312_LSM6_HUMAN_.pdf</t>
  </si>
  <si>
    <t>Melting_Curves/meltCurve_sp_P62316_SMD2_HUMAN_.pdf</t>
  </si>
  <si>
    <t>Melting_Curves/meltCurve_sp_P62328_TYB4_HUMAN_.pdf</t>
  </si>
  <si>
    <t>Melting_Curves/meltCurve_sp_P62330_ARF6_HUMAN_.pdf</t>
  </si>
  <si>
    <t>Melting_Curves/meltCurve_sp_P62333_PRS10_HUMAN_.pdf</t>
  </si>
  <si>
    <t>Melting_Curves/meltCurve_sp_P62633_2_CNBP_HUMAN_.pdf</t>
  </si>
  <si>
    <t>Melting_Curves/meltCurve_sp_P62701_RS4X_HUMAN_.pdf</t>
  </si>
  <si>
    <t>Melting_Curves/meltCurve_sp_P62714_PP2AB_HUMAN_.pdf</t>
  </si>
  <si>
    <t>Melting_Curves/meltCurve_sp_P62750_RL23A_HUMAN_.pdf</t>
  </si>
  <si>
    <t>Melting_Curves/meltCurve_sp_P62753_RS6_HUMAN_.pdf</t>
  </si>
  <si>
    <t>Melting_Curves/meltCurve_sp_P62760_VISL1_HUMAN_.pdf</t>
  </si>
  <si>
    <t>Melting_Curves/meltCurve_sp_P62805_H4_HUMAN_.pdf</t>
  </si>
  <si>
    <t>Melting_Curves/meltCurve_sp_P62820_RAB1A_HUMAN_.pdf</t>
  </si>
  <si>
    <t>Melting_Curves/meltCurve_sp_P62826_RAN_HUMAN_.pdf</t>
  </si>
  <si>
    <t>Melting_Curves/meltCurve_sp_P62837_UB2D2_HUMAN_.pdf</t>
  </si>
  <si>
    <t>Melting_Curves/meltCurve_sp_P62857_RS28_HUMAN_.pdf</t>
  </si>
  <si>
    <t>Melting_Curves/meltCurve_sp_P62942_FKB1A_HUMAN_.pdf</t>
  </si>
  <si>
    <t>Melting_Curves/meltCurve_sp_P62993_GRB2_HUMAN_.pdf</t>
  </si>
  <si>
    <t>Melting_Curves/meltCurve_sp_P62995_3_TRA2B_HUMAN_.pdf</t>
  </si>
  <si>
    <t>Melting_Curves/meltCurve_sp_P63000_RAC1_HUMAN_.pdf</t>
  </si>
  <si>
    <t>Melting_Curves/meltCurve_sp_P63010_AP2B1_HUMAN_.pdf</t>
  </si>
  <si>
    <t>Melting_Curves/meltCurve_sp_P63104_1433Z_HUMAN_.pdf</t>
  </si>
  <si>
    <t>Melting_Curves/meltCurve_sp_P63151_2ABA_HUMAN_.pdf</t>
  </si>
  <si>
    <t>Melting_Curves/meltCurve_sp_P63167_DYL1_HUMAN_.pdf</t>
  </si>
  <si>
    <t>Melting_Curves/meltCurve_sp_P63173_RL38_HUMAN_.pdf</t>
  </si>
  <si>
    <t>Melting_Curves/meltCurve_sp_P63244_GBLP_HUMAN_.pdf</t>
  </si>
  <si>
    <t>Melting_Curves/meltCurve_sp_P63261_ACTG_HUMAN_.pdf</t>
  </si>
  <si>
    <t>Melting_Curves/meltCurve_sp_P63302_SELW_HUMAN_.pdf</t>
  </si>
  <si>
    <t>Melting_Curves/meltCurve_sp_P63313_TYB10_HUMAN_.pdf</t>
  </si>
  <si>
    <t>Melting_Curves/meltCurve_sp_P67775_PP2AA_HUMAN_.pdf</t>
  </si>
  <si>
    <t>Melting_Curves/meltCurve_sp_P67809_YBOX1_HUMAN_.pdf</t>
  </si>
  <si>
    <t>Melting_Curves/meltCurve_sp_P67870_CSK2B_HUMAN_.pdf</t>
  </si>
  <si>
    <t>Melting_Curves/meltCurve_sp_P67936_TPM4_HUMAN_.pdf</t>
  </si>
  <si>
    <t>Melting_Curves/meltCurve_sp_P68036_UB2L3_HUMAN_.pdf</t>
  </si>
  <si>
    <t>Melting_Curves/meltCurve_sp_P68133_ACTS_HUMAN_.pdf</t>
  </si>
  <si>
    <t>Melting_Curves/meltCurve_sp_P68363_TBA1B_HUMAN_.pdf</t>
  </si>
  <si>
    <t>Melting_Curves/meltCurve_sp_P68371_TBB4B_HUMAN_.pdf</t>
  </si>
  <si>
    <t>Melting_Curves/meltCurve_sp_P68402_PA1B2_HUMAN_.pdf</t>
  </si>
  <si>
    <t>Melting_Curves/meltCurve_sp_P78314_3BP2_HUMAN_.pdf</t>
  </si>
  <si>
    <t>Melting_Curves/meltCurve_sp_P78318_IGBP1_HUMAN_.pdf</t>
  </si>
  <si>
    <t>Melting_Curves/meltCurve_sp_P78329_CP4F2_HUMAN_.pdf</t>
  </si>
  <si>
    <t>Melting_Curves/meltCurve_sp_P78347_2_GTF2I_HUMAN_.pdf</t>
  </si>
  <si>
    <t>Melting_Curves/meltCurve_sp_P78371_TCPB_HUMAN_.pdf</t>
  </si>
  <si>
    <t>Melting_Curves/meltCurve_sp_P78406_RAE1L_HUMAN_.pdf</t>
  </si>
  <si>
    <t>Melting_Curves/meltCurve_sp_P78417_GSTO1_HUMAN_.pdf</t>
  </si>
  <si>
    <t>Melting_Curves/meltCurve_sp_P78524_ST5_HUMAN_.pdf</t>
  </si>
  <si>
    <t>Melting_Curves/meltCurve_sp_P78527_PRKDC_HUMAN_.pdf</t>
  </si>
  <si>
    <t>Melting_Curves/meltCurve_sp_P78560_CRADD_HUMAN_.pdf</t>
  </si>
  <si>
    <t>Melting_Curves/meltCurve_sp_P80188_2_NGAL_HUMAN_.pdf</t>
  </si>
  <si>
    <t>Melting_Curves/meltCurve_sp_P80217_IN35_HUMAN_.pdf</t>
  </si>
  <si>
    <t>Melting_Curves/meltCurve_sp_P80294_MT1H_HUMAN_.pdf</t>
  </si>
  <si>
    <t>Melting_Curves/meltCurve_sp_P80303_2_NUCB2_HUMAN_.pdf</t>
  </si>
  <si>
    <t>Melting_Curves/meltCurve_sp_P80404_GABT_HUMAN_.pdf</t>
  </si>
  <si>
    <t>Melting_Curves/meltCurve_sp_P80723_BASP1_HUMAN_.pdf</t>
  </si>
  <si>
    <t>Melting_Curves/meltCurve_sp_P81605_DCD_HUMAN_.pdf</t>
  </si>
  <si>
    <t>Melting_Curves/meltCurve_sp_P82094_TMF1_HUMAN_.pdf</t>
  </si>
  <si>
    <t>Melting_Curves/meltCurve_sp_P82673_2_RT35_HUMAN_.pdf</t>
  </si>
  <si>
    <t>Melting_Curves/meltCurve_sp_P82675_RT05_HUMAN_.pdf</t>
  </si>
  <si>
    <t>Melting_Curves/meltCurve_sp_P82909_RT36_HUMAN_.pdf</t>
  </si>
  <si>
    <t>Melting_Curves/meltCurve_sp_P82912_3_RT11_HUMAN_.pdf</t>
  </si>
  <si>
    <t>Melting_Curves/meltCurve_sp_P82914_RT15_HUMAN_.pdf</t>
  </si>
  <si>
    <t>Melting_Curves/meltCurve_sp_P82930_RT34_HUMAN_.pdf</t>
  </si>
  <si>
    <t>Melting_Curves/meltCurve_sp_P82933_RT09_HUMAN_.pdf</t>
  </si>
  <si>
    <t>Melting_Curves/meltCurve_sp_P82979_SARNP_HUMAN_.pdf</t>
  </si>
  <si>
    <t>Melting_Curves/meltCurve_sp_P82980_RET5_HUMAN_.pdf</t>
  </si>
  <si>
    <t>Melting_Curves/meltCurve_sp_P83436_COG7_HUMAN_.pdf</t>
  </si>
  <si>
    <t>Melting_Curves/meltCurve_sp_P83876_TXN4A_HUMAN_.pdf</t>
  </si>
  <si>
    <t>Melting_Curves/meltCurve_sp_P84077_ARF1_HUMAN_.pdf</t>
  </si>
  <si>
    <t>Melting_Curves/meltCurve_sp_P84090_ERH_HUMAN_.pdf</t>
  </si>
  <si>
    <t>Melting_Curves/meltCurve_sp_P84101_4_SERF2_HUMAN_.pdf</t>
  </si>
  <si>
    <t>Melting_Curves/meltCurve_sp_P86791_CCZ1_HUMAN_.pdf</t>
  </si>
  <si>
    <t>Melting_Curves/meltCurve_sp_P98160_PGBM_HUMAN_.pdf</t>
  </si>
  <si>
    <t>Melting_Curves/meltCurve_sp_P98170_XIAP_HUMAN_.pdf</t>
  </si>
  <si>
    <t>Melting_Curves/meltCurve_sp_P98175_4_RBM10_HUMAN_.pdf</t>
  </si>
  <si>
    <t>Melting_Curves/meltCurve_sp_P98179_RBM3_HUMAN_.pdf</t>
  </si>
  <si>
    <t>Melting_Curves/meltCurve_sp_Q00059_TFAM_HUMAN_.pdf</t>
  </si>
  <si>
    <t>Melting_Curves/meltCurve_sp_Q00169_PIPNA_HUMAN_.pdf</t>
  </si>
  <si>
    <t>Melting_Curves/meltCurve_sp_Q00266_METK1_HUMAN_.pdf</t>
  </si>
  <si>
    <t>Melting_Curves/meltCurve_sp_Q00341_VIGLN_HUMAN_.pdf</t>
  </si>
  <si>
    <t>Melting_Curves/meltCurve_sp_Q00403_TF2B_HUMAN_.pdf</t>
  </si>
  <si>
    <t>Melting_Curves/meltCurve_sp_Q00535_CDK5_HUMAN_.pdf</t>
  </si>
  <si>
    <t>Melting_Curves/meltCurve_sp_Q00577_PURA_HUMAN_.pdf</t>
  </si>
  <si>
    <t>Melting_Curves/meltCurve_sp_Q00610_2_CLH1_HUMAN_.pdf</t>
  </si>
  <si>
    <t>Melting_Curves/meltCurve_sp_Q00653_NFKB2_HUMAN_.pdf</t>
  </si>
  <si>
    <t>Melting_Curves/meltCurve_sp_Q00688_FKBP3_HUMAN_.pdf</t>
  </si>
  <si>
    <t>Melting_Curves/meltCurve_sp_Q00765_REEP5_HUMAN_.pdf</t>
  </si>
  <si>
    <t>Melting_Curves/meltCurve_sp_Q00796_DHSO_HUMAN_.pdf</t>
  </si>
  <si>
    <t>Melting_Curves/meltCurve_sp_Q00839_HNRPU_HUMAN_.pdf</t>
  </si>
  <si>
    <t>Melting_Curves/meltCurve_sp_Q00G26_PLIN5_HUMAN_.pdf</t>
  </si>
  <si>
    <t>Melting_Curves/meltCurve_sp_Q01081_U2AF1_HUMAN_.pdf</t>
  </si>
  <si>
    <t>Melting_Curves/meltCurve_sp_Q01082_3_SPTB2_HUMAN_.pdf</t>
  </si>
  <si>
    <t>Melting_Curves/meltCurve_sp_Q01082_SPTB2_HUMAN_.pdf</t>
  </si>
  <si>
    <t>Melting_Curves/meltCurve_sp_Q01085_2_TIAR_HUMAN_.pdf</t>
  </si>
  <si>
    <t>Melting_Curves/meltCurve_sp_Q01105_SET_HUMAN_.pdf</t>
  </si>
  <si>
    <t>Melting_Curves/meltCurve_sp_Q01415_GALK2_HUMAN_.pdf</t>
  </si>
  <si>
    <t>Melting_Curves/meltCurve_sp_Q01433_2_AMPD2_HUMAN_.pdf</t>
  </si>
  <si>
    <t>Melting_Curves/meltCurve_sp_Q01459_DIAC_HUMAN_.pdf</t>
  </si>
  <si>
    <t>Melting_Curves/meltCurve_sp_Q01469_FABP5_HUMAN_.pdf</t>
  </si>
  <si>
    <t>Melting_Curves/meltCurve_sp_Q01518_2_CAP1_HUMAN_.pdf</t>
  </si>
  <si>
    <t>Melting_Curves/meltCurve_sp_Q01581_HMCS1_HUMAN_.pdf</t>
  </si>
  <si>
    <t>Melting_Curves/meltCurve_sp_Q01658_NC2B_HUMAN_.pdf</t>
  </si>
  <si>
    <t>Melting_Curves/meltCurve_sp_Q01804_OTUD4_HUMAN_.pdf</t>
  </si>
  <si>
    <t>Melting_Curves/meltCurve_sp_Q01844_6_EWS_HUMAN_.pdf</t>
  </si>
  <si>
    <t>Melting_Curves/meltCurve_sp_Q01968_2_OCRL_HUMAN_.pdf</t>
  </si>
  <si>
    <t>Melting_Curves/meltCurve_sp_Q01970_2_PLCB3_HUMAN_.pdf</t>
  </si>
  <si>
    <t>Melting_Curves/meltCurve_sp_Q01995_TAGL_HUMAN_.pdf</t>
  </si>
  <si>
    <t>Melting_Curves/meltCurve_sp_Q02083_2_NAAA_HUMAN_.pdf</t>
  </si>
  <si>
    <t>Melting_Curves/meltCurve_sp_Q02252_MMSA_HUMAN_.pdf</t>
  </si>
  <si>
    <t>Melting_Curves/meltCurve_sp_Q02318_CP27A_HUMAN_.pdf</t>
  </si>
  <si>
    <t>Melting_Curves/meltCurve_sp_Q02325_PLGB_HUMAN_.pdf</t>
  </si>
  <si>
    <t>Melting_Curves/meltCurve_sp_Q02410_APBA1_HUMAN_.pdf</t>
  </si>
  <si>
    <t>Melting_Curves/meltCurve_sp_Q02487_DSC2_HUMAN_.pdf</t>
  </si>
  <si>
    <t>Melting_Curves/meltCurve_sp_Q02750_MP2K1_HUMAN_.pdf</t>
  </si>
  <si>
    <t>Melting_Curves/meltCurve_sp_Q02790_FKBP4_HUMAN_.pdf</t>
  </si>
  <si>
    <t>Melting_Curves/meltCurve_sp_Q02818_NUCB1_HUMAN_.pdf</t>
  </si>
  <si>
    <t>Melting_Curves/meltCurve_sp_Q02928_CP4AB_HUMAN_.pdf</t>
  </si>
  <si>
    <t>Melting_Curves/meltCurve_sp_Q03001_8_DYST_HUMAN_.pdf</t>
  </si>
  <si>
    <t>Melting_Curves/meltCurve_sp_Q03013_2_GSTM4_HUMAN_.pdf</t>
  </si>
  <si>
    <t>Melting_Curves/meltCurve_sp_Q03154_ACY1_HUMAN_.pdf</t>
  </si>
  <si>
    <t>Melting_Curves/meltCurve_sp_Q03169_TNAP2_HUMAN_.pdf</t>
  </si>
  <si>
    <t>Melting_Curves/meltCurve_sp_Q03393_PTPS_HUMAN_.pdf</t>
  </si>
  <si>
    <t>Melting_Curves/meltCurve_sp_Q04446_GLGB_HUMAN_.pdf</t>
  </si>
  <si>
    <t>Melting_Curves/meltCurve_sp_Q04637_5_IF4G1_HUMAN_.pdf</t>
  </si>
  <si>
    <t>Melting_Curves/meltCurve_sp_Q04724_TLE1_HUMAN_.pdf</t>
  </si>
  <si>
    <t>Melting_Curves/meltCurve_sp_Q04760_LGUL_HUMAN_.pdf</t>
  </si>
  <si>
    <t>Melting_Curves/meltCurve_sp_Q04828_AK1C1_HUMAN_.pdf</t>
  </si>
  <si>
    <t>Melting_Curves/meltCurve_sp_Q04837_SSBP_HUMAN_.pdf</t>
  </si>
  <si>
    <t>Melting_Curves/meltCurve_sp_Q04917_1433F_HUMAN_.pdf</t>
  </si>
  <si>
    <t>Melting_Curves/meltCurve_sp_Q05048_CSTF1_HUMAN_.pdf</t>
  </si>
  <si>
    <t>Melting_Curves/meltCurve_sp_Q05086_2_UBE3A_HUMAN_.pdf</t>
  </si>
  <si>
    <t>Melting_Curves/meltCurve_sp_Q05682_5_CALD1_HUMAN_.pdf</t>
  </si>
  <si>
    <t>Melting_Curves/meltCurve_sp_Q06033_2_ITIH3_HUMAN_.pdf</t>
  </si>
  <si>
    <t>Melting_Curves/meltCurve_sp_Q06124_2_PTN11_HUMAN_.pdf</t>
  </si>
  <si>
    <t>Melting_Curves/meltCurve_sp_Q06203_PUR1_HUMAN_.pdf</t>
  </si>
  <si>
    <t>Melting_Curves/meltCurve_sp_Q06210_2_GFPT1_HUMAN_.pdf</t>
  </si>
  <si>
    <t>Melting_Curves/meltCurve_sp_Q06278_ADO_HUMAN_.pdf</t>
  </si>
  <si>
    <t>Melting_Curves/meltCurve_sp_Q06323_PSME1_HUMAN_.pdf</t>
  </si>
  <si>
    <t>Melting_Curves/meltCurve_sp_Q06520_ST2A1_HUMAN_.pdf</t>
  </si>
  <si>
    <t>Melting_Curves/meltCurve_sp_Q06787_8_FMR1_HUMAN_.pdf</t>
  </si>
  <si>
    <t>Melting_Curves/meltCurve_sp_Q07021_C1QBP_HUMAN_.pdf</t>
  </si>
  <si>
    <t>Melting_Curves/meltCurve_sp_Q07065_CKAP4_HUMAN_.pdf</t>
  </si>
  <si>
    <t>Melting_Curves/meltCurve_sp_Q07157_ZO1_HUMAN_.pdf</t>
  </si>
  <si>
    <t>Melting_Curves/meltCurve_sp_Q07283_TRHY_HUMAN_.pdf</t>
  </si>
  <si>
    <t>Melting_Curves/meltCurve_sp_Q07666_KHDR1_HUMAN_.pdf</t>
  </si>
  <si>
    <t>Melting_Curves/meltCurve_sp_Q07812_5_BAX_HUMAN_.pdf</t>
  </si>
  <si>
    <t>Melting_Curves/meltCurve_sp_Q07954_LRP1_HUMAN_.pdf</t>
  </si>
  <si>
    <t>Melting_Curves/meltCurve_sp_Q07955_SRSF1_HUMAN_.pdf</t>
  </si>
  <si>
    <t>Melting_Curves/meltCurve_sp_Q07960_RHG01_HUMAN_.pdf</t>
  </si>
  <si>
    <t>Melting_Curves/meltCurve_sp_Q08170_SRSF4_HUMAN_.pdf</t>
  </si>
  <si>
    <t>Melting_Curves/meltCurve_sp_Q08209_2_PP2BA_HUMAN_.pdf</t>
  </si>
  <si>
    <t>Melting_Curves/meltCurve_sp_Q08211_DHX9_HUMAN_.pdf</t>
  </si>
  <si>
    <t>Melting_Curves/meltCurve_sp_Q08257_QOR_HUMAN_.pdf</t>
  </si>
  <si>
    <t>Melting_Curves/meltCurve_sp_Q08378_GOGA3_HUMAN_.pdf</t>
  </si>
  <si>
    <t>Melting_Curves/meltCurve_sp_Q08379_GOGA2_HUMAN_.pdf</t>
  </si>
  <si>
    <t>Melting_Curves/meltCurve_sp_Q08380_LG3BP_HUMAN_.pdf</t>
  </si>
  <si>
    <t>Melting_Curves/meltCurve_sp_Q08426_2_ECHP_HUMAN_.pdf</t>
  </si>
  <si>
    <t>Melting_Curves/meltCurve_sp_Q08426_ECHP_HUMAN_.pdf</t>
  </si>
  <si>
    <t>Melting_Curves/meltCurve_sp_Q08554_2_DSC1_HUMAN_.pdf</t>
  </si>
  <si>
    <t>Melting_Curves/meltCurve_sp_Q08752_PPID_HUMAN_.pdf</t>
  </si>
  <si>
    <t>Melting_Curves/meltCurve_sp_Q08830_FGL1_HUMAN_.pdf</t>
  </si>
  <si>
    <t>Melting_Curves/meltCurve_sp_Q08AG7_MZT1_HUMAN_.pdf</t>
  </si>
  <si>
    <t>Melting_Curves/meltCurve_sp_Q08AH3_ACS2A_HUMAN_.pdf</t>
  </si>
  <si>
    <t>Melting_Curves/meltCurve_sp_Q08AM6_VAC14_HUMAN_.pdf</t>
  </si>
  <si>
    <t>Melting_Curves/meltCurve_sp_Q08J23_2_NSUN2_HUMAN_.pdf</t>
  </si>
  <si>
    <t>Melting_Curves/meltCurve_sp_Q09028_3_RBBP4_HUMAN_.pdf</t>
  </si>
  <si>
    <t>Melting_Curves/meltCurve_sp_Q09161_NCBP1_HUMAN_.pdf</t>
  </si>
  <si>
    <t>Melting_Curves/meltCurve_sp_Q09472_EP300_HUMAN_.pdf</t>
  </si>
  <si>
    <t>Melting_Curves/meltCurve_sp_Q09666_AHNK_HUMAN_.pdf</t>
  </si>
  <si>
    <t>Melting_Curves/meltCurve_sp_Q0JRZ9_FCHO2_HUMAN_.pdf</t>
  </si>
  <si>
    <t>Melting_Curves/meltCurve_sp_Q0PNE2_ELP6_HUMAN_.pdf</t>
  </si>
  <si>
    <t>Melting_Curves/meltCurve_sp_Q0VDF9_HSP7E_HUMAN_.pdf</t>
  </si>
  <si>
    <t>Melting_Curves/meltCurve_sp_Q0VDG4_2_SCRN3_HUMAN_.pdf</t>
  </si>
  <si>
    <t>Melting_Curves/meltCurve_sp_Q0VF96_CGNL1_HUMAN_.pdf</t>
  </si>
  <si>
    <t>Melting_Curves/meltCurve_sp_Q10567_2_AP1B1_HUMAN_.pdf</t>
  </si>
  <si>
    <t>Melting_Curves/meltCurve_sp_Q10567_3_AP1B1_HUMAN_.pdf</t>
  </si>
  <si>
    <t>Melting_Curves/meltCurve_sp_Q10713_MPPA_HUMAN_.pdf</t>
  </si>
  <si>
    <t>Melting_Curves/meltCurve_sp_Q12769_NU160_HUMAN_.pdf</t>
  </si>
  <si>
    <t>Melting_Curves/meltCurve_sp_Q12774_ARHG5_HUMAN_.pdf</t>
  </si>
  <si>
    <t>Melting_Curves/meltCurve_sp_Q12792_TWF1_HUMAN_.pdf</t>
  </si>
  <si>
    <t>Melting_Curves/meltCurve_sp_Q12794_3_HYAL1_HUMAN_.pdf</t>
  </si>
  <si>
    <t>Melting_Curves/meltCurve_sp_Q12802_4_AKP13_HUMAN_.pdf</t>
  </si>
  <si>
    <t>Melting_Curves/meltCurve_sp_Q12846_STX4_HUMAN_.pdf</t>
  </si>
  <si>
    <t>Melting_Curves/meltCurve_sp_Q12874_SF3A3_HUMAN_.pdf</t>
  </si>
  <si>
    <t>Melting_Curves/meltCurve_sp_Q12882_DPYD_HUMAN_.pdf</t>
  </si>
  <si>
    <t>Melting_Curves/meltCurve_sp_Q12904_AIMP1_HUMAN_.pdf</t>
  </si>
  <si>
    <t>Melting_Curves/meltCurve_sp_Q12905_ILF2_HUMAN_.pdf</t>
  </si>
  <si>
    <t>Melting_Curves/meltCurve_sp_Q12906_4_ILF3_HUMAN_.pdf</t>
  </si>
  <si>
    <t>Melting_Curves/meltCurve_sp_Q12959_5_DLG1_HUMAN_.pdf</t>
  </si>
  <si>
    <t>Melting_Curves/meltCurve_sp_Q12965_MYO1E_HUMAN_.pdf</t>
  </si>
  <si>
    <t>Melting_Curves/meltCurve_sp_Q12972_PP1R8_HUMAN_.pdf</t>
  </si>
  <si>
    <t>Melting_Curves/meltCurve_sp_Q12974_TP4A2_HUMAN_.pdf</t>
  </si>
  <si>
    <t>Melting_Curves/meltCurve_sp_Q12986_2_NFX1_HUMAN_.pdf</t>
  </si>
  <si>
    <t>Melting_Curves/meltCurve_sp_Q12996_CSTF3_HUMAN_.pdf</t>
  </si>
  <si>
    <t>Melting_Curves/meltCurve_sp_Q13011_ECH1_HUMAN_.pdf</t>
  </si>
  <si>
    <t>Melting_Curves/meltCurve_sp_Q13017_2_RHG05_HUMAN_.pdf</t>
  </si>
  <si>
    <t>Melting_Curves/meltCurve_sp_Q13033_2_STRN3_HUMAN_.pdf</t>
  </si>
  <si>
    <t>Melting_Curves/meltCurve_sp_Q13045_2_FLII_HUMAN_.pdf</t>
  </si>
  <si>
    <t>Melting_Curves/meltCurve_sp_Q13045_FLII_HUMAN_.pdf</t>
  </si>
  <si>
    <t>Melting_Curves/meltCurve_sp_Q13057_COASY_HUMAN_.pdf</t>
  </si>
  <si>
    <t>Melting_Curves/meltCurve_sp_Q13085_3_ACACA_HUMAN_.pdf</t>
  </si>
  <si>
    <t>Melting_Curves/meltCurve_sp_Q13107_2_UBP4_HUMAN_.pdf</t>
  </si>
  <si>
    <t>Melting_Curves/meltCurve_sp_Q13123_RED_HUMAN_.pdf</t>
  </si>
  <si>
    <t>Melting_Curves/meltCurve_sp_Q13126_MTAP_HUMAN_.pdf</t>
  </si>
  <si>
    <t>Melting_Curves/meltCurve_sp_Q13131_2_AAPK1_HUMAN_.pdf</t>
  </si>
  <si>
    <t>Melting_Curves/meltCurve_sp_Q13136_2_LIPA1_HUMAN_.pdf</t>
  </si>
  <si>
    <t>Melting_Curves/meltCurve_sp_Q13148_TADBP_HUMAN_.pdf</t>
  </si>
  <si>
    <t>Melting_Curves/meltCurve_sp_Q13151_ROA0_HUMAN_.pdf</t>
  </si>
  <si>
    <t>Melting_Curves/meltCurve_sp_Q13153_PAK1_HUMAN_.pdf</t>
  </si>
  <si>
    <t>Melting_Curves/meltCurve_sp_Q13155_AIMP2_HUMAN_.pdf</t>
  </si>
  <si>
    <t>Melting_Curves/meltCurve_sp_Q13158_FADD_HUMAN_.pdf</t>
  </si>
  <si>
    <t>Melting_Curves/meltCurve_sp_Q13162_PRDX4_HUMAN_.pdf</t>
  </si>
  <si>
    <t>Melting_Curves/meltCurve_sp_Q13177_PAK2_HUMAN_.pdf</t>
  </si>
  <si>
    <t>Melting_Curves/meltCurve_sp_Q13185_CBX3_HUMAN_.pdf</t>
  </si>
  <si>
    <t>Melting_Curves/meltCurve_sp_Q13188_STK3_HUMAN_.pdf</t>
  </si>
  <si>
    <t>Melting_Curves/meltCurve_sp_Q13200_PSMD2_HUMAN_.pdf</t>
  </si>
  <si>
    <t>Melting_Curves/meltCurve_sp_Q13206_DDX10_HUMAN_.pdf</t>
  </si>
  <si>
    <t>Melting_Curves/meltCurve_sp_Q13217_DNJC3_HUMAN_.pdf</t>
  </si>
  <si>
    <t>Melting_Curves/meltCurve_sp_Q13228_SBP1_HUMAN_.pdf</t>
  </si>
  <si>
    <t>Melting_Curves/meltCurve_sp_Q13232_NDK3_HUMAN_.pdf</t>
  </si>
  <si>
    <t>Melting_Curves/meltCurve_sp_Q13243_3_SRSF5_HUMAN_.pdf</t>
  </si>
  <si>
    <t>Melting_Curves/meltCurve_sp_Q13247_3_SRSF6_HUMAN_.pdf</t>
  </si>
  <si>
    <t>Melting_Curves/meltCurve_sp_Q13263_TIF1B_HUMAN_.pdf</t>
  </si>
  <si>
    <t>Melting_Curves/meltCurve_sp_Q13283_G3BP1_HUMAN_.pdf</t>
  </si>
  <si>
    <t>Melting_Curves/meltCurve_sp_Q13287_NMI_HUMAN_.pdf</t>
  </si>
  <si>
    <t>Melting_Curves/meltCurve_sp_Q13310_3_PABP4_HUMAN_.pdf</t>
  </si>
  <si>
    <t>Melting_Curves/meltCurve_sp_Q13315_ATM_HUMAN_.pdf</t>
  </si>
  <si>
    <t>Melting_Curves/meltCurve_sp_Q13325_IFIT5_HUMAN_.pdf</t>
  </si>
  <si>
    <t>Melting_Curves/meltCurve_sp_Q13330_3_MTA1_HUMAN_.pdf</t>
  </si>
  <si>
    <t>Melting_Curves/meltCurve_sp_Q13347_EIF3I_HUMAN_.pdf</t>
  </si>
  <si>
    <t>Melting_Curves/meltCurve_sp_Q13363_2_CTBP1_HUMAN_.pdf</t>
  </si>
  <si>
    <t>Melting_Curves/meltCurve_sp_Q13404_UB2V1_HUMAN_.pdf</t>
  </si>
  <si>
    <t>Melting_Curves/meltCurve_sp_Q13409_6_DC1I2_HUMAN_.pdf</t>
  </si>
  <si>
    <t>Melting_Curves/meltCurve_sp_Q13418_ILK_HUMAN_.pdf</t>
  </si>
  <si>
    <t>Melting_Curves/meltCurve_sp_Q13423_NNTM_HUMAN_.pdf</t>
  </si>
  <si>
    <t>Melting_Curves/meltCurve_sp_Q13426_2_XRCC4_HUMAN_.pdf</t>
  </si>
  <si>
    <t>Melting_Curves/meltCurve_sp_Q13428_TCOF_HUMAN_.pdf</t>
  </si>
  <si>
    <t>Melting_Curves/meltCurve_sp_Q13435_SF3B2_HUMAN_.pdf</t>
  </si>
  <si>
    <t>Melting_Curves/meltCurve_sp_Q13442_HAP28_HUMAN_.pdf</t>
  </si>
  <si>
    <t>Melting_Curves/meltCurve_sp_Q13451_FKBP5_HUMAN_.pdf</t>
  </si>
  <si>
    <t>Melting_Curves/meltCurve_sp_Q13464_ROCK1_HUMAN_.pdf</t>
  </si>
  <si>
    <t>Melting_Curves/meltCurve_sp_Q13492_3_PICAL_HUMAN_.pdf</t>
  </si>
  <si>
    <t>Melting_Curves/meltCurve_sp_Q13496_MTM1_HUMAN_.pdf</t>
  </si>
  <si>
    <t>Melting_Curves/meltCurve_sp_Q13501_2_SQSTM_HUMAN_.pdf</t>
  </si>
  <si>
    <t>Melting_Curves/meltCurve_sp_Q13509_TBB3_HUMAN_.pdf</t>
  </si>
  <si>
    <t>Melting_Curves/meltCurve_sp_Q13522_PPR1A_HUMAN_.pdf</t>
  </si>
  <si>
    <t>Melting_Curves/meltCurve_sp_Q13526_PIN1_HUMAN_.pdf</t>
  </si>
  <si>
    <t>Melting_Curves/meltCurve_sp_Q13541_4EBP1_HUMAN_.pdf</t>
  </si>
  <si>
    <t>Melting_Curves/meltCurve_sp_Q13546_RIPK1_HUMAN_.pdf</t>
  </si>
  <si>
    <t>Melting_Curves/meltCurve_sp_Q13547_HDAC1_HUMAN_.pdf</t>
  </si>
  <si>
    <t>Melting_Curves/meltCurve_sp_Q13557_8_KCC2D_HUMAN_.pdf</t>
  </si>
  <si>
    <t>Melting_Curves/meltCurve_sp_Q13561_DCTN2_HUMAN_.pdf</t>
  </si>
  <si>
    <t>Melting_Curves/meltCurve_sp_Q13573_SNW1_HUMAN_.pdf</t>
  </si>
  <si>
    <t>Melting_Curves/meltCurve_sp_Q13576_IQGA2_HUMAN_.pdf</t>
  </si>
  <si>
    <t>Melting_Curves/meltCurve_sp_Q13596_SNX1_HUMAN_.pdf</t>
  </si>
  <si>
    <t>Melting_Curves/meltCurve_sp_Q13608_PEX6_HUMAN_.pdf</t>
  </si>
  <si>
    <t>Melting_Curves/meltCurve_sp_Q13610_PWP1_HUMAN_.pdf</t>
  </si>
  <si>
    <t>Melting_Curves/meltCurve_sp_Q13616_CUL1_HUMAN_.pdf</t>
  </si>
  <si>
    <t>Melting_Curves/meltCurve_sp_Q13617_CUL2_HUMAN_.pdf</t>
  </si>
  <si>
    <t>Melting_Curves/meltCurve_sp_Q13618_2_CUL3_HUMAN_.pdf</t>
  </si>
  <si>
    <t>Melting_Curves/meltCurve_sp_Q13619_CUL4A_HUMAN_.pdf</t>
  </si>
  <si>
    <t>Melting_Curves/meltCurve_sp_Q13620_1_CUL4B_HUMAN_.pdf</t>
  </si>
  <si>
    <t>Melting_Curves/meltCurve_sp_Q13630_FCL_HUMAN_.pdf</t>
  </si>
  <si>
    <t>Melting_Curves/meltCurve_sp_Q13642_1_FHL1_HUMAN_.pdf</t>
  </si>
  <si>
    <t>Melting_Curves/meltCurve_sp_Q13796_SHRM2_HUMAN_.pdf</t>
  </si>
  <si>
    <t>Melting_Curves/meltCurve_sp_Q13813_2_SPTN1_HUMAN_.pdf</t>
  </si>
  <si>
    <t>Melting_Curves/meltCurve_sp_Q13813_SPTN1_HUMAN_.pdf</t>
  </si>
  <si>
    <t>Melting_Curves/meltCurve_sp_Q13825_AUHM_HUMAN_.pdf</t>
  </si>
  <si>
    <t>Melting_Curves/meltCurve_sp_Q13838_DX39B_HUMAN_.pdf</t>
  </si>
  <si>
    <t>Melting_Curves/meltCurve_sp_Q13867_BLMH_HUMAN_.pdf</t>
  </si>
  <si>
    <t>Melting_Curves/meltCurve_sp_Q13884_SNTB1_HUMAN_.pdf</t>
  </si>
  <si>
    <t>Melting_Curves/meltCurve_sp_Q13885_TBB2A_HUMAN_.pdf</t>
  </si>
  <si>
    <t>Melting_Curves/meltCurve_sp_Q13907_IDI1_HUMAN_.pdf</t>
  </si>
  <si>
    <t>Melting_Curves/meltCurve_sp_Q13951_2_PEBB_HUMAN_.pdf</t>
  </si>
  <si>
    <t>Melting_Curves/meltCurve_sp_Q14008_2_CKAP5_HUMAN_.pdf</t>
  </si>
  <si>
    <t>Melting_Curves/meltCurve_sp_Q14012_KCC1A_HUMAN_.pdf</t>
  </si>
  <si>
    <t>Melting_Curves/meltCurve_sp_Q14019_COTL1_HUMAN_.pdf</t>
  </si>
  <si>
    <t>Melting_Curves/meltCurve_sp_Q14032_BAAT_HUMAN_.pdf</t>
  </si>
  <si>
    <t>Melting_Curves/meltCurve_sp_Q14061_COX17_HUMAN_.pdf</t>
  </si>
  <si>
    <t>Melting_Curves/meltCurve_sp_Q14103_3_HNRPD_HUMAN_.pdf</t>
  </si>
  <si>
    <t>Melting_Curves/meltCurve_sp_Q14116_2_IL18_HUMAN_.pdf</t>
  </si>
  <si>
    <t>Melting_Curves/meltCurve_sp_Q14117_DPYS_HUMAN_.pdf</t>
  </si>
  <si>
    <t>Melting_Curves/meltCurve_sp_Q14118_DAG1_HUMAN_.pdf</t>
  </si>
  <si>
    <t>Melting_Curves/meltCurve_sp_Q14126_DSG2_HUMAN_.pdf</t>
  </si>
  <si>
    <t>Melting_Curves/meltCurve_sp_Q14137_BOP1_HUMAN_.pdf</t>
  </si>
  <si>
    <t>Melting_Curves/meltCurve_sp_Q14139_UBE4A_HUMAN_.pdf</t>
  </si>
  <si>
    <t>Melting_Curves/meltCurve_sp_Q14141_2_SEPT6_HUMAN_.pdf</t>
  </si>
  <si>
    <t>Melting_Curves/meltCurve_sp_Q14151_SAFB2_HUMAN_.pdf</t>
  </si>
  <si>
    <t>Melting_Curves/meltCurve_sp_Q14152_EIF3A_HUMAN_.pdf</t>
  </si>
  <si>
    <t>Melting_Curves/meltCurve_sp_Q14157_UBP2L_HUMAN_.pdf</t>
  </si>
  <si>
    <t>Melting_Curves/meltCurve_sp_Q14160_2_SCRIB_HUMAN_.pdf</t>
  </si>
  <si>
    <t>Melting_Curves/meltCurve_sp_Q14161_3_GIT2_HUMAN_.pdf</t>
  </si>
  <si>
    <t>Melting_Curves/meltCurve_sp_Q14166_TTL12_HUMAN_.pdf</t>
  </si>
  <si>
    <t>Melting_Curves/meltCurve_sp_Q14192_FHL2_HUMAN_.pdf</t>
  </si>
  <si>
    <t>Melting_Curves/meltCurve_sp_Q14203_3_DCTN1_HUMAN_.pdf</t>
  </si>
  <si>
    <t>Melting_Curves/meltCurve_sp_Q14204_DYHC1_HUMAN_.pdf</t>
  </si>
  <si>
    <t>Melting_Curves/meltCurve_sp_Q14232_EI2BA_HUMAN_.pdf</t>
  </si>
  <si>
    <t>Melting_Curves/meltCurve_sp_Q14240_IF4A2_HUMAN_.pdf</t>
  </si>
  <si>
    <t>Melting_Curves/meltCurve_sp_Q14241_ELOA1_HUMAN_.pdf</t>
  </si>
  <si>
    <t>Melting_Curves/meltCurve_sp_Q14244_3_MAP7_HUMAN_.pdf</t>
  </si>
  <si>
    <t>Melting_Curves/meltCurve_sp_Q14247_SRC8_HUMAN_.pdf</t>
  </si>
  <si>
    <t>Melting_Curves/meltCurve_sp_Q14258_TRI25_HUMAN_.pdf</t>
  </si>
  <si>
    <t>Melting_Curves/meltCurve_sp_Q14318_2_FKBP8_HUMAN_.pdf</t>
  </si>
  <si>
    <t>Melting_Curves/meltCurve_sp_Q14320_FA50A_HUMAN_.pdf</t>
  </si>
  <si>
    <t>Melting_Curves/meltCurve_sp_Q14353_GAMT_HUMAN_.pdf</t>
  </si>
  <si>
    <t>Melting_Curves/meltCurve_sp_Q14376_GALE_HUMAN_.pdf</t>
  </si>
  <si>
    <t>Melting_Curves/meltCurve_sp_Q14397_GCKR_HUMAN_.pdf</t>
  </si>
  <si>
    <t>Melting_Curves/meltCurve_sp_Q14410_GLPK2_HUMAN_.pdf</t>
  </si>
  <si>
    <t>Melting_Curves/meltCurve_sp_Q14444_2_CAPR1_HUMAN_.pdf</t>
  </si>
  <si>
    <t>Melting_Curves/meltCurve_sp_Q14498_2_RBM39_HUMAN_.pdf</t>
  </si>
  <si>
    <t>Melting_Curves/meltCurve_sp_Q14520_2_HABP2_HUMAN_.pdf</t>
  </si>
  <si>
    <t>Melting_Curves/meltCurve_sp_Q14554_PDIA5_HUMAN_.pdf</t>
  </si>
  <si>
    <t>Melting_Curves/meltCurve_sp_Q14558_KPRA_HUMAN_.pdf</t>
  </si>
  <si>
    <t>Melting_Curves/meltCurve_sp_Q14566_MCM6_HUMAN_.pdf</t>
  </si>
  <si>
    <t>Melting_Curves/meltCurve_sp_Q14624_ITIH4_HUMAN_.pdf</t>
  </si>
  <si>
    <t>Melting_Curves/meltCurve_sp_Q14651_PLSI_HUMAN_.pdf</t>
  </si>
  <si>
    <t>Melting_Curves/meltCurve_sp_Q14653_IRF3_HUMAN_.pdf</t>
  </si>
  <si>
    <t>Melting_Curves/meltCurve_sp_Q14657_LAGE3_HUMAN_.pdf</t>
  </si>
  <si>
    <t>Melting_Curves/meltCurve_sp_Q14669_TRIPC_HUMAN_.pdf</t>
  </si>
  <si>
    <t>Melting_Curves/meltCurve_sp_Q14676_4_MDC1_HUMAN_.pdf</t>
  </si>
  <si>
    <t>Melting_Curves/meltCurve_sp_Q14677_EPN4_HUMAN_.pdf</t>
  </si>
  <si>
    <t>Melting_Curves/meltCurve_sp_Q14678_2_KANK1_HUMAN_.pdf</t>
  </si>
  <si>
    <t>Melting_Curves/meltCurve_sp_Q14683_SMC1A_HUMAN_.pdf</t>
  </si>
  <si>
    <t>Melting_Curves/meltCurve_sp_Q14689_6_DIP2A_HUMAN_.pdf</t>
  </si>
  <si>
    <t>Melting_Curves/meltCurve_sp_Q14694_UBP10_HUMAN_.pdf</t>
  </si>
  <si>
    <t>Melting_Curves/meltCurve_sp_Q14696_MESD_HUMAN_.pdf</t>
  </si>
  <si>
    <t>Melting_Curves/meltCurve_sp_Q14697_GANAB_HUMAN_.pdf</t>
  </si>
  <si>
    <t>Melting_Curves/meltCurve_sp_Q14749_GNMT_HUMAN_.pdf</t>
  </si>
  <si>
    <t>Melting_Curves/meltCurve_sp_Q14789_GOGB1_HUMAN_.pdf</t>
  </si>
  <si>
    <t>Melting_Curves/meltCurve_sp_Q14790_8_CASP8_HUMAN_.pdf</t>
  </si>
  <si>
    <t>Melting_Curves/meltCurve_sp_Q147X3_NAA30_HUMAN_.pdf</t>
  </si>
  <si>
    <t>Melting_Curves/meltCurve_sp_Q14847_LASP1_HUMAN_.pdf</t>
  </si>
  <si>
    <t>Melting_Curves/meltCurve_sp_Q14894_CRYM_HUMAN_.pdf</t>
  </si>
  <si>
    <t>Melting_Curves/meltCurve_sp_Q14914_2_PTGR1_HUMAN_.pdf</t>
  </si>
  <si>
    <t>Melting_Curves/meltCurve_sp_Q14966_ZN638_HUMAN_.pdf</t>
  </si>
  <si>
    <t>Melting_Curves/meltCurve_sp_Q14974_IMB1_HUMAN_.pdf</t>
  </si>
  <si>
    <t>Melting_Curves/meltCurve_sp_Q14978_NOLC1_HUMAN_.pdf</t>
  </si>
  <si>
    <t>Melting_Curves/meltCurve_sp_Q14980_2_NUMA1_HUMAN_.pdf</t>
  </si>
  <si>
    <t>Melting_Curves/meltCurve_sp_Q14997_PSME4_HUMAN_.pdf</t>
  </si>
  <si>
    <t>Melting_Curves/meltCurve_sp_Q14CX7_2_NAA25_HUMAN_.pdf</t>
  </si>
  <si>
    <t>Melting_Curves/meltCurve_sp_Q15007_FL2D_HUMAN_.pdf</t>
  </si>
  <si>
    <t>Melting_Curves/meltCurve_sp_Q15008_PSMD6_HUMAN_.pdf</t>
  </si>
  <si>
    <t>Melting_Curves/meltCurve_sp_Q15018_F175B_HUMAN_.pdf</t>
  </si>
  <si>
    <t>Melting_Curves/meltCurve_sp_Q15020_SART3_HUMAN_.pdf</t>
  </si>
  <si>
    <t>Melting_Curves/meltCurve_sp_Q15024_EXOS7_HUMAN_.pdf</t>
  </si>
  <si>
    <t>Melting_Curves/meltCurve_sp_Q15029_2_U5S1_HUMAN_.pdf</t>
  </si>
  <si>
    <t>Melting_Curves/meltCurve_sp_Q15036_2_SNX17_HUMAN_.pdf</t>
  </si>
  <si>
    <t>Melting_Curves/meltCurve_sp_Q15046_SYK_HUMAN_.pdf</t>
  </si>
  <si>
    <t>Melting_Curves/meltCurve_sp_Q15056_2_IF4H_HUMAN_.pdf</t>
  </si>
  <si>
    <t>Melting_Curves/meltCurve_sp_Q15057_ACAP2_HUMAN_.pdf</t>
  </si>
  <si>
    <t>Melting_Curves/meltCurve_sp_Q15059_BRD3_HUMAN_.pdf</t>
  </si>
  <si>
    <t>Melting_Curves/meltCurve_sp_Q15067_2_ACOX1_HUMAN_.pdf</t>
  </si>
  <si>
    <t>Melting_Curves/meltCurve_sp_Q15075_EEA1_HUMAN_.pdf</t>
  </si>
  <si>
    <t>Melting_Curves/meltCurve_sp_Q15102_PA1B3_HUMAN_.pdf</t>
  </si>
  <si>
    <t>Melting_Curves/meltCurve_sp_Q15118_PDK1_HUMAN_.pdf</t>
  </si>
  <si>
    <t>Melting_Curves/meltCurve_sp_Q15119_PDK2_HUMAN_.pdf</t>
  </si>
  <si>
    <t>Melting_Curves/meltCurve_sp_Q15120_PDK3_HUMAN_.pdf</t>
  </si>
  <si>
    <t>Melting_Curves/meltCurve_sp_Q15126_PMVK_HUMAN_.pdf</t>
  </si>
  <si>
    <t>Melting_Curves/meltCurve_sp_Q15149_8_PLEC_HUMAN_.pdf</t>
  </si>
  <si>
    <t>Melting_Curves/meltCurve_sp_Q15170_2_TCAL1_HUMAN_.pdf</t>
  </si>
  <si>
    <t>Melting_Curves/meltCurve_sp_Q15172_2A5A_HUMAN_.pdf</t>
  </si>
  <si>
    <t>Melting_Curves/meltCurve_sp_Q15181_IPYR_HUMAN_.pdf</t>
  </si>
  <si>
    <t>Melting_Curves/meltCurve_sp_Q15208_STK38_HUMAN_.pdf</t>
  </si>
  <si>
    <t>Melting_Curves/meltCurve_sp_Q15233_2_NONO_HUMAN_.pdf</t>
  </si>
  <si>
    <t>Melting_Curves/meltCurve_sp_Q15257_2_PTPA_HUMAN_.pdf</t>
  </si>
  <si>
    <t>Melting_Curves/meltCurve_sp_Q15257_PTPA_HUMAN_.pdf</t>
  </si>
  <si>
    <t>Melting_Curves/meltCurve_sp_Q15262_PTPRK_HUMAN_.pdf</t>
  </si>
  <si>
    <t>Melting_Curves/meltCurve_sp_Q15274_NADC_HUMAN_.pdf</t>
  </si>
  <si>
    <t>Melting_Curves/meltCurve_sp_Q15276_RABE1_HUMAN_.pdf</t>
  </si>
  <si>
    <t>Melting_Curves/meltCurve_sp_Q15291_RBBP5_HUMAN_.pdf</t>
  </si>
  <si>
    <t>Melting_Curves/meltCurve_sp_Q15293_RCN1_HUMAN_.pdf</t>
  </si>
  <si>
    <t>Melting_Curves/meltCurve_sp_Q15311_RBP1_HUMAN_.pdf</t>
  </si>
  <si>
    <t>Melting_Curves/meltCurve_sp_Q15345_LRC41_HUMAN_.pdf</t>
  </si>
  <si>
    <t>Melting_Curves/meltCurve_sp_Q15365_PCBP1_HUMAN_.pdf</t>
  </si>
  <si>
    <t>Melting_Curves/meltCurve_sp_Q15382_RHEB_HUMAN_.pdf</t>
  </si>
  <si>
    <t>Melting_Curves/meltCurve_sp_Q15386_UBE3C_HUMAN_.pdf</t>
  </si>
  <si>
    <t>Melting_Curves/meltCurve_sp_Q15393_SF3B3_HUMAN_.pdf</t>
  </si>
  <si>
    <t>Melting_Curves/meltCurve_sp_Q15404_RSU1_HUMAN_.pdf</t>
  </si>
  <si>
    <t>Melting_Curves/meltCurve_sp_Q15417_CNN3_HUMAN_.pdf</t>
  </si>
  <si>
    <t>Melting_Curves/meltCurve_sp_Q15424_SAFB1_HUMAN_.pdf</t>
  </si>
  <si>
    <t>Melting_Curves/meltCurve_sp_Q15435_PP1R7_HUMAN_.pdf</t>
  </si>
  <si>
    <t>Melting_Curves/meltCurve_sp_Q15437_SC23B_HUMAN_.pdf</t>
  </si>
  <si>
    <t>Melting_Curves/meltCurve_sp_Q15459_SF3A1_HUMAN_.pdf</t>
  </si>
  <si>
    <t>Melting_Curves/meltCurve_sp_Q15477_SKIV2_HUMAN_.pdf</t>
  </si>
  <si>
    <t>Melting_Curves/meltCurve_sp_Q15493_RGN_HUMAN_.pdf</t>
  </si>
  <si>
    <t>Melting_Curves/meltCurve_sp_Q15526_2_SURF1_HUMAN_.pdf</t>
  </si>
  <si>
    <t>Melting_Curves/meltCurve_sp_Q15554_TERF2_HUMAN_.pdf</t>
  </si>
  <si>
    <t>Melting_Curves/meltCurve_sp_Q15555_4_MARE2_HUMAN_.pdf</t>
  </si>
  <si>
    <t>Melting_Curves/meltCurve_sp_Q15596_NCOA2_HUMAN_.pdf</t>
  </si>
  <si>
    <t>Melting_Curves/meltCurve_sp_Q15599_NHRF2_HUMAN_.pdf</t>
  </si>
  <si>
    <t>Melting_Curves/meltCurve_sp_Q15633_2_TRBP2_HUMAN_.pdf</t>
  </si>
  <si>
    <t>Melting_Curves/meltCurve_sp_Q15637_5_SF01_HUMAN_.pdf</t>
  </si>
  <si>
    <t>Melting_Curves/meltCurve_sp_Q15642_CIP4_HUMAN_.pdf</t>
  </si>
  <si>
    <t>Melting_Curves/meltCurve_sp_Q15643_TRIPB_HUMAN_.pdf</t>
  </si>
  <si>
    <t>Melting_Curves/meltCurve_sp_Q15652_2_JHD2C_HUMAN_.pdf</t>
  </si>
  <si>
    <t>Melting_Curves/meltCurve_sp_Q15654_TRIP6_HUMAN_.pdf</t>
  </si>
  <si>
    <t>Melting_Curves/meltCurve_sp_Q15691_MARE1_HUMAN_.pdf</t>
  </si>
  <si>
    <t>Melting_Curves/meltCurve_sp_Q15714_2_T22D1_HUMAN_.pdf</t>
  </si>
  <si>
    <t>Melting_Curves/meltCurve_sp_Q15717_ELAV1_HUMAN_.pdf</t>
  </si>
  <si>
    <t>Melting_Curves/meltCurve_sp_Q15746_6_MYLK_HUMAN_.pdf</t>
  </si>
  <si>
    <t>Melting_Curves/meltCurve_sp_Q15750_2_TAB1_HUMAN_.pdf</t>
  </si>
  <si>
    <t>Melting_Curves/meltCurve_sp_Q15813_TBCE_HUMAN_.pdf</t>
  </si>
  <si>
    <t>Melting_Curves/meltCurve_sp_Q15814_TBCC_HUMAN_.pdf</t>
  </si>
  <si>
    <t>Melting_Curves/meltCurve_sp_Q15819_UB2V2_HUMAN_.pdf</t>
  </si>
  <si>
    <t>Melting_Curves/meltCurve_sp_Q15833_STXB2_HUMAN_.pdf</t>
  </si>
  <si>
    <t>Melting_Curves/meltCurve_sp_Q15847_ADIRF_HUMAN_.pdf</t>
  </si>
  <si>
    <t>Melting_Curves/meltCurve_sp_Q15907_RB11B_HUMAN_.pdf</t>
  </si>
  <si>
    <t>Melting_Curves/meltCurve_sp_Q15942_ZYX_HUMAN_.pdf</t>
  </si>
  <si>
    <t>Melting_Curves/meltCurve_sp_Q16181_SEPT7_HUMAN_.pdf</t>
  </si>
  <si>
    <t>Melting_Curves/meltCurve_sp_Q16186_ADRM1_HUMAN_.pdf</t>
  </si>
  <si>
    <t>Melting_Curves/meltCurve_sp_Q16204_CCDC6_HUMAN_.pdf</t>
  </si>
  <si>
    <t>Melting_Curves/meltCurve_sp_Q16222_3_UAP1_HUMAN_.pdf</t>
  </si>
  <si>
    <t>Melting_Curves/meltCurve_sp_Q16270_2_IBP7_HUMAN_.pdf</t>
  </si>
  <si>
    <t>Melting_Curves/meltCurve_sp_Q16401_2_PSMD5_HUMAN_.pdf</t>
  </si>
  <si>
    <t>Melting_Curves/meltCurve_sp_Q16513_3_PKN2_HUMAN_.pdf</t>
  </si>
  <si>
    <t>Melting_Curves/meltCurve_sp_Q16531_DDB1_HUMAN_.pdf</t>
  </si>
  <si>
    <t>Melting_Curves/meltCurve_sp_Q16539_MK14_HUMAN_.pdf</t>
  </si>
  <si>
    <t>Melting_Curves/meltCurve_sp_Q16543_CDC37_HUMAN_.pdf</t>
  </si>
  <si>
    <t>Melting_Curves/meltCurve_sp_Q16555_2_DPYL2_HUMAN_.pdf</t>
  </si>
  <si>
    <t>Melting_Curves/meltCurve_sp_Q16576_RBBP7_HUMAN_.pdf</t>
  </si>
  <si>
    <t>Melting_Curves/meltCurve_sp_Q16625_5_OCLN_HUMAN_.pdf</t>
  </si>
  <si>
    <t>Melting_Curves/meltCurve_sp_Q16626_MEA1_HUMAN_.pdf</t>
  </si>
  <si>
    <t>Melting_Curves/meltCurve_sp_Q16629_3_SRSF7_HUMAN_.pdf</t>
  </si>
  <si>
    <t>Melting_Curves/meltCurve_sp_Q16658_FSCN1_HUMAN_.pdf</t>
  </si>
  <si>
    <t>Melting_Curves/meltCurve_sp_Q16719_KYNU_HUMAN_.pdf</t>
  </si>
  <si>
    <t>Melting_Curves/meltCurve_sp_Q16740_CLPP_HUMAN_.pdf</t>
  </si>
  <si>
    <t>Melting_Curves/meltCurve_sp_Q16762_THTR_HUMAN_.pdf</t>
  </si>
  <si>
    <t>Melting_Curves/meltCurve_sp_Q16773_KAT1_HUMAN_.pdf</t>
  </si>
  <si>
    <t>Melting_Curves/meltCurve_sp_Q16775_GLO2_HUMAN_.pdf</t>
  </si>
  <si>
    <t>Melting_Curves/meltCurve_sp_Q16787_4_LAMA3_HUMAN_.pdf</t>
  </si>
  <si>
    <t>Melting_Curves/meltCurve_sp_Q16822_PCKGM_HUMAN_.pdf</t>
  </si>
  <si>
    <t>Melting_Curves/meltCurve_sp_Q16831_UPP1_HUMAN_.pdf</t>
  </si>
  <si>
    <t>Melting_Curves/meltCurve_sp_Q16836_HCDH_HUMAN_.pdf</t>
  </si>
  <si>
    <t>Melting_Curves/meltCurve_sp_Q16851_2_UGPA_HUMAN_.pdf</t>
  </si>
  <si>
    <t>Melting_Curves/meltCurve_sp_Q16851_UGPA_HUMAN_.pdf</t>
  </si>
  <si>
    <t>Melting_Curves/meltCurve_sp_Q16854_DGUOK_HUMAN_.pdf</t>
  </si>
  <si>
    <t>Melting_Curves/meltCurve_sp_Q16878_CDO1_HUMAN_.pdf</t>
  </si>
  <si>
    <t>Melting_Curves/meltCurve_sp_Q17R31_5_TATD3_HUMAN_.pdf</t>
  </si>
  <si>
    <t>Melting_Curves/meltCurve_sp_Q17RC7_EX3L4_HUMAN_.pdf</t>
  </si>
  <si>
    <t>Melting_Curves/meltCurve_sp_Q17RN3_FA98C_HUMAN_.pdf</t>
  </si>
  <si>
    <t>Melting_Curves/meltCurve_sp_Q27J81_INF2_HUMAN_.pdf</t>
  </si>
  <si>
    <t>Melting_Curves/meltCurve_sp_Q29RF7_PDS5A_HUMAN_.pdf</t>
  </si>
  <si>
    <t>Melting_Curves/meltCurve_sp_Q2M389_WASH7_HUMAN_.pdf</t>
  </si>
  <si>
    <t>Melting_Curves/meltCurve_sp_Q2PPJ7_3_RGPA2_HUMAN_.pdf</t>
  </si>
  <si>
    <t>Melting_Curves/meltCurve_sp_Q2T9J0_TYSD1_HUMAN_.pdf</t>
  </si>
  <si>
    <t>Melting_Curves/meltCurve_sp_Q2TAY7_SMU1_HUMAN_.pdf</t>
  </si>
  <si>
    <t>Melting_Curves/meltCurve_sp_Q2TAZ0_ATG2A_HUMAN_.pdf</t>
  </si>
  <si>
    <t>Melting_Curves/meltCurve_sp_Q32MZ4_2_LRRF1_HUMAN_.pdf</t>
  </si>
  <si>
    <t>Melting_Curves/meltCurve_sp_Q32MZ4_4_LRRF1_HUMAN_.pdf</t>
  </si>
  <si>
    <t>Melting_Curves/meltCurve_sp_Q32P44_EMAL3_HUMAN_.pdf</t>
  </si>
  <si>
    <t>Melting_Curves/meltCurve_sp_Q3B7J2_GFOD2_HUMAN_.pdf</t>
  </si>
  <si>
    <t>Melting_Curves/meltCurve_sp_Q3LXA3_DHAK_HUMAN_.pdf</t>
  </si>
  <si>
    <t>Melting_Curves/meltCurve_sp_Q3MHD2_LSM12_HUMAN_.pdf</t>
  </si>
  <si>
    <t>Melting_Curves/meltCurve_sp_Q3MIT2_PUS10_HUMAN_.pdf</t>
  </si>
  <si>
    <t>Melting_Curves/meltCurve_sp_Q3ZCW2_LEGL_HUMAN_.pdf</t>
  </si>
  <si>
    <t>Melting_Curves/meltCurve_sp_Q49A26_5_GLYR1_HUMAN_.pdf</t>
  </si>
  <si>
    <t>Melting_Curves/meltCurve_sp_Q49AH0_CDNF_HUMAN_.pdf</t>
  </si>
  <si>
    <t>Melting_Curves/meltCurve_sp_Q49AR2_3_CE022_HUMAN_.pdf</t>
  </si>
  <si>
    <t>Melting_Curves/meltCurve_sp_Q49B96_COX19_HUMAN_.pdf</t>
  </si>
  <si>
    <t>Melting_Curves/meltCurve_sp_Q4G0F5_VP26B_HUMAN_.pdf</t>
  </si>
  <si>
    <t>Melting_Curves/meltCurve_sp_Q4G0J3_LARP7_HUMAN_.pdf</t>
  </si>
  <si>
    <t>Melting_Curves/meltCurve_sp_Q4G0N4_NAKD1_HUMAN_.pdf</t>
  </si>
  <si>
    <t>Melting_Curves/meltCurve_sp_Q4G0X4_KCD21_HUMAN_.pdf</t>
  </si>
  <si>
    <t>Melting_Curves/meltCurve_sp_Q4G176_ACSF3_HUMAN_.pdf</t>
  </si>
  <si>
    <t>Melting_Curves/meltCurve_sp_Q4KMP7_TB10B_HUMAN_.pdf</t>
  </si>
  <si>
    <t>Melting_Curves/meltCurve_sp_Q4KWH8_3_PLCH1_HUMAN_.pdf</t>
  </si>
  <si>
    <t>Melting_Curves/meltCurve_sp_Q4V328_GRAP1_HUMAN_.pdf</t>
  </si>
  <si>
    <t>Melting_Curves/meltCurve_sp_Q504Q3_2_PAN2_HUMAN_.pdf</t>
  </si>
  <si>
    <t>Melting_Curves/meltCurve_sp_Q52LJ0_2_FA98B_HUMAN_.pdf</t>
  </si>
  <si>
    <t>Melting_Curves/meltCurve_sp_Q52LW3_RHG29_HUMAN_.pdf</t>
  </si>
  <si>
    <t>Melting_Curves/meltCurve_sp_Q53FA7_QORX_HUMAN_.pdf</t>
  </si>
  <si>
    <t>Melting_Curves/meltCurve_sp_Q53FZ2_ACSM3_HUMAN_.pdf</t>
  </si>
  <si>
    <t>Melting_Curves/meltCurve_sp_Q53GS9_3_SNUT2_HUMAN_.pdf</t>
  </si>
  <si>
    <t>Melting_Curves/meltCurve_sp_Q53H82_LACB2_HUMAN_.pdf</t>
  </si>
  <si>
    <t>Melting_Curves/meltCurve_sp_Q53HC9_TSSC1_HUMAN_.pdf</t>
  </si>
  <si>
    <t>Melting_Curves/meltCurve_sp_Q53LP3_SWAHC_HUMAN_.pdf</t>
  </si>
  <si>
    <t>Melting_Curves/meltCurve_sp_Q53S33_BOLA3_HUMAN_.pdf</t>
  </si>
  <si>
    <t>Melting_Curves/meltCurve_sp_Q58FF8_H90B2_HUMAN_.pdf</t>
  </si>
  <si>
    <t>Melting_Curves/meltCurve_sp_Q58FG1_HS904_HUMAN_.pdf</t>
  </si>
  <si>
    <t>Melting_Curves/meltCurve_sp_Q58WW2_4_DCAF6_HUMAN_.pdf</t>
  </si>
  <si>
    <t>Melting_Curves/meltCurve_sp_Q5BKU9_OXLD1_HUMAN_.pdf</t>
  </si>
  <si>
    <t>Melting_Curves/meltCurve_sp_Q5EBL8_PDZ11_HUMAN_.pdf</t>
  </si>
  <si>
    <t>Melting_Curves/meltCurve_sp_Q5EBM0_CMPK2_HUMAN_.pdf</t>
  </si>
  <si>
    <t>Melting_Curves/meltCurve_sp_Q5GLZ8_6_HERC4_HUMAN_.pdf</t>
  </si>
  <si>
    <t>Melting_Curves/meltCurve_sp_Q5HYK7_3_SH319_HUMAN_.pdf</t>
  </si>
  <si>
    <t>Melting_Curves/meltCurve_sp_Q5JR59_4_MTUS2_HUMAN_.pdf</t>
  </si>
  <si>
    <t>Melting_Curves/meltCurve_sp_Q5JRX3_PREP_HUMAN_.pdf</t>
  </si>
  <si>
    <t>Melting_Curves/meltCurve_sp_Q5JS37_NHLC3_HUMAN_.pdf</t>
  </si>
  <si>
    <t>Melting_Curves/meltCurve_sp_Q5JSH3_2_WDR44_HUMAN_.pdf</t>
  </si>
  <si>
    <t>Melting_Curves/meltCurve_sp_Q5JTD0_4_TJAP1_HUMAN_.pdf</t>
  </si>
  <si>
    <t>Melting_Curves/meltCurve_sp_Q5JTJ3_3_COA6_HUMAN_.pdf</t>
  </si>
  <si>
    <t>Melting_Curves/meltCurve_sp_Q5JTV8_2_TOIP1_HUMAN_.pdf</t>
  </si>
  <si>
    <t>Melting_Curves/meltCurve_sp_Q5JTZ9_SYAM_HUMAN_.pdf</t>
  </si>
  <si>
    <t>Melting_Curves/meltCurve_sp_Q5JVF3_3_PCID2_HUMAN_.pdf</t>
  </si>
  <si>
    <t>Melting_Curves/meltCurve_sp_Q5JVS0_HABP4_HUMAN_.pdf</t>
  </si>
  <si>
    <t>Melting_Curves/meltCurve_sp_Q5MIZ7_3_P4R3B_HUMAN_.pdf</t>
  </si>
  <si>
    <t>Melting_Curves/meltCurve_sp_Q5MNZ6_WIPI3_HUMAN_.pdf</t>
  </si>
  <si>
    <t>Melting_Curves/meltCurve_sp_Q5QJ74_TBCEL_HUMAN_.pdf</t>
  </si>
  <si>
    <t>Melting_Curves/meltCurve_sp_Q5R3I4_TTC38_HUMAN_.pdf</t>
  </si>
  <si>
    <t>Melting_Curves/meltCurve_sp_Q5RHP9_CA173_HUMAN_.pdf</t>
  </si>
  <si>
    <t>Melting_Curves/meltCurve_sp_Q5RKV6_EXOS6_HUMAN_.pdf</t>
  </si>
  <si>
    <t>Melting_Curves/meltCurve_sp_Q5SRE5_2_NU188_HUMAN_.pdf</t>
  </si>
  <si>
    <t>Melting_Curves/meltCurve_sp_Q5SRE7_2_PHYD1_HUMAN_.pdf</t>
  </si>
  <si>
    <t>Melting_Curves/meltCurve_sp_Q5SSJ5_HP1B3_HUMAN_.pdf</t>
  </si>
  <si>
    <t>Melting_Curves/meltCurve_sp_Q5ST30_SYVM_HUMAN_.pdf</t>
  </si>
  <si>
    <t>Melting_Curves/meltCurve_sp_Q5SW79_2_CE170_HUMAN_.pdf</t>
  </si>
  <si>
    <t>Melting_Curves/meltCurve_sp_Q5SXM8_DNLZ_HUMAN_.pdf</t>
  </si>
  <si>
    <t>Melting_Curves/meltCurve_sp_Q5SYE7_2_NHSL1_HUMAN_.pdf</t>
  </si>
  <si>
    <t>Melting_Curves/meltCurve_sp_Q5T0N5_3_FBP1L_HUMAN_.pdf</t>
  </si>
  <si>
    <t>Melting_Curves/meltCurve_sp_Q5T160_SYRM_HUMAN_.pdf</t>
  </si>
  <si>
    <t>Melting_Curves/meltCurve_sp_Q5T1M5_FKB15_HUMAN_.pdf</t>
  </si>
  <si>
    <t>Melting_Curves/meltCurve_sp_Q5T2E6_CJ076_HUMAN_.pdf</t>
  </si>
  <si>
    <t>Melting_Curves/meltCurve_sp_Q5T2W1_NHRF3_HUMAN_.pdf</t>
  </si>
  <si>
    <t>Melting_Curves/meltCurve_sp_Q5T440_CAF17_HUMAN_.pdf</t>
  </si>
  <si>
    <t>Melting_Curves/meltCurve_sp_Q5T4F4_6_ZFY27_HUMAN_.pdf</t>
  </si>
  <si>
    <t>Melting_Curves/meltCurve_sp_Q5T4S7_3_UBR4_HUMAN_.pdf</t>
  </si>
  <si>
    <t>Melting_Curves/meltCurve_sp_Q5T5P2_SKT_HUMAN_.pdf</t>
  </si>
  <si>
    <t>Melting_Curves/meltCurve_sp_Q5T5U3_3_RHG21_HUMAN_.pdf</t>
  </si>
  <si>
    <t>Melting_Curves/meltCurve_sp_Q5T6F2_UBAP2_HUMAN_.pdf</t>
  </si>
  <si>
    <t>Melting_Curves/meltCurve_sp_Q5T6J7_GNTK_HUMAN_.pdf</t>
  </si>
  <si>
    <t>Melting_Curves/meltCurve_sp_Q5T6V5_CI064_HUMAN_.pdf</t>
  </si>
  <si>
    <t>Melting_Curves/meltCurve_sp_Q5T7V8_GORAB_HUMAN_.pdf</t>
  </si>
  <si>
    <t>Melting_Curves/meltCurve_sp_Q5T8D3_2_ACBD5_HUMAN_.pdf</t>
  </si>
  <si>
    <t>Melting_Curves/meltCurve_sp_Q5T8D3_ACBD5_HUMAN_.pdf</t>
  </si>
  <si>
    <t>Melting_Curves/meltCurve_sp_Q5T8P6_2_RBM26_HUMAN_.pdf</t>
  </si>
  <si>
    <t>Melting_Curves/meltCurve_sp_Q5TA50_GLTD1_HUMAN_.pdf</t>
  </si>
  <si>
    <t>Melting_Curves/meltCurve_sp_Q5TC12_ATPF1_HUMAN_.pdf</t>
  </si>
  <si>
    <t>Melting_Curves/meltCurve_sp_Q5TCQ9_4_MAGI3_HUMAN_.pdf</t>
  </si>
  <si>
    <t>Melting_Curves/meltCurve_sp_Q5TDH0_DDI2_HUMAN_.pdf</t>
  </si>
  <si>
    <t>Melting_Curves/meltCurve_sp_Q5TEU4_NDUF5_HUMAN_.pdf</t>
  </si>
  <si>
    <t>Melting_Curves/meltCurve_sp_Q5TFE4_NT5D1_HUMAN_.pdf</t>
  </si>
  <si>
    <t>Melting_Curves/meltCurve_sp_Q5TFQ8_SIRBL_HUMAN_.pdf</t>
  </si>
  <si>
    <t>Melting_Curves/meltCurve_sp_Q5U5X0_LYRM7_HUMAN_.pdf</t>
  </si>
  <si>
    <t>Melting_Curves/meltCurve_sp_Q5UIP0_2_RIF1_HUMAN_.pdf</t>
  </si>
  <si>
    <t>Melting_Curves/meltCurve_sp_Q5VIR6_4_VPS53_HUMAN_.pdf</t>
  </si>
  <si>
    <t>Melting_Curves/meltCurve_sp_Q5VSL9_STRP1_HUMAN_.pdf</t>
  </si>
  <si>
    <t>Melting_Curves/meltCurve_sp_Q5VT06_CE350_HUMAN_.pdf</t>
  </si>
  <si>
    <t>Melting_Curves/meltCurve_sp_Q5VT52_2_RPRD2_HUMAN_.pdf</t>
  </si>
  <si>
    <t>Melting_Curves/meltCurve_sp_Q5VTB9_RN220_HUMAN_.pdf</t>
  </si>
  <si>
    <t>Melting_Curves/meltCurve_sp_Q5VTE0_EF1A3_HUMAN_.pdf</t>
  </si>
  <si>
    <t>Melting_Curves/meltCurve_sp_Q5VTR2_BRE1A_HUMAN_.pdf</t>
  </si>
  <si>
    <t>Melting_Curves/meltCurve_sp_Q5VUA4_ZN318_HUMAN_.pdf</t>
  </si>
  <si>
    <t>Melting_Curves/meltCurve_sp_Q5VUE5_CA053_HUMAN_.pdf</t>
  </si>
  <si>
    <t>Melting_Curves/meltCurve_sp_Q5VVQ6_2_OTU1_HUMAN_.pdf</t>
  </si>
  <si>
    <t>Melting_Curves/meltCurve_sp_Q5VW32_BROX_HUMAN_.pdf</t>
  </si>
  <si>
    <t>Melting_Curves/meltCurve_sp_Q5VW36_FOCAD_HUMAN_.pdf</t>
  </si>
  <si>
    <t>Melting_Curves/meltCurve_sp_Q5VWP3_MLIP_HUMAN_.pdf</t>
  </si>
  <si>
    <t>Melting_Curves/meltCurve_sp_Q5VWQ8_3_DAB2P_HUMAN_.pdf</t>
  </si>
  <si>
    <t>Melting_Curves/meltCurve_sp_Q5VWZ2_LYPL1_HUMAN_.pdf</t>
  </si>
  <si>
    <t>Melting_Curves/meltCurve_sp_Q5VYK3_ECM29_HUMAN_.pdf</t>
  </si>
  <si>
    <t>Melting_Curves/meltCurve_sp_Q5VYS8_6_TUT7_HUMAN_.pdf</t>
  </si>
  <si>
    <t>Melting_Curves/meltCurve_sp_Q5VYX0_2_RNLS_HUMAN_.pdf</t>
  </si>
  <si>
    <t>Melting_Curves/meltCurve_sp_Q5VZL5_4_ZMYM4_HUMAN_.pdf</t>
  </si>
  <si>
    <t>Melting_Curves/meltCurve_sp_Q5W0V3_F16B1_HUMAN_.pdf</t>
  </si>
  <si>
    <t>Melting_Curves/meltCurve_sp_Q5W111_2_SPRY7_HUMAN_.pdf</t>
  </si>
  <si>
    <t>Melting_Curves/meltCurve_sp_Q63HM1_KFA_HUMAN_.pdf</t>
  </si>
  <si>
    <t>Melting_Curves/meltCurve_sp_Q63HN8_RN213_HUMAN_.pdf</t>
  </si>
  <si>
    <t>Melting_Curves/meltCurve_sp_Q63HR2_2_TENC1_HUMAN_.pdf</t>
  </si>
  <si>
    <t>Melting_Curves/meltCurve_sp_Q63ZY3_3_KANK2_HUMAN_.pdf</t>
  </si>
  <si>
    <t>Melting_Curves/meltCurve_sp_Q63ZY6_4_NSN5C_HUMAN_.pdf</t>
  </si>
  <si>
    <t>Melting_Curves/meltCurve_sp_Q66K14_2_TBC9B_HUMAN_.pdf</t>
  </si>
  <si>
    <t>Melting_Curves/meltCurve_sp_Q66PJ3_AR6P4_HUMAN_.pdf</t>
  </si>
  <si>
    <t>Melting_Curves/meltCurve_sp_Q676U5_2_A16L1_HUMAN_.pdf</t>
  </si>
  <si>
    <t>Melting_Curves/meltCurve_sp_Q68CK6_ACS2B_HUMAN_.pdf</t>
  </si>
  <si>
    <t>Melting_Curves/meltCurve_sp_Q68CQ4_DIEXF_HUMAN_.pdf</t>
  </si>
  <si>
    <t>Melting_Curves/meltCurve_sp_Q68CZ2_TENS3_HUMAN_.pdf</t>
  </si>
  <si>
    <t>Melting_Curves/meltCurve_sp_Q68EM7_6_RHG17_HUMAN_.pdf</t>
  </si>
  <si>
    <t>Melting_Curves/meltCurve_sp_Q69YN2_C19L1_HUMAN_.pdf</t>
  </si>
  <si>
    <t>Melting_Curves/meltCurve_sp_Q69YQ0_2_CYTSA_HUMAN_.pdf</t>
  </si>
  <si>
    <t>Melting_Curves/meltCurve_sp_Q6A1A2_PDPK2_HUMAN_.pdf</t>
  </si>
  <si>
    <t>Melting_Curves/meltCurve_sp_Q6DD88_ATLA3_HUMAN_.pdf</t>
  </si>
  <si>
    <t>Melting_Curves/meltCurve_sp_Q6DN90_2_IQEC1_HUMAN_.pdf</t>
  </si>
  <si>
    <t>Melting_Curves/meltCurve_sp_Q6EEV4_2_GL1AD_HUMAN_.pdf</t>
  </si>
  <si>
    <t>Melting_Curves/meltCurve_sp_Q6EMK4_VASN_HUMAN_.pdf</t>
  </si>
  <si>
    <t>Melting_Curves/meltCurve_sp_Q6FI81_3_CPIN1_HUMAN_.pdf</t>
  </si>
  <si>
    <t>Melting_Curves/meltCurve_sp_Q6FIF0_2_ZFAN6_HUMAN_.pdf</t>
  </si>
  <si>
    <t>Melting_Curves/meltCurve_sp_Q6GMR7_FAAH2_HUMAN_.pdf</t>
  </si>
  <si>
    <t>Melting_Curves/meltCurve_sp_Q6GMV2_SMYD5_HUMAN_.pdf</t>
  </si>
  <si>
    <t>Melting_Curves/meltCurve_sp_Q6GMV3_PTRD1_HUMAN_.pdf</t>
  </si>
  <si>
    <t>Melting_Curves/meltCurve_sp_Q6GQQ9_2_OTU7B_HUMAN_.pdf</t>
  </si>
  <si>
    <t>Melting_Curves/meltCurve_sp_Q6IA69_NADE_HUMAN_.pdf</t>
  </si>
  <si>
    <t>Melting_Curves/meltCurve_sp_Q6IA86_4_ELP2_HUMAN_.pdf</t>
  </si>
  <si>
    <t>Melting_Curves/meltCurve_sp_Q6IB77_GLYAT_HUMAN_.pdf</t>
  </si>
  <si>
    <t>Melting_Curves/meltCurve_sp_Q6IBS0_TWF2_HUMAN_.pdf</t>
  </si>
  <si>
    <t>Melting_Curves/meltCurve_sp_Q6IC98_GRAM4_HUMAN_.pdf</t>
  </si>
  <si>
    <t>Melting_Curves/meltCurve_sp_Q6IN85_2_P4R3A_HUMAN_.pdf</t>
  </si>
  <si>
    <t>Melting_Curves/meltCurve_sp_Q6IPR1_LYRM5_HUMAN_.pdf</t>
  </si>
  <si>
    <t>Melting_Curves/meltCurve_sp_Q6IQ22_RAB12_HUMAN_.pdf</t>
  </si>
  <si>
    <t>Melting_Curves/meltCurve_sp_Q6IQ23_PKHA7_HUMAN_.pdf</t>
  </si>
  <si>
    <t>Melting_Curves/meltCurve_sp_Q6JQN1_ACD10_HUMAN_.pdf</t>
  </si>
  <si>
    <t>Melting_Curves/meltCurve_sp_Q6KC79_3_NIPBL_HUMAN_.pdf</t>
  </si>
  <si>
    <t>Melting_Curves/meltCurve_sp_Q6N043_2_Z280D_HUMAN_.pdf</t>
  </si>
  <si>
    <t>Melting_Curves/meltCurve_sp_Q6N063_OGFD2_HUMAN_.pdf</t>
  </si>
  <si>
    <t>Melting_Curves/meltCurve_sp_Q6NUN0_ACSM5_HUMAN_.pdf</t>
  </si>
  <si>
    <t>Melting_Curves/meltCurve_sp_Q6NUQ4_2_TM214_HUMAN_.pdf</t>
  </si>
  <si>
    <t>Melting_Curves/meltCurve_sp_Q6NVY1_HIBCH_HUMAN_.pdf</t>
  </si>
  <si>
    <t>Melting_Curves/meltCurve_sp_Q6NYC8_PPR18_HUMAN_.pdf</t>
  </si>
  <si>
    <t>Melting_Curves/meltCurve_sp_Q6NZY4_ZCHC8_HUMAN_.pdf</t>
  </si>
  <si>
    <t>Melting_Curves/meltCurve_sp_Q6P1J9_CDC73_HUMAN_.pdf</t>
  </si>
  <si>
    <t>Melting_Curves/meltCurve_sp_Q6P1N0_2_C2D1A_HUMAN_.pdf</t>
  </si>
  <si>
    <t>Melting_Curves/meltCurve_sp_Q6P1N9_TATD1_HUMAN_.pdf</t>
  </si>
  <si>
    <t>Melting_Curves/meltCurve_sp_Q6P1X6_CH082_HUMAN_.pdf</t>
  </si>
  <si>
    <t>Melting_Curves/meltCurve_sp_Q6P2E9_EDC4_HUMAN_.pdf</t>
  </si>
  <si>
    <t>Melting_Curves/meltCurve_sp_Q6P2P2_ANM10_HUMAN_.pdf</t>
  </si>
  <si>
    <t>Melting_Curves/meltCurve_sp_Q6P2Q9_PRP8_HUMAN_.pdf</t>
  </si>
  <si>
    <t>Melting_Curves/meltCurve_sp_Q6P3X3_TTC27_HUMAN_.pdf</t>
  </si>
  <si>
    <t>Melting_Curves/meltCurve_sp_Q6P4A8_PLBL1_HUMAN_.pdf</t>
  </si>
  <si>
    <t>Melting_Curves/meltCurve_sp_Q6P4F2_ADXL_HUMAN_.pdf</t>
  </si>
  <si>
    <t>Melting_Curves/meltCurve_sp_Q6P587_FAHD1_HUMAN_.pdf</t>
  </si>
  <si>
    <t>Melting_Curves/meltCurve_sp_Q6P6B1_CH047_HUMAN_.pdf</t>
  </si>
  <si>
    <t>Melting_Curves/meltCurve_sp_Q6PD74_AAGAB_HUMAN_.pdf</t>
  </si>
  <si>
    <t>Melting_Curves/meltCurve_sp_Q6PGP7_TTC37_HUMAN_.pdf</t>
  </si>
  <si>
    <t>Melting_Curves/meltCurve_sp_Q6PI48_SYDM_HUMAN_.pdf</t>
  </si>
  <si>
    <t>Melting_Curves/meltCurve_sp_Q6PJT7_5_ZC3HE_HUMAN_.pdf</t>
  </si>
  <si>
    <t>Melting_Curves/meltCurve_sp_Q6PKG0_LARP1_HUMAN_.pdf</t>
  </si>
  <si>
    <t>Melting_Curves/meltCurve_sp_Q6QHF9_4_PAOX_HUMAN_.pdf</t>
  </si>
  <si>
    <t>Melting_Curves/meltCurve_sp_Q6QNY0_BL1S3_HUMAN_.pdf</t>
  </si>
  <si>
    <t>Melting_Curves/meltCurve_sp_Q6UB28_AMP1D_HUMAN_.pdf</t>
  </si>
  <si>
    <t>Melting_Curves/meltCurve_sp_Q6ULP2_5_AFTIN_HUMAN_.pdf</t>
  </si>
  <si>
    <t>Melting_Curves/meltCurve_sp_Q6UN15_4_FIP1_HUMAN_.pdf</t>
  </si>
  <si>
    <t>Melting_Curves/meltCurve_sp_Q6UWE0_2_LRSM1_HUMAN_.pdf</t>
  </si>
  <si>
    <t>Melting_Curves/meltCurve_sp_Q6UWP2_DHR11_HUMAN_.pdf</t>
  </si>
  <si>
    <t>Melting_Curves/meltCurve_sp_Q6UX53_MET7B_HUMAN_.pdf</t>
  </si>
  <si>
    <t>Melting_Curves/meltCurve_sp_Q6UXH1_4_CREL2_HUMAN_.pdf</t>
  </si>
  <si>
    <t>Melting_Curves/meltCurve_sp_Q6UXN9_WDR82_HUMAN_.pdf</t>
  </si>
  <si>
    <t>Melting_Curves/meltCurve_sp_Q6UXV4_APOOL_HUMAN_.pdf</t>
  </si>
  <si>
    <t>Melting_Curves/meltCurve_sp_Q6VY07_PACS1_HUMAN_.pdf</t>
  </si>
  <si>
    <t>Melting_Curves/meltCurve_sp_Q6XQN6_PNCB_HUMAN_.pdf</t>
  </si>
  <si>
    <t>Melting_Curves/meltCurve_sp_Q6XZF7_DNMBP_HUMAN_.pdf</t>
  </si>
  <si>
    <t>Melting_Curves/meltCurve_sp_Q6Y7W6_4_PERQ2_HUMAN_.pdf</t>
  </si>
  <si>
    <t>Melting_Curves/meltCurve_sp_Q6YN16_HSDL2_HUMAN_.pdf</t>
  </si>
  <si>
    <t>Melting_Curves/meltCurve_sp_Q6YP21_3_KAT3_HUMAN_.pdf</t>
  </si>
  <si>
    <t>Melting_Curves/meltCurve_sp_Q6ZMI0_PPR21_HUMAN_.pdf</t>
  </si>
  <si>
    <t>Melting_Curves/meltCurve_sp_Q6ZNW5_GDPP1_HUMAN_.pdf</t>
  </si>
  <si>
    <t>Melting_Curves/meltCurve_sp_Q6ZSJ8_CA122_HUMAN_.pdf</t>
  </si>
  <si>
    <t>Melting_Curves/meltCurve_sp_Q6ZT12_UBR3_HUMAN_.pdf</t>
  </si>
  <si>
    <t>Melting_Curves/meltCurve_sp_Q6ZUJ8_BCAP_HUMAN_.pdf</t>
  </si>
  <si>
    <t>Melting_Curves/meltCurve_sp_Q709C8_3_VP13C_HUMAN_.pdf</t>
  </si>
  <si>
    <t>Melting_Curves/meltCurve_sp_Q709F0_ACD11_HUMAN_.pdf</t>
  </si>
  <si>
    <t>Melting_Curves/meltCurve_sp_Q70E73_RAPH1_HUMAN_.pdf</t>
  </si>
  <si>
    <t>Melting_Curves/meltCurve_sp_Q712K3_UB2R2_HUMAN_.pdf</t>
  </si>
  <si>
    <t>Melting_Curves/meltCurve_sp_Q71RC2_6_LARP4_HUMAN_.pdf</t>
  </si>
  <si>
    <t>Melting_Curves/meltCurve_sp_Q71U36_2_TBA1A_HUMAN_.pdf</t>
  </si>
  <si>
    <t>Melting_Curves/meltCurve_sp_Q765P7_MTSSL_HUMAN_.pdf</t>
  </si>
  <si>
    <t>Melting_Curves/meltCurve_sp_Q7KZ85_SPT6H_HUMAN_.pdf</t>
  </si>
  <si>
    <t>Melting_Curves/meltCurve_sp_Q7KZF4_SND1_HUMAN_.pdf</t>
  </si>
  <si>
    <t>Melting_Curves/meltCurve_sp_Q7KZI7_12_MARK2_HUMAN_.pdf</t>
  </si>
  <si>
    <t>Melting_Curves/meltCurve_sp_Q7L014_DDX46_HUMAN_.pdf</t>
  </si>
  <si>
    <t>Melting_Curves/meltCurve_sp_Q7L099_4_RUFY3_HUMAN_.pdf</t>
  </si>
  <si>
    <t>Melting_Curves/meltCurve_sp_Q7L0Y3_MRRP1_HUMAN_.pdf</t>
  </si>
  <si>
    <t>Melting_Curves/meltCurve_sp_Q7L1Q6_BZW1_HUMAN_.pdf</t>
  </si>
  <si>
    <t>Melting_Curves/meltCurve_sp_Q7L1W4_LRC8D_HUMAN_.pdf</t>
  </si>
  <si>
    <t>Melting_Curves/meltCurve_sp_Q7L2J0_MEPCE_HUMAN_.pdf</t>
  </si>
  <si>
    <t>Melting_Curves/meltCurve_sp_Q7L576_CYFP1_HUMAN_.pdf</t>
  </si>
  <si>
    <t>Melting_Curves/meltCurve_sp_Q7L5D6_GET4_HUMAN_.pdf</t>
  </si>
  <si>
    <t>Melting_Curves/meltCurve_sp_Q7L5Y1_ENOF1_HUMAN_.pdf</t>
  </si>
  <si>
    <t>Melting_Curves/meltCurve_sp_Q7L775_EPMIP_HUMAN_.pdf</t>
  </si>
  <si>
    <t>Melting_Curves/meltCurve_sp_Q7L7X3_3_TAOK1_HUMAN_.pdf</t>
  </si>
  <si>
    <t>Melting_Curves/meltCurve_sp_Q7L8L6_FAKD5_HUMAN_.pdf</t>
  </si>
  <si>
    <t>Melting_Curves/meltCurve_sp_Q7LBC6_KDM3B_HUMAN_.pdf</t>
  </si>
  <si>
    <t>Melting_Curves/meltCurve_sp_Q7LBR1_CHM1B_HUMAN_.pdf</t>
  </si>
  <si>
    <t>Melting_Curves/meltCurve_sp_Q7LG56_RIR2B_HUMAN_.pdf</t>
  </si>
  <si>
    <t>Melting_Curves/meltCurve_sp_Q7RTP6_MICA3_HUMAN_.pdf</t>
  </si>
  <si>
    <t>Melting_Curves/meltCurve_sp_Q7RTV0_PHF5A_HUMAN_.pdf</t>
  </si>
  <si>
    <t>Melting_Curves/meltCurve_sp_Q7Z2W4_ZCCHV_HUMAN_.pdf</t>
  </si>
  <si>
    <t>Melting_Curves/meltCurve_sp_Q7Z2Z2_ETUD1_HUMAN_.pdf</t>
  </si>
  <si>
    <t>Melting_Curves/meltCurve_sp_Q7Z3J2_CP062_HUMAN_.pdf</t>
  </si>
  <si>
    <t>Melting_Curves/meltCurve_sp_Q7Z3T8_ZFY16_HUMAN_.pdf</t>
  </si>
  <si>
    <t>Melting_Curves/meltCurve_sp_Q7Z406_6_MYH14_HUMAN_.pdf</t>
  </si>
  <si>
    <t>Melting_Curves/meltCurve_sp_Q7Z417_NUFP2_HUMAN_.pdf</t>
  </si>
  <si>
    <t>Melting_Curves/meltCurve_sp_Q7Z422_2_SZRD1_HUMAN_.pdf</t>
  </si>
  <si>
    <t>Melting_Curves/meltCurve_sp_Q7Z434_MAVS_HUMAN_.pdf</t>
  </si>
  <si>
    <t>Melting_Curves/meltCurve_sp_Q7Z460_2_CLAP1_HUMAN_.pdf</t>
  </si>
  <si>
    <t>Melting_Curves/meltCurve_sp_Q7Z478_DHX29_HUMAN_.pdf</t>
  </si>
  <si>
    <t>Melting_Curves/meltCurve_sp_Q7Z4G1_COMD6_HUMAN_.pdf</t>
  </si>
  <si>
    <t>Melting_Curves/meltCurve_sp_Q7Z4G4_2_TRM11_HUMAN_.pdf</t>
  </si>
  <si>
    <t>Melting_Curves/meltCurve_sp_Q7Z4H3_2_HDDC2_HUMAN_.pdf</t>
  </si>
  <si>
    <t>Melting_Curves/meltCurve_sp_Q7Z4H8_KDEL2_HUMAN_.pdf</t>
  </si>
  <si>
    <t>Melting_Curves/meltCurve_sp_Q7Z4I7_3_LIMS2_HUMAN_.pdf</t>
  </si>
  <si>
    <t>Melting_Curves/meltCurve_sp_Q7Z4S6_3_KI21A_HUMAN_.pdf</t>
  </si>
  <si>
    <t>Melting_Curves/meltCurve_sp_Q7Z4V5_HDGR2_HUMAN_.pdf</t>
  </si>
  <si>
    <t>Melting_Curves/meltCurve_sp_Q7Z4W1_DCXR_HUMAN_.pdf</t>
  </si>
  <si>
    <t>Melting_Curves/meltCurve_sp_Q7Z5K2_3_WAPL_HUMAN_.pdf</t>
  </si>
  <si>
    <t>Melting_Curves/meltCurve_sp_Q7Z5L9_2_I2BP2_HUMAN_.pdf</t>
  </si>
  <si>
    <t>Melting_Curves/meltCurve_sp_Q7Z5P4_DHB13_HUMAN_.pdf</t>
  </si>
  <si>
    <t>Melting_Curves/meltCurve_sp_Q7Z5R6_AB1IP_HUMAN_.pdf</t>
  </si>
  <si>
    <t>Melting_Curves/meltCurve_sp_Q7Z6B0_2_CCD91_HUMAN_.pdf</t>
  </si>
  <si>
    <t>Melting_Curves/meltCurve_sp_Q7Z6E9_2_RBBP6_HUMAN_.pdf</t>
  </si>
  <si>
    <t>Melting_Curves/meltCurve_sp_Q7Z6K3_PTAR1_HUMAN_.pdf</t>
  </si>
  <si>
    <t>Melting_Curves/meltCurve_sp_Q7Z6M1_RABEK_HUMAN_.pdf</t>
  </si>
  <si>
    <t>Melting_Curves/meltCurve_sp_Q7Z6Z7_2_HUWE1_HUMAN_.pdf</t>
  </si>
  <si>
    <t>Melting_Curves/meltCurve_sp_Q7Z7E8_UB2Q1_HUMAN_.pdf</t>
  </si>
  <si>
    <t>Melting_Curves/meltCurve_sp_Q7Z7K0_COXM1_HUMAN_.pdf</t>
  </si>
  <si>
    <t>Melting_Curves/meltCurve_sp_Q86SQ0_3_PHLB2_HUMAN_.pdf</t>
  </si>
  <si>
    <t>Melting_Curves/meltCurve_sp_Q86SQ0_PHLB2_HUMAN_.pdf</t>
  </si>
  <si>
    <t>Melting_Curves/meltCurve_sp_Q86SX6_GLRX5_HUMAN_.pdf</t>
  </si>
  <si>
    <t>Melting_Curves/meltCurve_sp_Q86SZ2_2_TPC6B_HUMAN_.pdf</t>
  </si>
  <si>
    <t>Melting_Curves/meltCurve_sp_Q86TB9_4_PATL1_HUMAN_.pdf</t>
  </si>
  <si>
    <t>Melting_Curves/meltCurve_sp_Q86TI2_DPP9_HUMAN_.pdf</t>
  </si>
  <si>
    <t>Melting_Curves/meltCurve_sp_Q86TP1_PRUNE_HUMAN_.pdf</t>
  </si>
  <si>
    <t>Melting_Curves/meltCurve_sp_Q86TU7_SETD3_HUMAN_.pdf</t>
  </si>
  <si>
    <t>Melting_Curves/meltCurve_sp_Q86TX2_ACOT1_HUMAN_.pdf</t>
  </si>
  <si>
    <t>Melting_Curves/meltCurve_sp_Q86U17_SPA11_HUMAN_.pdf</t>
  </si>
  <si>
    <t>Melting_Curves/meltCurve_sp_Q86U28_ISCA2_HUMAN_.pdf</t>
  </si>
  <si>
    <t>Melting_Curves/meltCurve_sp_Q86U42_2_PABP2_HUMAN_.pdf</t>
  </si>
  <si>
    <t>Melting_Curves/meltCurve_sp_Q86U44_MTA70_HUMAN_.pdf</t>
  </si>
  <si>
    <t>Melting_Curves/meltCurve_sp_Q86U90_YRDC_HUMAN_.pdf</t>
  </si>
  <si>
    <t>Melting_Curves/meltCurve_sp_Q86UA1_PRP39_HUMAN_.pdf</t>
  </si>
  <si>
    <t>Melting_Curves/meltCurve_sp_Q86UK7_2_ZN598_HUMAN_.pdf</t>
  </si>
  <si>
    <t>Melting_Curves/meltCurve_sp_Q86UP2_KTN1_HUMAN_.pdf</t>
  </si>
  <si>
    <t>Melting_Curves/meltCurve_sp_Q86UR1_3_NOXA1_HUMAN_.pdf</t>
  </si>
  <si>
    <t>Melting_Curves/meltCurve_sp_Q86UU0_4_BCL9L_HUMAN_.pdf</t>
  </si>
  <si>
    <t>Melting_Curves/meltCurve_sp_Q86UX7_2_URP2_HUMAN_.pdf</t>
  </si>
  <si>
    <t>Melting_Curves/meltCurve_sp_Q86UY8_2_NT5D3_HUMAN_.pdf</t>
  </si>
  <si>
    <t>Melting_Curves/meltCurve_sp_Q86V81_THOC4_HUMAN_.pdf</t>
  </si>
  <si>
    <t>Melting_Curves/meltCurve_sp_Q86VM9_2_ZCH18_HUMAN_.pdf</t>
  </si>
  <si>
    <t>Melting_Curves/meltCurve_sp_Q86VN1_2_VPS36_HUMAN_.pdf</t>
  </si>
  <si>
    <t>Melting_Curves/meltCurve_sp_Q86VP6_CAND1_HUMAN_.pdf</t>
  </si>
  <si>
    <t>Melting_Curves/meltCurve_sp_Q86VQ6_TRXR3_HUMAN_.pdf</t>
  </si>
  <si>
    <t>Melting_Curves/meltCurve_sp_Q86VR2_F134C_HUMAN_.pdf</t>
  </si>
  <si>
    <t>Melting_Curves/meltCurve_sp_Q86VS8_HOOK3_HUMAN_.pdf</t>
  </si>
  <si>
    <t>Melting_Curves/meltCurve_sp_Q86VX2_2_COMD7_HUMAN_.pdf</t>
  </si>
  <si>
    <t>Melting_Curves/meltCurve_sp_Q86W92_4_LIPB1_HUMAN_.pdf</t>
  </si>
  <si>
    <t>Melting_Curves/meltCurve_sp_Q86WA6_BPHL_HUMAN_.pdf</t>
  </si>
  <si>
    <t>Melting_Curves/meltCurve_sp_Q86WR0_CCD25_HUMAN_.pdf</t>
  </si>
  <si>
    <t>Melting_Curves/meltCurve_sp_Q86WR7_PRSR2_HUMAN_.pdf</t>
  </si>
  <si>
    <t>Melting_Curves/meltCurve_sp_Q86WU2_2_LDHD_HUMAN_.pdf</t>
  </si>
  <si>
    <t>Melting_Curves/meltCurve_sp_Q86X10_3_RLGPB_HUMAN_.pdf</t>
  </si>
  <si>
    <t>Melting_Curves/meltCurve_sp_Q86X55_1_CARM1_HUMAN_.pdf</t>
  </si>
  <si>
    <t>Melting_Curves/meltCurve_sp_Q86X76_2_NIT1_HUMAN_.pdf</t>
  </si>
  <si>
    <t>Melting_Curves/meltCurve_sp_Q86X83_COMD2_HUMAN_.pdf</t>
  </si>
  <si>
    <t>Melting_Curves/meltCurve_sp_Q86XE5_HOGA1_HUMAN_.pdf</t>
  </si>
  <si>
    <t>Melting_Curves/meltCurve_sp_Q86XP3_DDX42_HUMAN_.pdf</t>
  </si>
  <si>
    <t>Melting_Curves/meltCurve_sp_Q86Y07_4_VRK2_HUMAN_.pdf</t>
  </si>
  <si>
    <t>Melting_Curves/meltCurve_sp_Q86Y56_2_HEAT2_HUMAN_.pdf</t>
  </si>
  <si>
    <t>Melting_Curves/meltCurve_sp_Q86Y82_STX12_HUMAN_.pdf</t>
  </si>
  <si>
    <t>Melting_Curves/meltCurve_sp_Q86YB7_ECHD2_HUMAN_.pdf</t>
  </si>
  <si>
    <t>Melting_Curves/meltCurve_sp_Q86YH6_DLP1_HUMAN_.pdf</t>
  </si>
  <si>
    <t>Melting_Curves/meltCurve_sp_Q86YJ6_4_THNS2_HUMAN_.pdf</t>
  </si>
  <si>
    <t>Melting_Curves/meltCurve_sp_Q86YL5_TDRP_HUMAN_.pdf</t>
  </si>
  <si>
    <t>Melting_Curves/meltCurve_sp_Q86YP4_2_P66A_HUMAN_.pdf</t>
  </si>
  <si>
    <t>Melting_Curves/meltCurve_sp_Q86YS7_C2CD5_HUMAN_.pdf</t>
  </si>
  <si>
    <t>Melting_Curves/meltCurve_sp_Q8IUC4_RHPN2_HUMAN_.pdf</t>
  </si>
  <si>
    <t>Melting_Curves/meltCurve_sp_Q8IUD2_RB6I2_HUMAN_.pdf</t>
  </si>
  <si>
    <t>Melting_Curves/meltCurve_sp_Q8IUZ5_AT2L2_HUMAN_.pdf</t>
  </si>
  <si>
    <t>Melting_Curves/meltCurve_sp_Q8IV08_PLD3_HUMAN_.pdf</t>
  </si>
  <si>
    <t>Melting_Curves/meltCurve_sp_Q8IV38_ANKY2_HUMAN_.pdf</t>
  </si>
  <si>
    <t>Melting_Curves/meltCurve_sp_Q8IV50_LYSM2_HUMAN_.pdf</t>
  </si>
  <si>
    <t>Melting_Curves/meltCurve_sp_Q8IVD9_NUDC3_HUMAN_.pdf</t>
  </si>
  <si>
    <t>Melting_Curves/meltCurve_sp_Q8IVF2_3_AHNK2_HUMAN_.pdf</t>
  </si>
  <si>
    <t>Melting_Curves/meltCurve_sp_Q8IVH4_MMAA_HUMAN_.pdf</t>
  </si>
  <si>
    <t>Melting_Curves/meltCurve_sp_Q8IVM0_CCD50_HUMAN_.pdf</t>
  </si>
  <si>
    <t>Melting_Curves/meltCurve_sp_Q8IVS2_FABD_HUMAN_.pdf</t>
  </si>
  <si>
    <t>Melting_Curves/meltCurve_sp_Q8IVS8_GLCTK_HUMAN_.pdf</t>
  </si>
  <si>
    <t>Melting_Curves/meltCurve_sp_Q8IW45_NNRD_HUMAN_.pdf</t>
  </si>
  <si>
    <t>Melting_Curves/meltCurve_sp_Q8IWB9_TEX2_HUMAN_.pdf</t>
  </si>
  <si>
    <t>Melting_Curves/meltCurve_sp_Q8IWE2_NXP20_HUMAN_.pdf</t>
  </si>
  <si>
    <t>Melting_Curves/meltCurve_sp_Q8IWJ2_GCC2_HUMAN_.pdf</t>
  </si>
  <si>
    <t>Melting_Curves/meltCurve_sp_Q8IWL3_HSC20_HUMAN_.pdf</t>
  </si>
  <si>
    <t>Melting_Curves/meltCurve_sp_Q8IWU2_LMTK2_HUMAN_.pdf</t>
  </si>
  <si>
    <t>Melting_Curves/meltCurve_sp_Q8IWV7_UBR1_HUMAN_.pdf</t>
  </si>
  <si>
    <t>Melting_Curves/meltCurve_sp_Q8IWW6_2_RHG12_HUMAN_.pdf</t>
  </si>
  <si>
    <t>Melting_Curves/meltCurve_sp_Q8IWW8_HOT_HUMAN_.pdf</t>
  </si>
  <si>
    <t>Melting_Curves/meltCurve_sp_Q8IWX8_CHERP_HUMAN_.pdf</t>
  </si>
  <si>
    <t>Melting_Curves/meltCurve_sp_Q8IWZ3_ANKH1_HUMAN_.pdf</t>
  </si>
  <si>
    <t>Melting_Curves/meltCurve_sp_Q8IWZ8_SUGP1_HUMAN_.pdf</t>
  </si>
  <si>
    <t>Melting_Curves/meltCurve_sp_Q8IX04_6_UEVLD_HUMAN_.pdf</t>
  </si>
  <si>
    <t>Melting_Curves/meltCurve_sp_Q8IX12_2_CCAR1_HUMAN_.pdf</t>
  </si>
  <si>
    <t>Melting_Curves/meltCurve_sp_Q8IXH7_4_NELFD_HUMAN_.pdf</t>
  </si>
  <si>
    <t>Melting_Curves/meltCurve_sp_Q8IXJ6_2_SIR2_HUMAN_.pdf</t>
  </si>
  <si>
    <t>Melting_Curves/meltCurve_sp_Q8IXQ4_K1704_HUMAN_.pdf</t>
  </si>
  <si>
    <t>Melting_Curves/meltCurve_sp_Q8IXQ6_2_PARP9_HUMAN_.pdf</t>
  </si>
  <si>
    <t>Melting_Curves/meltCurve_sp_Q8IY50_2_S35F3_HUMAN_.pdf</t>
  </si>
  <si>
    <t>Melting_Curves/meltCurve_sp_Q8IYA8_2_CCD36_HUMAN_.pdf</t>
  </si>
  <si>
    <t>Melting_Curves/meltCurve_sp_Q8IYB5_3_SMAP1_HUMAN_.pdf</t>
  </si>
  <si>
    <t>Melting_Curves/meltCurve_sp_Q8IYB7_DI3L2_HUMAN_.pdf</t>
  </si>
  <si>
    <t>Melting_Curves/meltCurve_sp_Q8IYB8_SUV3_HUMAN_.pdf</t>
  </si>
  <si>
    <t>Melting_Curves/meltCurve_sp_Q8IYD1_ERF3B_HUMAN_.pdf</t>
  </si>
  <si>
    <t>Melting_Curves/meltCurve_sp_Q8IYI6_EXOC8_HUMAN_.pdf</t>
  </si>
  <si>
    <t>Melting_Curves/meltCurve_sp_Q8IYL3_CA174_HUMAN_.pdf</t>
  </si>
  <si>
    <t>Melting_Curves/meltCurve_sp_Q8IYQ7_THNS1_HUMAN_.pdf</t>
  </si>
  <si>
    <t>Melting_Curves/meltCurve_sp_Q8IYS1_P20D2_HUMAN_.pdf</t>
  </si>
  <si>
    <t>Melting_Curves/meltCurve_sp_Q8IYT4_KATL2_HUMAN_.pdf</t>
  </si>
  <si>
    <t>Melting_Curves/meltCurve_sp_Q8IZ07_AN13A_HUMAN_.pdf</t>
  </si>
  <si>
    <t>Melting_Curves/meltCurve_sp_Q8IZ21_3_PHAR4_HUMAN_.pdf</t>
  </si>
  <si>
    <t>Melting_Curves/meltCurve_sp_Q8IZ69_TRM2A_HUMAN_.pdf</t>
  </si>
  <si>
    <t>Melting_Curves/meltCurve_sp_Q8IZ83_A16A1_HUMAN_.pdf</t>
  </si>
  <si>
    <t>Melting_Curves/meltCurve_sp_Q8IZP0_10_ABI1_HUMAN_.pdf</t>
  </si>
  <si>
    <t>Melting_Curves/meltCurve_sp_Q8N0U4_F185A_HUMAN_.pdf</t>
  </si>
  <si>
    <t>Melting_Curves/meltCurve_sp_Q8N0W3_FUK_HUMAN_.pdf</t>
  </si>
  <si>
    <t>Melting_Curves/meltCurve_sp_Q8N0X4_CLYBL_HUMAN_.pdf</t>
  </si>
  <si>
    <t>Melting_Curves/meltCurve_sp_Q8N0X7_SPG20_HUMAN_.pdf</t>
  </si>
  <si>
    <t>Melting_Curves/meltCurve_sp_Q8N129_CNPY4_HUMAN_.pdf</t>
  </si>
  <si>
    <t>Melting_Curves/meltCurve_sp_Q8N142_PURA1_HUMAN_.pdf</t>
  </si>
  <si>
    <t>Melting_Curves/meltCurve_sp_Q8N163_K1967_HUMAN_.pdf</t>
  </si>
  <si>
    <t>Melting_Curves/meltCurve_sp_Q8N1B4_VPS52_HUMAN_.pdf</t>
  </si>
  <si>
    <t>Melting_Curves/meltCurve_sp_Q8N1F7_NUP93_HUMAN_.pdf</t>
  </si>
  <si>
    <t>Melting_Curves/meltCurve_sp_Q8N1G2_MTR1_HUMAN_.pdf</t>
  </si>
  <si>
    <t>Melting_Curves/meltCurve_sp_Q8N1G4_LRC47_HUMAN_.pdf</t>
  </si>
  <si>
    <t>Melting_Curves/meltCurve_sp_Q8N1I0_DOCK4_HUMAN_.pdf</t>
  </si>
  <si>
    <t>Melting_Curves/meltCurve_sp_Q8N1Q1_CAH13_HUMAN_.pdf</t>
  </si>
  <si>
    <t>Melting_Curves/meltCurve_sp_Q8N201_INT1_HUMAN_.pdf</t>
  </si>
  <si>
    <t>Melting_Curves/meltCurve_sp_Q8N283_ANR35_HUMAN_.pdf</t>
  </si>
  <si>
    <t>Melting_Curves/meltCurve_sp_Q8N2H3_PYRD2_HUMAN_.pdf</t>
  </si>
  <si>
    <t>Melting_Curves/meltCurve_sp_Q8N3D4_EH1L1_HUMAN_.pdf</t>
  </si>
  <si>
    <t>Melting_Curves/meltCurve_sp_Q8N3F8_MILK1_HUMAN_.pdf</t>
  </si>
  <si>
    <t>Melting_Curves/meltCurve_sp_Q8N3P4_2_VPS8_HUMAN_.pdf</t>
  </si>
  <si>
    <t>Melting_Curves/meltCurve_sp_Q8N3V7_2_SYNPO_HUMAN_.pdf</t>
  </si>
  <si>
    <t>Melting_Curves/meltCurve_sp_Q8N3X1_FNBP4_HUMAN_.pdf</t>
  </si>
  <si>
    <t>Melting_Curves/meltCurve_sp_Q8N465_D2HDH_HUMAN_.pdf</t>
  </si>
  <si>
    <t>Melting_Curves/meltCurve_sp_Q8N488_RYBP_HUMAN_.pdf</t>
  </si>
  <si>
    <t>Melting_Curves/meltCurve_sp_Q8N490_4_PNKD_HUMAN_.pdf</t>
  </si>
  <si>
    <t>Melting_Curves/meltCurve_sp_Q8N4C8_2_MINK1_HUMAN_.pdf</t>
  </si>
  <si>
    <t>Melting_Curves/meltCurve_sp_Q8N4J0_CI041_HUMAN_.pdf</t>
  </si>
  <si>
    <t>Melting_Curves/meltCurve_sp_Q8N4P3_MESH1_HUMAN_.pdf</t>
  </si>
  <si>
    <t>Melting_Curves/meltCurve_sp_Q8N4Q0_ZADH2_HUMAN_.pdf</t>
  </si>
  <si>
    <t>Melting_Curves/meltCurve_sp_Q8N4Q1_MIA40_HUMAN_.pdf</t>
  </si>
  <si>
    <t>Melting_Curves/meltCurve_sp_Q8N4T8_CBR4_HUMAN_.pdf</t>
  </si>
  <si>
    <t>Melting_Curves/meltCurve_sp_Q8N573_2_OXR1_HUMAN_.pdf</t>
  </si>
  <si>
    <t>Melting_Curves/meltCurve_sp_Q8N5C6_SRBD1_HUMAN_.pdf</t>
  </si>
  <si>
    <t>Melting_Curves/meltCurve_sp_Q8N5G2_MACOI_HUMAN_.pdf</t>
  </si>
  <si>
    <t>Melting_Curves/meltCurve_sp_Q8N5I9_CL045_HUMAN_.pdf</t>
  </si>
  <si>
    <t>Melting_Curves/meltCurve_sp_Q8N5L8_RP25L_HUMAN_.pdf</t>
  </si>
  <si>
    <t>Melting_Curves/meltCurve_sp_Q8N5M1_ATPF2_HUMAN_.pdf</t>
  </si>
  <si>
    <t>Melting_Curves/meltCurve_sp_Q8N5N7_RM50_HUMAN_.pdf</t>
  </si>
  <si>
    <t>Melting_Curves/meltCurve_sp_Q8N5V2_NGEF_HUMAN_.pdf</t>
  </si>
  <si>
    <t>Melting_Curves/meltCurve_sp_Q8N5Z0_AADAT_HUMAN_.pdf</t>
  </si>
  <si>
    <t>Melting_Curves/meltCurve_sp_Q8N684_2_CPSF7_HUMAN_.pdf</t>
  </si>
  <si>
    <t>Melting_Curves/meltCurve_sp_Q8N6H7_ARFG2_HUMAN_.pdf</t>
  </si>
  <si>
    <t>Melting_Curves/meltCurve_sp_Q8N6N3_2_CA052_HUMAN_.pdf</t>
  </si>
  <si>
    <t>Melting_Curves/meltCurve_sp_Q8N8N7_PTGR2_HUMAN_.pdf</t>
  </si>
  <si>
    <t>Melting_Curves/meltCurve_sp_Q8N8S7_ENAH_HUMAN_.pdf</t>
  </si>
  <si>
    <t>Melting_Curves/meltCurve_sp_Q8N8V2_GBP7_HUMAN_.pdf</t>
  </si>
  <si>
    <t>Melting_Curves/meltCurve_sp_Q8N999_3_CL029_HUMAN_.pdf</t>
  </si>
  <si>
    <t>Melting_Curves/meltCurve_sp_Q8N9L9_ACOT4_HUMAN_.pdf</t>
  </si>
  <si>
    <t>Melting_Curves/meltCurve_sp_Q8N9V3_2_WSDU1_HUMAN_.pdf</t>
  </si>
  <si>
    <t>Melting_Curves/meltCurve_sp_Q8NBF2_NHLC2_HUMAN_.pdf</t>
  </si>
  <si>
    <t>Melting_Curves/meltCurve_sp_Q8NBJ7_SUMF2_HUMAN_.pdf</t>
  </si>
  <si>
    <t>Melting_Curves/meltCurve_sp_Q8NBX0_SCPDL_HUMAN_.pdf</t>
  </si>
  <si>
    <t>Melting_Curves/meltCurve_sp_Q8NC06_ACBD4_HUMAN_.pdf</t>
  </si>
  <si>
    <t>Melting_Curves/meltCurve_sp_Q8NC51_4_PAIRB_HUMAN_.pdf</t>
  </si>
  <si>
    <t>Melting_Curves/meltCurve_sp_Q8NC96_NECP1_HUMAN_.pdf</t>
  </si>
  <si>
    <t>Melting_Curves/meltCurve_sp_Q8NCA5_2_FA98A_HUMAN_.pdf</t>
  </si>
  <si>
    <t>Melting_Curves/meltCurve_sp_Q8NCC3_PAG15_HUMAN_.pdf</t>
  </si>
  <si>
    <t>Melting_Curves/meltCurve_sp_Q8NCN5_PDPR_HUMAN_.pdf</t>
  </si>
  <si>
    <t>Melting_Curves/meltCurve_sp_Q8NCW5_2_NNRE_HUMAN_.pdf</t>
  </si>
  <si>
    <t>Melting_Curves/meltCurve_sp_Q8NCW5_NNRE_HUMAN_.pdf</t>
  </si>
  <si>
    <t>Melting_Curves/meltCurve_sp_Q8ND24_RN214_HUMAN_.pdf</t>
  </si>
  <si>
    <t>Melting_Curves/meltCurve_sp_Q8ND30_LIPB2_HUMAN_.pdf</t>
  </si>
  <si>
    <t>Melting_Curves/meltCurve_sp_Q8ND76_3_CCNY_HUMAN_.pdf</t>
  </si>
  <si>
    <t>Melting_Curves/meltCurve_sp_Q8NDH3_2_PEPL1_HUMAN_.pdf</t>
  </si>
  <si>
    <t>Melting_Curves/meltCurve_sp_Q8NDI1_3_EHBP1_HUMAN_.pdf</t>
  </si>
  <si>
    <t>Melting_Curves/meltCurve_sp_Q8NE62_CHDH_HUMAN_.pdf</t>
  </si>
  <si>
    <t>Melting_Curves/meltCurve_sp_Q8NE71_2_ABCF1_HUMAN_.pdf</t>
  </si>
  <si>
    <t>Melting_Curves/meltCurve_sp_Q8NEB9_PK3C3_HUMAN_.pdf</t>
  </si>
  <si>
    <t>Melting_Curves/meltCurve_sp_Q8NEF9_SRFB1_HUMAN_.pdf</t>
  </si>
  <si>
    <t>Melting_Curves/meltCurve_sp_Q8NEU8_2_DP13B_HUMAN_.pdf</t>
  </si>
  <si>
    <t>Melting_Curves/meltCurve_sp_Q8NEZ5_FBX22_HUMAN_.pdf</t>
  </si>
  <si>
    <t>Melting_Curves/meltCurve_sp_Q8NFC6_BD1L1_HUMAN_.pdf</t>
  </si>
  <si>
    <t>Melting_Curves/meltCurve_sp_Q8NFH3_NUP43_HUMAN_.pdf</t>
  </si>
  <si>
    <t>Melting_Curves/meltCurve_sp_Q8NFH4_NUP37_HUMAN_.pdf</t>
  </si>
  <si>
    <t>Melting_Curves/meltCurve_sp_Q8NFH8_4_REPS2_HUMAN_.pdf</t>
  </si>
  <si>
    <t>Melting_Curves/meltCurve_sp_Q8NFI3_ENASE_HUMAN_.pdf</t>
  </si>
  <si>
    <t>Melting_Curves/meltCurve_sp_Q8NFQ8_TOIP2_HUMAN_.pdf</t>
  </si>
  <si>
    <t>Melting_Curves/meltCurve_sp_Q8NFU3_4_TSTD1_HUMAN_.pdf</t>
  </si>
  <si>
    <t>Melting_Curves/meltCurve_sp_Q8NFU3_TSTD1_HUMAN_.pdf</t>
  </si>
  <si>
    <t>Melting_Curves/meltCurve_sp_Q8NFV4_ABHDB_HUMAN_.pdf</t>
  </si>
  <si>
    <t>Melting_Curves/meltCurve_sp_Q8NFW8_NEUA_HUMAN_.pdf</t>
  </si>
  <si>
    <t>Melting_Curves/meltCurve_sp_Q8NHG8_ZNRF2_HUMAN_.pdf</t>
  </si>
  <si>
    <t>Melting_Curves/meltCurve_sp_Q8NHH9_2_ATLA2_HUMAN_.pdf</t>
  </si>
  <si>
    <t>Melting_Curves/meltCurve_sp_Q8NHM4_TRY6_HUMAN_.pdf</t>
  </si>
  <si>
    <t>Melting_Curves/meltCurve_sp_Q8NI08_2_NCOA7_HUMAN_.pdf</t>
  </si>
  <si>
    <t>Melting_Curves/meltCurve_sp_Q8NI27_THOC2_HUMAN_.pdf</t>
  </si>
  <si>
    <t>Melting_Curves/meltCurve_sp_Q8NI60_ADCK3_HUMAN_.pdf</t>
  </si>
  <si>
    <t>Melting_Curves/meltCurve_sp_Q8TAE8_G45IP_HUMAN_.pdf</t>
  </si>
  <si>
    <t>Melting_Curves/meltCurve_sp_Q8TAQ2_2_SMRC2_HUMAN_.pdf</t>
  </si>
  <si>
    <t>Melting_Curves/meltCurve_sp_Q8TAT6_NPL4_HUMAN_.pdf</t>
  </si>
  <si>
    <t>Melting_Curves/meltCurve_sp_Q8TB03_CX038_HUMAN_.pdf</t>
  </si>
  <si>
    <t>Melting_Curves/meltCurve_sp_Q8TB22_SPT20_HUMAN_.pdf</t>
  </si>
  <si>
    <t>Melting_Curves/meltCurve_sp_Q8TB45_DPTOR_HUMAN_.pdf</t>
  </si>
  <si>
    <t>Melting_Curves/meltCurve_sp_Q8TBA6_2_GOGA5_HUMAN_.pdf</t>
  </si>
  <si>
    <t>Melting_Curves/meltCurve_sp_Q8TBC4_UBA3_HUMAN_.pdf</t>
  </si>
  <si>
    <t>Melting_Curves/meltCurve_sp_Q8TBG4_2_AT2L1_HUMAN_.pdf</t>
  </si>
  <si>
    <t>Melting_Curves/meltCurve_sp_Q8TBX8_PI42C_HUMAN_.pdf</t>
  </si>
  <si>
    <t>Melting_Curves/meltCurve_sp_Q8TC07_2_TBC15_HUMAN_.pdf</t>
  </si>
  <si>
    <t>Melting_Curves/meltCurve_sp_Q8TCA0_LRC20_HUMAN_.pdf</t>
  </si>
  <si>
    <t>Melting_Curves/meltCurve_sp_Q8TCD5_NT5C_HUMAN_.pdf</t>
  </si>
  <si>
    <t>Melting_Curves/meltCurve_sp_Q8TCE6_2_FA45A_HUMAN_.pdf</t>
  </si>
  <si>
    <t>Melting_Curves/meltCurve_sp_Q8TCS8_PNPT1_HUMAN_.pdf</t>
  </si>
  <si>
    <t>Melting_Curves/meltCurve_sp_Q8TD19_NEK9_HUMAN_.pdf</t>
  </si>
  <si>
    <t>Melting_Curves/meltCurve_sp_Q8TD30_ALAT2_HUMAN_.pdf</t>
  </si>
  <si>
    <t>Melting_Curves/meltCurve_sp_Q8TDB6_DTX3L_HUMAN_.pdf</t>
  </si>
  <si>
    <t>Melting_Curves/meltCurve_sp_Q8TDH9_2_BL1S5_HUMAN_.pdf</t>
  </si>
  <si>
    <t>Melting_Curves/meltCurve_sp_Q8TDI8_TMC1_HUMAN_.pdf</t>
  </si>
  <si>
    <t>Melting_Curves/meltCurve_sp_Q8TDX5_ACMSD_HUMAN_.pdf</t>
  </si>
  <si>
    <t>Melting_Curves/meltCurve_sp_Q8TE04_PANK1_HUMAN_.pdf</t>
  </si>
  <si>
    <t>Melting_Curves/meltCurve_sp_Q8TE77_SSH3_HUMAN_.pdf</t>
  </si>
  <si>
    <t>Melting_Curves/meltCurve_sp_Q8TEA1_NSUN6_HUMAN_.pdf</t>
  </si>
  <si>
    <t>Melting_Curves/meltCurve_sp_Q8TEA8_DTD1_HUMAN_.pdf</t>
  </si>
  <si>
    <t>Melting_Curves/meltCurve_sp_Q8TEB1_2_DCA11_HUMAN_.pdf</t>
  </si>
  <si>
    <t>Melting_Curves/meltCurve_sp_Q8TEH3_DEN1A_HUMAN_.pdf</t>
  </si>
  <si>
    <t>Melting_Curves/meltCurve_sp_Q8TEQ6_GEMI5_HUMAN_.pdf</t>
  </si>
  <si>
    <t>Melting_Curves/meltCurve_sp_Q8TER5_4_ARH40_HUMAN_.pdf</t>
  </si>
  <si>
    <t>Melting_Curves/meltCurve_sp_Q8TEW0_5_PARD3_HUMAN_.pdf</t>
  </si>
  <si>
    <t>Melting_Curves/meltCurve_sp_Q8TEX9_IPO4_HUMAN_.pdf</t>
  </si>
  <si>
    <t>Melting_Curves/meltCurve_sp_Q8TF05_2_PP4R1_HUMAN_.pdf</t>
  </si>
  <si>
    <t>Melting_Curves/meltCurve_sp_Q8TF65_GIPC2_HUMAN_.pdf</t>
  </si>
  <si>
    <t>Melting_Curves/meltCurve_sp_Q8TF72_SHRM3_HUMAN_.pdf</t>
  </si>
  <si>
    <t>Melting_Curves/meltCurve_sp_Q8TF74_WIPF2_HUMAN_.pdf</t>
  </si>
  <si>
    <t>Melting_Curves/meltCurve_sp_Q8WTS6_SETD7_HUMAN_.pdf</t>
  </si>
  <si>
    <t>Melting_Curves/meltCurve_sp_Q8WU79_3_SMAP2_HUMAN_.pdf</t>
  </si>
  <si>
    <t>Melting_Curves/meltCurve_sp_Q8WU90_ZC3HF_HUMAN_.pdf</t>
  </si>
  <si>
    <t>Melting_Curves/meltCurve_sp_Q8WUA2_PPIL4_HUMAN_.pdf</t>
  </si>
  <si>
    <t>Melting_Curves/meltCurve_sp_Q8WUA7_3_TB22A_HUMAN_.pdf</t>
  </si>
  <si>
    <t>Melting_Curves/meltCurve_sp_Q8WUH6_CL023_HUMAN_.pdf</t>
  </si>
  <si>
    <t>Melting_Curves/meltCurve_sp_Q8WUM4_PDC6I_HUMAN_.pdf</t>
  </si>
  <si>
    <t>Melting_Curves/meltCurve_sp_Q8WUN7_UBTD2_HUMAN_.pdf</t>
  </si>
  <si>
    <t>Melting_Curves/meltCurve_sp_Q8WUR7_CO040_HUMAN_.pdf</t>
  </si>
  <si>
    <t>Melting_Curves/meltCurve_sp_Q8WUW1_BRK1_HUMAN_.pdf</t>
  </si>
  <si>
    <t>Melting_Curves/meltCurve_sp_Q8WUX9_CHMP7_HUMAN_.pdf</t>
  </si>
  <si>
    <t>Melting_Curves/meltCurve_sp_Q8WV28_BLNK_HUMAN_.pdf</t>
  </si>
  <si>
    <t>Melting_Curves/meltCurve_sp_Q8WV41_SNX33_HUMAN_.pdf</t>
  </si>
  <si>
    <t>Melting_Curves/meltCurve_sp_Q8WV74_NUDT8_HUMAN_.pdf</t>
  </si>
  <si>
    <t>Melting_Curves/meltCurve_sp_Q8WV99_2_ZFN2B_HUMAN_.pdf</t>
  </si>
  <si>
    <t>Melting_Curves/meltCurve_sp_Q8WVB3_HEXDC_HUMAN_.pdf</t>
  </si>
  <si>
    <t>Melting_Curves/meltCurve_sp_Q8WVC0_LEO1_HUMAN_.pdf</t>
  </si>
  <si>
    <t>Melting_Curves/meltCurve_sp_Q8WVJ2_NUDC2_HUMAN_.pdf</t>
  </si>
  <si>
    <t>Melting_Curves/meltCurve_sp_Q8WVM8_SCFD1_HUMAN_.pdf</t>
  </si>
  <si>
    <t>Melting_Curves/meltCurve_sp_Q8WVT3_TPC12_HUMAN_.pdf</t>
  </si>
  <si>
    <t>Melting_Curves/meltCurve_sp_Q8WVY7_UBCP1_HUMAN_.pdf</t>
  </si>
  <si>
    <t>Melting_Curves/meltCurve_sp_Q8WW12_PCNP_HUMAN_.pdf</t>
  </si>
  <si>
    <t>Melting_Curves/meltCurve_sp_Q8WW59_SPRY4_HUMAN_.pdf</t>
  </si>
  <si>
    <t>Melting_Curves/meltCurve_sp_Q8WWH5_TRUB1_HUMAN_.pdf</t>
  </si>
  <si>
    <t>Melting_Curves/meltCurve_sp_Q8WWI1_3_LMO7_HUMAN_.pdf</t>
  </si>
  <si>
    <t>Melting_Curves/meltCurve_sp_Q8WWM7_ATX2L_HUMAN_.pdf</t>
  </si>
  <si>
    <t>Melting_Curves/meltCurve_sp_Q8WWV3_2_RT4I1_HUMAN_.pdf</t>
  </si>
  <si>
    <t>Melting_Curves/meltCurve_sp_Q8WWY3_PRP31_HUMAN_.pdf</t>
  </si>
  <si>
    <t>Melting_Curves/meltCurve_sp_Q8WX92_NELFB_HUMAN_.pdf</t>
  </si>
  <si>
    <t>Melting_Curves/meltCurve_sp_Q8WXA9_2_SREK1_HUMAN_.pdf</t>
  </si>
  <si>
    <t>Melting_Curves/meltCurve_sp_Q8WXD5_GEMI6_HUMAN_.pdf</t>
  </si>
  <si>
    <t>Melting_Curves/meltCurve_sp_Q8WXE0_CSKI2_HUMAN_.pdf</t>
  </si>
  <si>
    <t>Melting_Curves/meltCurve_sp_Q8WXF1_PSPC1_HUMAN_.pdf</t>
  </si>
  <si>
    <t>Melting_Curves/meltCurve_sp_Q8WXG6_6_MADD_HUMAN_.pdf</t>
  </si>
  <si>
    <t>Melting_Curves/meltCurve_sp_Q8WXH0_SYNE2_HUMAN_.pdf</t>
  </si>
  <si>
    <t>Melting_Curves/meltCurve_sp_Q8WXI9_P66B_HUMAN_.pdf</t>
  </si>
  <si>
    <t>Melting_Curves/meltCurve_sp_Q8WY91_2_THAP4_HUMAN_.pdf</t>
  </si>
  <si>
    <t>Melting_Curves/meltCurve_sp_Q8WYK0_ACO12_HUMAN_.pdf</t>
  </si>
  <si>
    <t>Melting_Curves/meltCurve_sp_Q8WYP5_ELYS_HUMAN_.pdf</t>
  </si>
  <si>
    <t>Melting_Curves/meltCurve_sp_Q8WZ42_5_TITIN_HUMAN_.pdf</t>
  </si>
  <si>
    <t>Melting_Curves/meltCurve_sp_Q8WZ82_OVCA2_HUMAN_.pdf</t>
  </si>
  <si>
    <t>Melting_Curves/meltCurve_sp_Q8WZA0_LZIC_HUMAN_.pdf</t>
  </si>
  <si>
    <t>Melting_Curves/meltCurve_sp_Q8WZA9_IRGQ_HUMAN_.pdf</t>
  </si>
  <si>
    <t>Melting_Curves/meltCurve_sp_Q92499_DDX1_HUMAN_.pdf</t>
  </si>
  <si>
    <t>Melting_Curves/meltCurve_sp_Q92506_DHB8_HUMAN_.pdf</t>
  </si>
  <si>
    <t>Melting_Curves/meltCurve_sp_Q92526_TCPW_HUMAN_.pdf</t>
  </si>
  <si>
    <t>Melting_Curves/meltCurve_sp_Q92538_GBF1_HUMAN_.pdf</t>
  </si>
  <si>
    <t>Melting_Curves/meltCurve_sp_Q92541_RTF1_HUMAN_.pdf</t>
  </si>
  <si>
    <t>Melting_Curves/meltCurve_sp_Q92545_TM131_HUMAN_.pdf</t>
  </si>
  <si>
    <t>Melting_Curves/meltCurve_sp_Q92552_RT27_HUMAN_.pdf</t>
  </si>
  <si>
    <t>Melting_Curves/meltCurve_sp_Q92556_ELMO1_HUMAN_.pdf</t>
  </si>
  <si>
    <t>Melting_Curves/meltCurve_sp_Q92572_AP3S1_HUMAN_.pdf</t>
  </si>
  <si>
    <t>Melting_Curves/meltCurve_sp_Q92575_UBXN4_HUMAN_.pdf</t>
  </si>
  <si>
    <t>Melting_Curves/meltCurve_sp_Q92576_2_PHF3_HUMAN_.pdf</t>
  </si>
  <si>
    <t>Melting_Curves/meltCurve_sp_Q92597_NDRG1_HUMAN_.pdf</t>
  </si>
  <si>
    <t>Melting_Curves/meltCurve_sp_Q92598_2_HS105_HUMAN_.pdf</t>
  </si>
  <si>
    <t>Melting_Curves/meltCurve_sp_Q92599_2_SEPT8_HUMAN_.pdf</t>
  </si>
  <si>
    <t>Melting_Curves/meltCurve_sp_Q92609_TBCD5_HUMAN_.pdf</t>
  </si>
  <si>
    <t>Melting_Curves/meltCurve_sp_Q92614_4_MY18A_HUMAN_.pdf</t>
  </si>
  <si>
    <t>Melting_Curves/meltCurve_sp_Q92615_LAR4B_HUMAN_.pdf</t>
  </si>
  <si>
    <t>Melting_Curves/meltCurve_sp_Q92616_GCN1L_HUMAN_.pdf</t>
  </si>
  <si>
    <t>Melting_Curves/meltCurve_sp_Q92621_NU205_HUMAN_.pdf</t>
  </si>
  <si>
    <t>Melting_Curves/meltCurve_sp_Q92665_RT31_HUMAN_.pdf</t>
  </si>
  <si>
    <t>Melting_Curves/meltCurve_sp_Q92667_AKAP1_HUMAN_.pdf</t>
  </si>
  <si>
    <t>Melting_Curves/meltCurve_sp_Q92688_2_AN32B_HUMAN_.pdf</t>
  </si>
  <si>
    <t>Melting_Curves/meltCurve_sp_Q92696_PGTA_HUMAN_.pdf</t>
  </si>
  <si>
    <t>Melting_Curves/meltCurve_sp_Q92734_2_TFG_HUMAN_.pdf</t>
  </si>
  <si>
    <t>Melting_Curves/meltCurve_sp_Q92738_US6NL_HUMAN_.pdf</t>
  </si>
  <si>
    <t>Melting_Curves/meltCurve_sp_Q92747_ARC1A_HUMAN_.pdf</t>
  </si>
  <si>
    <t>Melting_Curves/meltCurve_sp_Q92748_THRSP_HUMAN_.pdf</t>
  </si>
  <si>
    <t>Melting_Curves/meltCurve_sp_Q92766_3_RREB1_HUMAN_.pdf</t>
  </si>
  <si>
    <t>Melting_Curves/meltCurve_sp_Q92783_2_STAM1_HUMAN_.pdf</t>
  </si>
  <si>
    <t>Melting_Curves/meltCurve_sp_Q92784_2_DPF3_HUMAN_.pdf</t>
  </si>
  <si>
    <t>Melting_Curves/meltCurve_sp_Q92804_2_RBP56_HUMAN_.pdf</t>
  </si>
  <si>
    <t>Melting_Curves/meltCurve_sp_Q92805_GOGA1_HUMAN_.pdf</t>
  </si>
  <si>
    <t>Melting_Curves/meltCurve_sp_Q92820_GGH_HUMAN_.pdf</t>
  </si>
  <si>
    <t>Melting_Curves/meltCurve_sp_Q92841_DDX17_HUMAN_.pdf</t>
  </si>
  <si>
    <t>Melting_Curves/meltCurve_sp_Q92878_RAD50_HUMAN_.pdf</t>
  </si>
  <si>
    <t>Melting_Curves/meltCurve_sp_Q92879_5_CELF1_HUMAN_.pdf</t>
  </si>
  <si>
    <t>Melting_Curves/meltCurve_sp_Q92882_OSTF1_HUMAN_.pdf</t>
  </si>
  <si>
    <t>Melting_Curves/meltCurve_sp_Q92888_2_ARHG1_HUMAN_.pdf</t>
  </si>
  <si>
    <t>Melting_Curves/meltCurve_sp_Q92890_3_UFD1_HUMAN_.pdf</t>
  </si>
  <si>
    <t>Melting_Curves/meltCurve_sp_Q92900_2_RENT1_HUMAN_.pdf</t>
  </si>
  <si>
    <t>Melting_Curves/meltCurve_sp_Q92905_CSN5_HUMAN_.pdf</t>
  </si>
  <si>
    <t>Melting_Curves/meltCurve_sp_Q92917_GPKOW_HUMAN_.pdf</t>
  </si>
  <si>
    <t>Melting_Curves/meltCurve_sp_Q92922_SMRC1_HUMAN_.pdf</t>
  </si>
  <si>
    <t>Melting_Curves/meltCurve_sp_Q92934_BAD_HUMAN_.pdf</t>
  </si>
  <si>
    <t>Melting_Curves/meltCurve_sp_Q92945_FUBP2_HUMAN_.pdf</t>
  </si>
  <si>
    <t>Melting_Curves/meltCurve_sp_Q92947_GCDH_HUMAN_.pdf</t>
  </si>
  <si>
    <t>Melting_Curves/meltCurve_sp_Q92973_2_TNPO1_HUMAN_.pdf</t>
  </si>
  <si>
    <t>Melting_Curves/meltCurve_sp_Q92979_NEP1_HUMAN_.pdf</t>
  </si>
  <si>
    <t>Melting_Curves/meltCurve_sp_Q93008_1_USP9X_HUMAN_.pdf</t>
  </si>
  <si>
    <t>Melting_Curves/meltCurve_sp_Q93034_CUL5_HUMAN_.pdf</t>
  </si>
  <si>
    <t>Melting_Curves/meltCurve_sp_Q93052_LPP_HUMAN_.pdf</t>
  </si>
  <si>
    <t>Melting_Curves/meltCurve_sp_Q93062_4_RBPMS_HUMAN_.pdf</t>
  </si>
  <si>
    <t>Melting_Curves/meltCurve_sp_Q93077_H2A1C_HUMAN_.pdf</t>
  </si>
  <si>
    <t>Melting_Curves/meltCurve_sp_Q93088_BHMT1_HUMAN_.pdf</t>
  </si>
  <si>
    <t>Melting_Curves/meltCurve_sp_Q93096_TP4A1_HUMAN_.pdf</t>
  </si>
  <si>
    <t>Melting_Curves/meltCurve_sp_Q93099_HGD_HUMAN_.pdf</t>
  </si>
  <si>
    <t>Melting_Curves/meltCurve_sp_Q93100_4_KPBB_HUMAN_.pdf</t>
  </si>
  <si>
    <t>Melting_Curves/meltCurve_sp_Q969G6_RIFK_HUMAN_.pdf</t>
  </si>
  <si>
    <t>Melting_Curves/meltCurve_sp_Q969H8_CS010_HUMAN_.pdf</t>
  </si>
  <si>
    <t>Melting_Curves/meltCurve_sp_Q969I3_GLYL1_HUMAN_.pdf</t>
  </si>
  <si>
    <t>Melting_Curves/meltCurve_sp_Q969Q0_RL36L_HUMAN_.pdf</t>
  </si>
  <si>
    <t>Melting_Curves/meltCurve_sp_Q969T7_2_5NT3B_HUMAN_.pdf</t>
  </si>
  <si>
    <t>Melting_Curves/meltCurve_sp_Q969Z0_TBRG4_HUMAN_.pdf</t>
  </si>
  <si>
    <t>Melting_Curves/meltCurve_sp_Q96A49_SYAP1_HUMAN_.pdf</t>
  </si>
  <si>
    <t>Melting_Curves/meltCurve_sp_Q96A65_EXOC4_HUMAN_.pdf</t>
  </si>
  <si>
    <t>Melting_Curves/meltCurve_sp_Q96AB3_ISOC2_HUMAN_.pdf</t>
  </si>
  <si>
    <t>Melting_Curves/meltCurve_sp_Q96AC1_FERM2_HUMAN_.pdf</t>
  </si>
  <si>
    <t>Melting_Curves/meltCurve_sp_Q96AE4_2_FUBP1_HUMAN_.pdf</t>
  </si>
  <si>
    <t>Melting_Curves/meltCurve_sp_Q96AG4_LRC59_HUMAN_.pdf</t>
  </si>
  <si>
    <t>Melting_Curves/meltCurve_sp_Q96AT1_K1143_HUMAN_.pdf</t>
  </si>
  <si>
    <t>Melting_Curves/meltCurve_sp_Q96B26_EXOS8_HUMAN_.pdf</t>
  </si>
  <si>
    <t>Melting_Curves/meltCurve_sp_Q96B36_AKTS1_HUMAN_.pdf</t>
  </si>
  <si>
    <t>Melting_Curves/meltCurve_sp_Q96B45_CJ032_HUMAN_.pdf</t>
  </si>
  <si>
    <t>Melting_Curves/meltCurve_sp_Q96B54_ZN428_HUMAN_.pdf</t>
  </si>
  <si>
    <t>Melting_Curves/meltCurve_sp_Q96B97_SH3K1_HUMAN_.pdf</t>
  </si>
  <si>
    <t>Melting_Curves/meltCurve_sp_Q96BH1_RNF25_HUMAN_.pdf</t>
  </si>
  <si>
    <t>Melting_Curves/meltCurve_sp_Q96BM9_ARL8A_HUMAN_.pdf</t>
  </si>
  <si>
    <t>Melting_Curves/meltCurve_sp_Q96BN8_F105B_HUMAN_.pdf</t>
  </si>
  <si>
    <t>Melting_Curves/meltCurve_sp_Q96BP3_PPWD1_HUMAN_.pdf</t>
  </si>
  <si>
    <t>Melting_Curves/meltCurve_sp_Q96BR5_SELR1_HUMAN_.pdf</t>
  </si>
  <si>
    <t>Melting_Curves/meltCurve_sp_Q96BW5_2_PTER_HUMAN_.pdf</t>
  </si>
  <si>
    <t>Melting_Curves/meltCurve_sp_Q96BY7_ATG2B_HUMAN_.pdf</t>
  </si>
  <si>
    <t>Melting_Curves/meltCurve_sp_Q96C01_F136A_HUMAN_.pdf</t>
  </si>
  <si>
    <t>Melting_Curves/meltCurve_sp_Q96C11_FGGY_HUMAN_.pdf</t>
  </si>
  <si>
    <t>Melting_Curves/meltCurve_sp_Q96C19_EFHD2_HUMAN_.pdf</t>
  </si>
  <si>
    <t>Melting_Curves/meltCurve_sp_Q96C23_GALM_HUMAN_.pdf</t>
  </si>
  <si>
    <t>Melting_Curves/meltCurve_sp_Q96C24_SYTL4_HUMAN_.pdf</t>
  </si>
  <si>
    <t>Melting_Curves/meltCurve_sp_Q96C86_DCPS_HUMAN_.pdf</t>
  </si>
  <si>
    <t>Melting_Curves/meltCurve_sp_Q96CB8_INT12_HUMAN_.pdf</t>
  </si>
  <si>
    <t>Melting_Curves/meltCurve_sp_Q96CD0_FBXL8_HUMAN_.pdf</t>
  </si>
  <si>
    <t>Melting_Curves/meltCurve_sp_Q96CN7_ISOC1_HUMAN_.pdf</t>
  </si>
  <si>
    <t>Melting_Curves/meltCurve_sp_Q96CN9_GCC1_HUMAN_.pdf</t>
  </si>
  <si>
    <t>Melting_Curves/meltCurve_sp_Q96CP2_FWCH2_HUMAN_.pdf</t>
  </si>
  <si>
    <t>Melting_Curves/meltCurve_sp_Q96CT7_CC124_HUMAN_.pdf</t>
  </si>
  <si>
    <t>Melting_Curves/meltCurve_sp_Q96CV9_OPTN_HUMAN_.pdf</t>
  </si>
  <si>
    <t>Melting_Curves/meltCurve_sp_Q96CW1_2_AP2M1_HUMAN_.pdf</t>
  </si>
  <si>
    <t>Melting_Curves/meltCurve_sp_Q96CX2_KCD12_HUMAN_.pdf</t>
  </si>
  <si>
    <t>Melting_Curves/meltCurve_sp_Q96D46_NMD3_HUMAN_.pdf</t>
  </si>
  <si>
    <t>Melting_Curves/meltCurve_sp_Q96D71_2_REPS1_HUMAN_.pdf</t>
  </si>
  <si>
    <t>Melting_Curves/meltCurve_sp_Q96DC8_ECHD3_HUMAN_.pdf</t>
  </si>
  <si>
    <t>Melting_Curves/meltCurve_sp_Q96DE0_NUD16_HUMAN_.pdf</t>
  </si>
  <si>
    <t>Melting_Curves/meltCurve_sp_Q96DG6_CMBL_HUMAN_.pdf</t>
  </si>
  <si>
    <t>Melting_Curves/meltCurve_sp_Q96DR7_ARHGQ_HUMAN_.pdf</t>
  </si>
  <si>
    <t>Melting_Curves/meltCurve_sp_Q96DX5_ASB9_HUMAN_.pdf</t>
  </si>
  <si>
    <t>Melting_Curves/meltCurve_sp_Q96E11_3_RRFM_HUMAN_.pdf</t>
  </si>
  <si>
    <t>Melting_Curves/meltCurve_sp_Q96E39_RMXL1_HUMAN_.pdf</t>
  </si>
  <si>
    <t>Melting_Curves/meltCurve_sp_Q96EB1_ELP4_HUMAN_.pdf</t>
  </si>
  <si>
    <t>Melting_Curves/meltCurve_sp_Q96EB6_SIR1_HUMAN_.pdf</t>
  </si>
  <si>
    <t>Melting_Curves/meltCurve_sp_Q96ED9_2_HOOK2_HUMAN_.pdf</t>
  </si>
  <si>
    <t>Melting_Curves/meltCurve_sp_Q96EI5_TCAL4_HUMAN_.pdf</t>
  </si>
  <si>
    <t>Melting_Curves/meltCurve_sp_Q96EK5_KBP_HUMAN_.pdf</t>
  </si>
  <si>
    <t>Melting_Curves/meltCurve_sp_Q96EK6_GNA1_HUMAN_.pdf</t>
  </si>
  <si>
    <t>Melting_Curves/meltCurve_sp_Q96EL3_RM53_HUMAN_.pdf</t>
  </si>
  <si>
    <t>Melting_Curves/meltCurve_sp_Q96EM0_T3HPD_HUMAN_.pdf</t>
  </si>
  <si>
    <t>Melting_Curves/meltCurve_sp_Q96EN8_MOCOS_HUMAN_.pdf</t>
  </si>
  <si>
    <t>Melting_Curves/meltCurve_sp_Q96EP0_RNF31_HUMAN_.pdf</t>
  </si>
  <si>
    <t>Melting_Curves/meltCurve_sp_Q96EP5_2_DAZP1_HUMAN_.pdf</t>
  </si>
  <si>
    <t>Melting_Curves/meltCurve_sp_Q96EV2_RBM33_HUMAN_.pdf</t>
  </si>
  <si>
    <t>Melting_Curves/meltCurve_sp_Q96EV8_DTBP1_HUMAN_.pdf</t>
  </si>
  <si>
    <t>Melting_Curves/meltCurve_sp_Q96EY7_PTCD3_HUMAN_.pdf</t>
  </si>
  <si>
    <t>Melting_Curves/meltCurve_sp_Q96EY8_MMAB_HUMAN_.pdf</t>
  </si>
  <si>
    <t>Melting_Curves/meltCurve_sp_Q96F10_SAT2_HUMAN_.pdf</t>
  </si>
  <si>
    <t>Melting_Curves/meltCurve_sp_Q96F24_2_NRBF2_HUMAN_.pdf</t>
  </si>
  <si>
    <t>Melting_Curves/meltCurve_sp_Q96FJ2_DYL2_HUMAN_.pdf</t>
  </si>
  <si>
    <t>Melting_Curves/meltCurve_sp_Q96FV2_SCRN2_HUMAN_.pdf</t>
  </si>
  <si>
    <t>Melting_Curves/meltCurve_sp_Q96G03_PGM2_HUMAN_.pdf</t>
  </si>
  <si>
    <t>Melting_Curves/meltCurve_sp_Q96G46_DUS3L_HUMAN_.pdf</t>
  </si>
  <si>
    <t>Melting_Curves/meltCurve_sp_Q96GA7_SDSL_HUMAN_.pdf</t>
  </si>
  <si>
    <t>Melting_Curves/meltCurve_sp_Q96GD0_PLPP_HUMAN_.pdf</t>
  </si>
  <si>
    <t>Melting_Curves/meltCurve_sp_Q96GE6_CALL4_HUMAN_.pdf</t>
  </si>
  <si>
    <t>Melting_Curves/meltCurve_sp_Q96GF1_RN185_HUMAN_.pdf</t>
  </si>
  <si>
    <t>Melting_Curves/meltCurve_sp_Q96GG9_DCNL1_HUMAN_.pdf</t>
  </si>
  <si>
    <t>Melting_Curves/meltCurve_sp_Q96GK7_FAH2A_HUMAN_.pdf</t>
  </si>
  <si>
    <t>Melting_Curves/meltCurve_sp_Q96GS4_CQ059_HUMAN_.pdf</t>
  </si>
  <si>
    <t>Melting_Curves/meltCurve_sp_Q96GW9_SYMM_HUMAN_.pdf</t>
  </si>
  <si>
    <t>Melting_Curves/meltCurve_sp_Q96GX2_A7L3B_HUMAN_.pdf</t>
  </si>
  <si>
    <t>Melting_Curves/meltCurve_sp_Q96GX9_MTNB_HUMAN_.pdf</t>
  </si>
  <si>
    <t>Melting_Curves/meltCurve_sp_Q96H20_SNF8_HUMAN_.pdf</t>
  </si>
  <si>
    <t>Melting_Curves/meltCurve_sp_Q96HC4_PDLI5_HUMAN_.pdf</t>
  </si>
  <si>
    <t>Melting_Curves/meltCurve_sp_Q96HD9_ACY3_HUMAN_.pdf</t>
  </si>
  <si>
    <t>Melting_Curves/meltCurve_sp_Q96HE7_ERO1A_HUMAN_.pdf</t>
  </si>
  <si>
    <t>Melting_Curves/meltCurve_sp_Q96HJ9_2_CG055_HUMAN_.pdf</t>
  </si>
  <si>
    <t>Melting_Curves/meltCurve_sp_Q96HJ9_CG055_HUMAN_.pdf</t>
  </si>
  <si>
    <t>Melting_Curves/meltCurve_sp_Q96HN2_4_SAHH3_HUMAN_.pdf</t>
  </si>
  <si>
    <t>Melting_Curves/meltCurve_sp_Q96HP4_OXND1_HUMAN_.pdf</t>
  </si>
  <si>
    <t>Melting_Curves/meltCurve_sp_Q96HQ2_2_C2AIL_HUMAN_.pdf</t>
  </si>
  <si>
    <t>Melting_Curves/meltCurve_sp_Q96HR9_REEP6_HUMAN_.pdf</t>
  </si>
  <si>
    <t>Melting_Curves/meltCurve_sp_Q96HS1_PGAM5_HUMAN_.pdf</t>
  </si>
  <si>
    <t>Melting_Curves/meltCurve_sp_Q96HY6_2_DDRGK_HUMAN_.pdf</t>
  </si>
  <si>
    <t>Melting_Curves/meltCurve_sp_Q96HY7_DHTK1_HUMAN_.pdf</t>
  </si>
  <si>
    <t>Melting_Curves/meltCurve_sp_Q96I15_SCLY_HUMAN_.pdf</t>
  </si>
  <si>
    <t>Melting_Curves/meltCurve_sp_Q96I23_PREY_HUMAN_.pdf</t>
  </si>
  <si>
    <t>Melting_Curves/meltCurve_sp_Q96I24_FUBP3_HUMAN_.pdf</t>
  </si>
  <si>
    <t>Melting_Curves/meltCurve_sp_Q96I25_SPF45_HUMAN_.pdf</t>
  </si>
  <si>
    <t>Melting_Curves/meltCurve_sp_Q96I51_WBS16_HUMAN_.pdf</t>
  </si>
  <si>
    <t>Melting_Curves/meltCurve_sp_Q96I59_SYNM_HUMAN_.pdf</t>
  </si>
  <si>
    <t>Melting_Curves/meltCurve_sp_Q96I99_SUCB2_HUMAN_.pdf</t>
  </si>
  <si>
    <t>Melting_Curves/meltCurve_sp_Q96IF1_AJUBA_HUMAN_.pdf</t>
  </si>
  <si>
    <t>Melting_Curves/meltCurve_sp_Q96IJ6_GMPPA_HUMAN_.pdf</t>
  </si>
  <si>
    <t>Melting_Curves/meltCurve_sp_Q96IU4_ABHEB_HUMAN_.pdf</t>
  </si>
  <si>
    <t>Melting_Curves/meltCurve_sp_Q96IV0_3_NGLY1_HUMAN_.pdf</t>
  </si>
  <si>
    <t>Melting_Curves/meltCurve_sp_Q96IZ0_PAWR_HUMAN_.pdf</t>
  </si>
  <si>
    <t>Melting_Curves/meltCurve_sp_Q96J02_2_ITCH_HUMAN_.pdf</t>
  </si>
  <si>
    <t>Melting_Curves/meltCurve_sp_Q96JB2_COG3_HUMAN_.pdf</t>
  </si>
  <si>
    <t>Melting_Curves/meltCurve_sp_Q96JB5_2_CK5P3_HUMAN_.pdf</t>
  </si>
  <si>
    <t>Melting_Curves/meltCurve_sp_Q96JE7_SC16B_HUMAN_.pdf</t>
  </si>
  <si>
    <t>Melting_Curves/meltCurve_sp_Q96JG6_3_CC132_HUMAN_.pdf</t>
  </si>
  <si>
    <t>Melting_Curves/meltCurve_sp_Q96JH7_VCIP1_HUMAN_.pdf</t>
  </si>
  <si>
    <t>Melting_Curves/meltCurve_sp_Q96JM3_CHAP1_HUMAN_.pdf</t>
  </si>
  <si>
    <t>Melting_Curves/meltCurve_sp_Q96JP5_2_ZFP91_HUMAN_.pdf</t>
  </si>
  <si>
    <t>Melting_Curves/meltCurve_sp_Q96JQ2_CLMN_HUMAN_.pdf</t>
  </si>
  <si>
    <t>Melting_Curves/meltCurve_sp_Q96JY6_PDLI2_HUMAN_.pdf</t>
  </si>
  <si>
    <t>Melting_Curves/meltCurve_sp_Q96KC8_DNJC1_HUMAN_.pdf</t>
  </si>
  <si>
    <t>Melting_Curves/meltCurve_sp_Q96KG9_3_NTKL_HUMAN_.pdf</t>
  </si>
  <si>
    <t>Melting_Curves/meltCurve_sp_Q96KM6_Z512B_HUMAN_.pdf</t>
  </si>
  <si>
    <t>Melting_Curves/meltCurve_sp_Q96KP1_EXOC2_HUMAN_.pdf</t>
  </si>
  <si>
    <t>Melting_Curves/meltCurve_sp_Q96KP4_CNDP2_HUMAN_.pdf</t>
  </si>
  <si>
    <t>Melting_Curves/meltCurve_sp_Q96KR1_ZFR_HUMAN_.pdf</t>
  </si>
  <si>
    <t>Melting_Curves/meltCurve_sp_Q96L92_SNX27_HUMAN_.pdf</t>
  </si>
  <si>
    <t>Melting_Curves/meltCurve_sp_Q96LJ7_DHRS1_HUMAN_.pdf</t>
  </si>
  <si>
    <t>Melting_Curves/meltCurve_sp_Q96M20_2_CNBD2_HUMAN_.pdf</t>
  </si>
  <si>
    <t>Melting_Curves/meltCurve_sp_Q96M27_PRRC1_HUMAN_.pdf</t>
  </si>
  <si>
    <t>Melting_Curves/meltCurve_sp_Q96ME1_4_FXL18_HUMAN_.pdf</t>
  </si>
  <si>
    <t>Melting_Curves/meltCurve_sp_Q96MH2_HEXI2_HUMAN_.pdf</t>
  </si>
  <si>
    <t>Melting_Curves/meltCurve_sp_Q96MU7_2_YTDC1_HUMAN_.pdf</t>
  </si>
  <si>
    <t>Melting_Curves/meltCurve_sp_Q96MW1_CCD43_HUMAN_.pdf</t>
  </si>
  <si>
    <t>Melting_Curves/meltCurve_sp_Q96N76_HUTU_HUMAN_.pdf</t>
  </si>
  <si>
    <t>Melting_Curves/meltCurve_sp_Q96NC0_ZMAT2_HUMAN_.pdf</t>
  </si>
  <si>
    <t>Melting_Curves/meltCurve_sp_Q96NL8_CH037_HUMAN_.pdf</t>
  </si>
  <si>
    <t>Melting_Curves/meltCurve_sp_Q96NU7_HUTI_HUMAN_.pdf</t>
  </si>
  <si>
    <t>Melting_Curves/meltCurve_sp_Q96P47_AGAP3_HUMAN_.pdf</t>
  </si>
  <si>
    <t>Melting_Curves/meltCurve_sp_Q96P48_7_ARAP1_HUMAN_.pdf</t>
  </si>
  <si>
    <t>Melting_Curves/meltCurve_sp_Q96P70_IPO9_HUMAN_.pdf</t>
  </si>
  <si>
    <t>Melting_Curves/meltCurve_sp_Q96PD5_PGRP2_HUMAN_.pdf</t>
  </si>
  <si>
    <t>Melting_Curves/meltCurve_sp_Q96PE7_MCEE_HUMAN_.pdf</t>
  </si>
  <si>
    <t>Melting_Curves/meltCurve_sp_Q96PK6_RBM14_HUMAN_.pdf</t>
  </si>
  <si>
    <t>Melting_Curves/meltCurve_sp_Q96PM5_3_ZN363_HUMAN_.pdf</t>
  </si>
  <si>
    <t>Melting_Curves/meltCurve_sp_Q96PU5_2_NED4L_HUMAN_.pdf</t>
  </si>
  <si>
    <t>Melting_Curves/meltCurve_sp_Q96PU8_5_QKI_HUMAN_.pdf</t>
  </si>
  <si>
    <t>Melting_Curves/meltCurve_sp_Q96PZ0_PUS7_HUMAN_.pdf</t>
  </si>
  <si>
    <t>Melting_Curves/meltCurve_sp_Q96Q05_3_TPPC9_HUMAN_.pdf</t>
  </si>
  <si>
    <t>Melting_Curves/meltCurve_sp_Q96Q06_2_PLIN4_HUMAN_.pdf</t>
  </si>
  <si>
    <t>Melting_Curves/meltCurve_sp_Q96Q11_2_TRNT1_HUMAN_.pdf</t>
  </si>
  <si>
    <t>Melting_Curves/meltCurve_sp_Q96QC0_PP1RA_HUMAN_.pdf</t>
  </si>
  <si>
    <t>Melting_Curves/meltCurve_sp_Q96QG7_MTMR9_HUMAN_.pdf</t>
  </si>
  <si>
    <t>Melting_Curves/meltCurve_sp_Q96QK1_VPS35_HUMAN_.pdf</t>
  </si>
  <si>
    <t>Melting_Curves/meltCurve_sp_Q96QR8_PURB_HUMAN_.pdf</t>
  </si>
  <si>
    <t>Melting_Curves/meltCurve_sp_Q96QU8_XPO6_HUMAN_.pdf</t>
  </si>
  <si>
    <t>Melting_Curves/meltCurve_sp_Q96QZ7_7_MAGI1_HUMAN_.pdf</t>
  </si>
  <si>
    <t>Melting_Curves/meltCurve_sp_Q96RE7_NACC1_HUMAN_.pdf</t>
  </si>
  <si>
    <t>Melting_Curves/meltCurve_sp_Q96RF0_2_SNX18_HUMAN_.pdf</t>
  </si>
  <si>
    <t>Melting_Curves/meltCurve_sp_Q96RP9_EFGM_HUMAN_.pdf</t>
  </si>
  <si>
    <t>Melting_Curves/meltCurve_sp_Q96RQ3_MCCA_HUMAN_.pdf</t>
  </si>
  <si>
    <t>Melting_Curves/meltCurve_sp_Q96RS6_3_NUDC1_HUMAN_.pdf</t>
  </si>
  <si>
    <t>Melting_Curves/meltCurve_sp_Q96RT1_7_LAP2_HUMAN_.pdf</t>
  </si>
  <si>
    <t>Melting_Curves/meltCurve_sp_Q96RW7_2_HMCN1_HUMAN_.pdf</t>
  </si>
  <si>
    <t>Melting_Curves/meltCurve_sp_Q96S19_CP013_HUMAN_.pdf</t>
  </si>
  <si>
    <t>Melting_Curves/meltCurve_sp_Q96S44_PRPK_HUMAN_.pdf</t>
  </si>
  <si>
    <t>Melting_Curves/meltCurve_sp_Q96S59_2_RANB9_HUMAN_.pdf</t>
  </si>
  <si>
    <t>Melting_Curves/meltCurve_sp_Q96S66_4_CLCC1_HUMAN_.pdf</t>
  </si>
  <si>
    <t>Melting_Curves/meltCurve_sp_Q96ST2_2_IWS1_HUMAN_.pdf</t>
  </si>
  <si>
    <t>Melting_Curves/meltCurve_sp_Q96ST3_SIN3A_HUMAN_.pdf</t>
  </si>
  <si>
    <t>Melting_Curves/meltCurve_sp_Q96SU4_7_OSBL9_HUMAN_.pdf</t>
  </si>
  <si>
    <t>Melting_Curves/meltCurve_sp_Q96SZ5_AEDO_HUMAN_.pdf</t>
  </si>
  <si>
    <t>Melting_Curves/meltCurve_sp_Q96T37_2_RBM15_HUMAN_.pdf</t>
  </si>
  <si>
    <t>Melting_Curves/meltCurve_sp_Q96T51_RUFY1_HUMAN_.pdf</t>
  </si>
  <si>
    <t>Melting_Curves/meltCurve_sp_Q96T58_MINT_HUMAN_.pdf</t>
  </si>
  <si>
    <t>Melting_Curves/meltCurve_sp_Q96T76_MMS19_HUMAN_.pdf</t>
  </si>
  <si>
    <t>Melting_Curves/meltCurve_sp_Q99417_MYCBP_HUMAN_.pdf</t>
  </si>
  <si>
    <t>Melting_Curves/meltCurve_sp_Q99424_ACOX2_HUMAN_.pdf</t>
  </si>
  <si>
    <t>Melting_Curves/meltCurve_sp_Q99426_TBCB_HUMAN_.pdf</t>
  </si>
  <si>
    <t>Melting_Curves/meltCurve_sp_Q99436_PSB7_HUMAN_.pdf</t>
  </si>
  <si>
    <t>Melting_Curves/meltCurve_sp_Q99447_3_PCY2_HUMAN_.pdf</t>
  </si>
  <si>
    <t>Melting_Curves/meltCurve_sp_Q99459_CDC5L_HUMAN_.pdf</t>
  </si>
  <si>
    <t>Melting_Curves/meltCurve_sp_Q99460_PSMD1_HUMAN_.pdf</t>
  </si>
  <si>
    <t>Melting_Curves/meltCurve_sp_Q99471_PFD5_HUMAN_.pdf</t>
  </si>
  <si>
    <t>Melting_Curves/meltCurve_sp_Q99487_PAFA2_HUMAN_.pdf</t>
  </si>
  <si>
    <t>Melting_Curves/meltCurve_sp_Q99489_OXDD_HUMAN_.pdf</t>
  </si>
  <si>
    <t>Melting_Curves/meltCurve_sp_Q99497_PARK7_HUMAN_.pdf</t>
  </si>
  <si>
    <t>Melting_Curves/meltCurve_sp_Q99519_NEUR1_HUMAN_.pdf</t>
  </si>
  <si>
    <t>Melting_Curves/meltCurve_sp_Q99536_VAT1_HUMAN_.pdf</t>
  </si>
  <si>
    <t>Melting_Curves/meltCurve_sp_Q99543_DNJC2_HUMAN_.pdf</t>
  </si>
  <si>
    <t>Melting_Curves/meltCurve_sp_Q99567_NUP88_HUMAN_.pdf</t>
  </si>
  <si>
    <t>Melting_Curves/meltCurve_sp_Q99569_2_PKP4_HUMAN_.pdf</t>
  </si>
  <si>
    <t>Melting_Curves/meltCurve_sp_Q99570_PI3R4_HUMAN_.pdf</t>
  </si>
  <si>
    <t>Melting_Curves/meltCurve_sp_Q99575_POP1_HUMAN_.pdf</t>
  </si>
  <si>
    <t>Melting_Curves/meltCurve_sp_Q99576_4_T22D3_HUMAN_.pdf</t>
  </si>
  <si>
    <t>Melting_Curves/meltCurve_sp_Q99584_S10AD_HUMAN_.pdf</t>
  </si>
  <si>
    <t>Melting_Curves/meltCurve_sp_Q99590_2_SCAFB_HUMAN_.pdf</t>
  </si>
  <si>
    <t>Melting_Curves/meltCurve_sp_Q99598_TSNAX_HUMAN_.pdf</t>
  </si>
  <si>
    <t>Melting_Curves/meltCurve_sp_Q99611_SPS2_HUMAN_.pdf</t>
  </si>
  <si>
    <t>Melting_Curves/meltCurve_sp_Q99614_TTC1_HUMAN_.pdf</t>
  </si>
  <si>
    <t>Melting_Curves/meltCurve_sp_Q99615_DNJC7_HUMAN_.pdf</t>
  </si>
  <si>
    <t>Melting_Curves/meltCurve_sp_Q99622_C10_HUMAN_.pdf</t>
  </si>
  <si>
    <t>Melting_Curves/meltCurve_sp_Q99624_S38A3_HUMAN_.pdf</t>
  </si>
  <si>
    <t>Melting_Curves/meltCurve_sp_Q99627_2_CSN8_HUMAN_.pdf</t>
  </si>
  <si>
    <t>Melting_Curves/meltCurve_sp_Q99707_METH_HUMAN_.pdf</t>
  </si>
  <si>
    <t>Melting_Curves/meltCurve_sp_Q99714_HCD2_HUMAN_.pdf</t>
  </si>
  <si>
    <t>Melting_Curves/meltCurve_sp_Q99733_NP1L4_HUMAN_.pdf</t>
  </si>
  <si>
    <t>Melting_Curves/meltCurve_sp_Q99747_SNAG_HUMAN_.pdf</t>
  </si>
  <si>
    <t>Melting_Curves/meltCurve_sp_Q99757_THIOM_HUMAN_.pdf</t>
  </si>
  <si>
    <t>Melting_Curves/meltCurve_sp_Q99766_ATP5S_HUMAN_.pdf</t>
  </si>
  <si>
    <t>Melting_Curves/meltCurve_sp_Q99797_MIPEP_HUMAN_.pdf</t>
  </si>
  <si>
    <t>Melting_Curves/meltCurve_sp_Q99798_ACON_HUMAN_.pdf</t>
  </si>
  <si>
    <t>Melting_Curves/meltCurve_sp_Q99807_2_COQ7_HUMAN_.pdf</t>
  </si>
  <si>
    <t>Melting_Curves/meltCurve_sp_Q99832_TCPH_HUMAN_.pdf</t>
  </si>
  <si>
    <t>Melting_Curves/meltCurve_sp_Q99836_MYD88_HUMAN_.pdf</t>
  </si>
  <si>
    <t>Melting_Curves/meltCurve_sp_Q99880_H2B1L_HUMAN_.pdf</t>
  </si>
  <si>
    <t>Melting_Curves/meltCurve_sp_Q99933_4_BAG1_HUMAN_.pdf</t>
  </si>
  <si>
    <t>Melting_Curves/meltCurve_sp_Q99952_PTN18_HUMAN_.pdf</t>
  </si>
  <si>
    <t>Melting_Curves/meltCurve_sp_Q99959_2_PKP2_HUMAN_.pdf</t>
  </si>
  <si>
    <t>Melting_Curves/meltCurve_sp_Q99961_SH3G1_HUMAN_.pdf</t>
  </si>
  <si>
    <t>Melting_Curves/meltCurve_sp_Q99996_5_AKAP9_HUMAN_.pdf</t>
  </si>
  <si>
    <t>Melting_Curves/meltCurve_sp_Q9BPW8_NIPS1_HUMAN_.pdf</t>
  </si>
  <si>
    <t>Melting_Curves/meltCurve_sp_Q9BPX5_ARP5L_HUMAN_.pdf</t>
  </si>
  <si>
    <t>Melting_Curves/meltCurve_sp_Q9BQ52_RNZ2_HUMAN_.pdf</t>
  </si>
  <si>
    <t>Melting_Curves/meltCurve_sp_Q9BQ61_CS043_HUMAN_.pdf</t>
  </si>
  <si>
    <t>Melting_Curves/meltCurve_sp_Q9BQ67_GRWD1_HUMAN_.pdf</t>
  </si>
  <si>
    <t>Melting_Curves/meltCurve_sp_Q9BQ69_MACD1_HUMAN_.pdf</t>
  </si>
  <si>
    <t>Melting_Curves/meltCurve_sp_Q9BQC3_2_DPH2_HUMAN_.pdf</t>
  </si>
  <si>
    <t>Melting_Curves/meltCurve_sp_Q9BQE5_APOL2_HUMAN_.pdf</t>
  </si>
  <si>
    <t>Melting_Curves/meltCurve_sp_Q9BQG0_MBB1A_HUMAN_.pdf</t>
  </si>
  <si>
    <t>Melting_Curves/meltCurve_sp_Q9BQG2_NUD12_HUMAN_.pdf</t>
  </si>
  <si>
    <t>Melting_Curves/meltCurve_sp_Q9BQK8_LPIN3_HUMAN_.pdf</t>
  </si>
  <si>
    <t>Melting_Curves/meltCurve_sp_Q9BQP7_MGME1_HUMAN_.pdf</t>
  </si>
  <si>
    <t>Melting_Curves/meltCurve_sp_Q9BQS8_FYCO1_HUMAN_.pdf</t>
  </si>
  <si>
    <t>Melting_Curves/meltCurve_sp_Q9BR76_COR1B_HUMAN_.pdf</t>
  </si>
  <si>
    <t>Melting_Curves/meltCurve_sp_Q9BRA2_TXD17_HUMAN_.pdf</t>
  </si>
  <si>
    <t>Melting_Curves/meltCurve_sp_Q9BRF8_CPPED_HUMAN_.pdf</t>
  </si>
  <si>
    <t>Melting_Curves/meltCurve_sp_Q9BRG1_VPS25_HUMAN_.pdf</t>
  </si>
  <si>
    <t>Melting_Curves/meltCurve_sp_Q9BRK5_CAB45_HUMAN_.pdf</t>
  </si>
  <si>
    <t>Melting_Curves/meltCurve_sp_Q9BRP4_PAAF1_HUMAN_.pdf</t>
  </si>
  <si>
    <t>Melting_Curves/meltCurve_sp_Q9BRP8_2_WIBG_HUMAN_.pdf</t>
  </si>
  <si>
    <t>Melting_Curves/meltCurve_sp_Q9BRT3_MIEN1_HUMAN_.pdf</t>
  </si>
  <si>
    <t>Melting_Curves/meltCurve_sp_Q9BRV8_SIKE1_HUMAN_.pdf</t>
  </si>
  <si>
    <t>Melting_Curves/meltCurve_sp_Q9BRZ2_TRI56_HUMAN_.pdf</t>
  </si>
  <si>
    <t>Melting_Curves/meltCurve_sp_Q9BS26_ERP44_HUMAN_.pdf</t>
  </si>
  <si>
    <t>Melting_Curves/meltCurve_sp_Q9BSE5_SPEB_HUMAN_.pdf</t>
  </si>
  <si>
    <t>Melting_Curves/meltCurve_sp_Q9BSH4_TACO1_HUMAN_.pdf</t>
  </si>
  <si>
    <t>Melting_Curves/meltCurve_sp_Q9BSH5_HDHD3_HUMAN_.pdf</t>
  </si>
  <si>
    <t>Melting_Curves/meltCurve_sp_Q9BSJ5_3_CQ080_HUMAN_.pdf</t>
  </si>
  <si>
    <t>Melting_Curves/meltCurve_sp_Q9BSJ8_ESYT1_HUMAN_.pdf</t>
  </si>
  <si>
    <t>Melting_Curves/meltCurve_sp_Q9BSL1_UBAC1_HUMAN_.pdf</t>
  </si>
  <si>
    <t>Melting_Curves/meltCurve_sp_Q9BST9_3_RTKN_HUMAN_.pdf</t>
  </si>
  <si>
    <t>Melting_Curves/meltCurve_sp_Q9BSU1_CP070_HUMAN_.pdf</t>
  </si>
  <si>
    <t>Melting_Curves/meltCurve_sp_Q9BSY4_CHCH5_HUMAN_.pdf</t>
  </si>
  <si>
    <t>Melting_Curves/meltCurve_sp_Q9BT09_CNPY3_HUMAN_.pdf</t>
  </si>
  <si>
    <t>Melting_Curves/meltCurve_sp_Q9BT30_ALKB7_HUMAN_.pdf</t>
  </si>
  <si>
    <t>Melting_Curves/meltCurve_sp_Q9BT73_PSMG3_HUMAN_.pdf</t>
  </si>
  <si>
    <t>Melting_Curves/meltCurve_sp_Q9BT78_CSN4_HUMAN_.pdf</t>
  </si>
  <si>
    <t>Melting_Curves/meltCurve_sp_Q9BTC0_DIDO1_HUMAN_.pdf</t>
  </si>
  <si>
    <t>Melting_Curves/meltCurve_sp_Q9BTE1_2_DCTN5_HUMAN_.pdf</t>
  </si>
  <si>
    <t>Melting_Curves/meltCurve_sp_Q9BTE3_2_MCMBP_HUMAN_.pdf</t>
  </si>
  <si>
    <t>Melting_Curves/meltCurve_sp_Q9BTE6_AASD1_HUMAN_.pdf</t>
  </si>
  <si>
    <t>Melting_Curves/meltCurve_sp_Q9BTM9_URM1_HUMAN_.pdf</t>
  </si>
  <si>
    <t>Melting_Curves/meltCurve_sp_Q9BTT0_3_AN32E_HUMAN_.pdf</t>
  </si>
  <si>
    <t>Melting_Curves/meltCurve_sp_Q9BTW9_TBCD_HUMAN_.pdf</t>
  </si>
  <si>
    <t>Melting_Curves/meltCurve_sp_Q9BTX7_TTPAL_HUMAN_.pdf</t>
  </si>
  <si>
    <t>Melting_Curves/meltCurve_sp_Q9BTY2_FUCO2_HUMAN_.pdf</t>
  </si>
  <si>
    <t>Melting_Curves/meltCurve_sp_Q9BTY7_F203A_HUMAN_.pdf</t>
  </si>
  <si>
    <t>Melting_Curves/meltCurve_sp_Q9BTZ2_DHRS4_HUMAN_.pdf</t>
  </si>
  <si>
    <t>Melting_Curves/meltCurve_sp_Q9BU02_THTPA_HUMAN_.pdf</t>
  </si>
  <si>
    <t>Melting_Curves/meltCurve_sp_Q9BU89_DOHH_HUMAN_.pdf</t>
  </si>
  <si>
    <t>Melting_Curves/meltCurve_sp_Q9BUE0_MED18_HUMAN_.pdf</t>
  </si>
  <si>
    <t>Melting_Curves/meltCurve_sp_Q9BUE6_ISCA1_HUMAN_.pdf</t>
  </si>
  <si>
    <t>Melting_Curves/meltCurve_sp_Q9BUH6_CI142_HUMAN_.pdf</t>
  </si>
  <si>
    <t>Melting_Curves/meltCurve_sp_Q9BUJ2_2_HNRL1_HUMAN_.pdf</t>
  </si>
  <si>
    <t>Melting_Curves/meltCurve_sp_Q9BUP0_EFHD1_HUMAN_.pdf</t>
  </si>
  <si>
    <t>Melting_Curves/meltCurve_sp_Q9BUQ8_DDX23_HUMAN_.pdf</t>
  </si>
  <si>
    <t>Melting_Curves/meltCurve_sp_Q9BUT1_BDH2_HUMAN_.pdf</t>
  </si>
  <si>
    <t>Melting_Curves/meltCurve_sp_Q9BUT9_F195A_HUMAN_.pdf</t>
  </si>
  <si>
    <t>Melting_Curves/meltCurve_sp_Q9BV19_CA050_HUMAN_.pdf</t>
  </si>
  <si>
    <t>Melting_Curves/meltCurve_sp_Q9BV20_MTNA_HUMAN_.pdf</t>
  </si>
  <si>
    <t>Melting_Curves/meltCurve_sp_Q9BV44_THUM3_HUMAN_.pdf</t>
  </si>
  <si>
    <t>Melting_Curves/meltCurve_sp_Q9BV57_MTND_HUMAN_.pdf</t>
  </si>
  <si>
    <t>Melting_Curves/meltCurve_sp_Q9BV79_MECR_HUMAN_.pdf</t>
  </si>
  <si>
    <t>Melting_Curves/meltCurve_sp_Q9BV86_NTM1A_HUMAN_.pdf</t>
  </si>
  <si>
    <t>Melting_Curves/meltCurve_sp_Q9BVG4_PBDC1_HUMAN_.pdf</t>
  </si>
  <si>
    <t>Melting_Curves/meltCurve_sp_Q9BVJ7_DUS23_HUMAN_.pdf</t>
  </si>
  <si>
    <t>Melting_Curves/meltCurve_sp_Q9BVL4_SELO_HUMAN_.pdf</t>
  </si>
  <si>
    <t>Melting_Curves/meltCurve_sp_Q9BVM4_GGACT_HUMAN_.pdf</t>
  </si>
  <si>
    <t>Melting_Curves/meltCurve_sp_Q9BVS5_TR61B_HUMAN_.pdf</t>
  </si>
  <si>
    <t>Melting_Curves/meltCurve_sp_Q9BW61_DDA1_HUMAN_.pdf</t>
  </si>
  <si>
    <t>Melting_Curves/meltCurve_sp_Q9BW71_2_HIRP3_HUMAN_.pdf</t>
  </si>
  <si>
    <t>Melting_Curves/meltCurve_sp_Q9BW83_IFT27_HUMAN_.pdf</t>
  </si>
  <si>
    <t>Melting_Curves/meltCurve_sp_Q9BW91_2_NUDT9_HUMAN_.pdf</t>
  </si>
  <si>
    <t>Melting_Curves/meltCurve_sp_Q9BW92_SYTM_HUMAN_.pdf</t>
  </si>
  <si>
    <t>Melting_Curves/meltCurve_sp_Q9BWD1_THIC_HUMAN_.pdf</t>
  </si>
  <si>
    <t>Melting_Curves/meltCurve_sp_Q9BWE0_REPI1_HUMAN_.pdf</t>
  </si>
  <si>
    <t>Melting_Curves/meltCurve_sp_Q9BWF3_4_RBM4_HUMAN_.pdf</t>
  </si>
  <si>
    <t>Melting_Curves/meltCurve_sp_Q9BWH6_RPAP1_HUMAN_.pdf</t>
  </si>
  <si>
    <t>Melting_Curves/meltCurve_sp_Q9BWU0_NADAP_HUMAN_.pdf</t>
  </si>
  <si>
    <t>Melting_Curves/meltCurve_sp_Q9BX66_9_SRBS1_HUMAN_.pdf</t>
  </si>
  <si>
    <t>Melting_Curves/meltCurve_sp_Q9BX68_HINT2_HUMAN_.pdf</t>
  </si>
  <si>
    <t>Melting_Curves/meltCurve_sp_Q9BX95_SGPP1_HUMAN_.pdf</t>
  </si>
  <si>
    <t>Melting_Curves/meltCurve_sp_Q9BXI6_TB10A_HUMAN_.pdf</t>
  </si>
  <si>
    <t>Melting_Curves/meltCurve_sp_Q9BXJ9_NAA15_HUMAN_.pdf</t>
  </si>
  <si>
    <t>Melting_Curves/meltCurve_sp_Q9BXK5_B2L13_HUMAN_.pdf</t>
  </si>
  <si>
    <t>Melting_Curves/meltCurve_sp_Q9BXP5_5_SRRT_HUMAN_.pdf</t>
  </si>
  <si>
    <t>Melting_Curves/meltCurve_sp_Q9BXR0_TGT_HUMAN_.pdf</t>
  </si>
  <si>
    <t>Melting_Curves/meltCurve_sp_Q9BXS6_7_NUSAP_HUMAN_.pdf</t>
  </si>
  <si>
    <t>Melting_Curves/meltCurve_sp_Q9BXV9_CN142_HUMAN_.pdf</t>
  </si>
  <si>
    <t>Melting_Curves/meltCurve_sp_Q9BXW6_2_OSBL1_HUMAN_.pdf</t>
  </si>
  <si>
    <t>Melting_Curves/meltCurve_sp_Q9BXW7_2_CECR5_HUMAN_.pdf</t>
  </si>
  <si>
    <t>Melting_Curves/meltCurve_sp_Q9BY32_ITPA_HUMAN_.pdf</t>
  </si>
  <si>
    <t>Melting_Curves/meltCurve_sp_Q9BY42_RTF2_HUMAN_.pdf</t>
  </si>
  <si>
    <t>Melting_Curves/meltCurve_sp_Q9BY43_CHM4A_HUMAN_.pdf</t>
  </si>
  <si>
    <t>Melting_Curves/meltCurve_sp_Q9BY49_PECR_HUMAN_.pdf</t>
  </si>
  <si>
    <t>Melting_Curves/meltCurve_sp_Q9BY77_PDIP3_HUMAN_.pdf</t>
  </si>
  <si>
    <t>Melting_Curves/meltCurve_sp_Q9BY89_K1671_HUMAN_.pdf</t>
  </si>
  <si>
    <t>Melting_Curves/meltCurve_sp_Q9BYE9_CDHR2_HUMAN_.pdf</t>
  </si>
  <si>
    <t>Melting_Curves/meltCurve_sp_Q9BYM8_HOIL1_HUMAN_.pdf</t>
  </si>
  <si>
    <t>Melting_Curves/meltCurve_sp_Q9BYN0_SRXN1_HUMAN_.pdf</t>
  </si>
  <si>
    <t>Melting_Curves/meltCurve_sp_Q9BYP7_3_WNK3_HUMAN_.pdf</t>
  </si>
  <si>
    <t>Melting_Curves/meltCurve_sp_Q9BYT8_NEUL_HUMAN_.pdf</t>
  </si>
  <si>
    <t>Melting_Curves/meltCurve_sp_Q9BYV1_AGT2_HUMAN_.pdf</t>
  </si>
  <si>
    <t>Melting_Curves/meltCurve_sp_Q9BYV7_4_BCDO2_HUMAN_.pdf</t>
  </si>
  <si>
    <t>Melting_Curves/meltCurve_sp_Q9BYX4_IFIH1_HUMAN_.pdf</t>
  </si>
  <si>
    <t>Melting_Curves/meltCurve_sp_Q9BZ23_3_PANK2_HUMAN_.pdf</t>
  </si>
  <si>
    <t>Melting_Curves/meltCurve_sp_Q9BZE2_PUS3_HUMAN_.pdf</t>
  </si>
  <si>
    <t>Melting_Curves/meltCurve_sp_Q9BZE9_ASPC1_HUMAN_.pdf</t>
  </si>
  <si>
    <t>Melting_Curves/meltCurve_sp_Q9BZH6_WDR11_HUMAN_.pdf</t>
  </si>
  <si>
    <t>Melting_Curves/meltCurve_sp_Q9BZI7_2_REN3B_HUMAN_.pdf</t>
  </si>
  <si>
    <t>Melting_Curves/meltCurve_sp_Q9BZK7_TBL1R_HUMAN_.pdf</t>
  </si>
  <si>
    <t>Melting_Curves/meltCurve_sp_Q9BZL1_UBL5_HUMAN_.pdf</t>
  </si>
  <si>
    <t>Melting_Curves/meltCurve_sp_Q9BZL4_PP12C_HUMAN_.pdf</t>
  </si>
  <si>
    <t>Melting_Curves/meltCurve_sp_Q9BZZ5_2_API5_HUMAN_.pdf</t>
  </si>
  <si>
    <t>Melting_Curves/meltCurve_sp_Q9C005_DPY30_HUMAN_.pdf</t>
  </si>
  <si>
    <t>Melting_Curves/meltCurve_sp_Q9C040_TRIM2_HUMAN_.pdf</t>
  </si>
  <si>
    <t>Melting_Curves/meltCurve_sp_Q9C0B0_UNK_HUMAN_.pdf</t>
  </si>
  <si>
    <t>Melting_Curves/meltCurve_sp_Q9C0B1_FTO_HUMAN_.pdf</t>
  </si>
  <si>
    <t>Melting_Curves/meltCurve_sp_Q9C0B5_2_ZDHC5_HUMAN_.pdf</t>
  </si>
  <si>
    <t>Melting_Curves/meltCurve_sp_Q9C0C2_TB182_HUMAN_.pdf</t>
  </si>
  <si>
    <t>Melting_Curves/meltCurve_sp_Q9C0C9_UBE2O_HUMAN_.pdf</t>
  </si>
  <si>
    <t>Melting_Curves/meltCurve_sp_Q9C0G6_DYH6_HUMAN_.pdf</t>
  </si>
  <si>
    <t>Melting_Curves/meltCurve_sp_Q9C0H9_5_SRCN1_HUMAN_.pdf</t>
  </si>
  <si>
    <t>Melting_Curves/meltCurve_sp_Q9C0I1_MTMRC_HUMAN_.pdf</t>
  </si>
  <si>
    <t>Melting_Curves/meltCurve_sp_Q9C0J8_WDR33_HUMAN_.pdf</t>
  </si>
  <si>
    <t>Melting_Curves/meltCurve_sp_Q9GZN8_CT027_HUMAN_.pdf</t>
  </si>
  <si>
    <t>Melting_Curves/meltCurve_sp_Q9GZP4_PITH1_HUMAN_.pdf</t>
  </si>
  <si>
    <t>Melting_Curves/meltCurve_sp_Q9GZQ3_COMD5_HUMAN_.pdf</t>
  </si>
  <si>
    <t>Melting_Curves/meltCurve_sp_Q9GZT3_2_SLIRP_HUMAN_.pdf</t>
  </si>
  <si>
    <t>Melting_Curves/meltCurve_sp_Q9GZT8_2_NIF3L_HUMAN_.pdf</t>
  </si>
  <si>
    <t>Melting_Curves/meltCurve_sp_Q9GZT9_2_EGLN1_HUMAN_.pdf</t>
  </si>
  <si>
    <t>Melting_Curves/meltCurve_sp_Q9GZU8_F192A_HUMAN_.pdf</t>
  </si>
  <si>
    <t>Melting_Curves/meltCurve_sp_Q9GZZ9_UBA5_HUMAN_.pdf</t>
  </si>
  <si>
    <t>Melting_Curves/meltCurve_sp_Q9H008_LHPP_HUMAN_.pdf</t>
  </si>
  <si>
    <t>Melting_Curves/meltCurve_sp_Q9H074_PAIP1_HUMAN_.pdf</t>
  </si>
  <si>
    <t>Melting_Curves/meltCurve_sp_Q9H098_F107B_HUMAN_.pdf</t>
  </si>
  <si>
    <t>Melting_Curves/meltCurve_sp_Q9H0C8_ILKAP_HUMAN_.pdf</t>
  </si>
  <si>
    <t>Melting_Curves/meltCurve_sp_Q9H0D6_XRN2_HUMAN_.pdf</t>
  </si>
  <si>
    <t>Melting_Curves/meltCurve_sp_Q9H0E2_TOLIP_HUMAN_.pdf</t>
  </si>
  <si>
    <t>Melting_Curves/meltCurve_sp_Q9H0F6_SHRPN_HUMAN_.pdf</t>
  </si>
  <si>
    <t>Melting_Curves/meltCurve_sp_Q9H0G5_NSRP1_HUMAN_.pdf</t>
  </si>
  <si>
    <t>Melting_Curves/meltCurve_sp_Q9H0K1_SIK2_HUMAN_.pdf</t>
  </si>
  <si>
    <t>Melting_Curves/meltCurve_sp_Q9H0L4_CSTFT_HUMAN_.pdf</t>
  </si>
  <si>
    <t>Melting_Curves/meltCurve_sp_Q9H0P0_1_5NT3A_HUMAN_.pdf</t>
  </si>
  <si>
    <t>Melting_Curves/meltCurve_sp_Q9H0R6_GATA_HUMAN_.pdf</t>
  </si>
  <si>
    <t>Melting_Curves/meltCurve_sp_Q9H0U4_RAB1B_HUMAN_.pdf</t>
  </si>
  <si>
    <t>Melting_Curves/meltCurve_sp_Q9H0W9_CK054_HUMAN_.pdf</t>
  </si>
  <si>
    <t>Melting_Curves/meltCurve_sp_Q9H1B7_I2BPL_HUMAN_.pdf</t>
  </si>
  <si>
    <t>Melting_Curves/meltCurve_sp_Q9H1E3_NUCKS_HUMAN_.pdf</t>
  </si>
  <si>
    <t>Melting_Curves/meltCurve_sp_Q9H1H9_3_KI13A_HUMAN_.pdf</t>
  </si>
  <si>
    <t>Melting_Curves/meltCurve_sp_Q9H1J1_2_REN3A_HUMAN_.pdf</t>
  </si>
  <si>
    <t>Melting_Curves/meltCurve_sp_Q9H1K0_RBNS5_HUMAN_.pdf</t>
  </si>
  <si>
    <t>Melting_Curves/meltCurve_sp_Q9H1K1_ISCU_HUMAN_.pdf</t>
  </si>
  <si>
    <t>Melting_Curves/meltCurve_sp_Q9H1P3_2_OSBL2_HUMAN_.pdf</t>
  </si>
  <si>
    <t>Melting_Curves/meltCurve_sp_Q9H1Y0_ATG5_HUMAN_.pdf</t>
  </si>
  <si>
    <t>Melting_Curves/meltCurve_sp_Q9H1Z4_WDR13_HUMAN_.pdf</t>
  </si>
  <si>
    <t>Melting_Curves/meltCurve_sp_Q9H223_EHD4_HUMAN_.pdf</t>
  </si>
  <si>
    <t>Melting_Curves/meltCurve_sp_Q9H227_GBA3_HUMAN_.pdf</t>
  </si>
  <si>
    <t>Melting_Curves/meltCurve_sp_Q9H267_VP33B_HUMAN_.pdf</t>
  </si>
  <si>
    <t>Melting_Curves/meltCurve_sp_Q9H270_VPS11_HUMAN_.pdf</t>
  </si>
  <si>
    <t>Melting_Curves/meltCurve_sp_Q9H2A2_AL8A1_HUMAN_.pdf</t>
  </si>
  <si>
    <t>Melting_Curves/meltCurve_sp_Q9H2D6_5_TARA_HUMAN_.pdf</t>
  </si>
  <si>
    <t>Melting_Curves/meltCurve_sp_Q9H2G2_2_SLK_HUMAN_.pdf</t>
  </si>
  <si>
    <t>Melting_Curves/meltCurve_sp_Q9H2H8_PPIL3_HUMAN_.pdf</t>
  </si>
  <si>
    <t>Melting_Curves/meltCurve_sp_Q9H2M3_BHMT2_HUMAN_.pdf</t>
  </si>
  <si>
    <t>Melting_Curves/meltCurve_sp_Q9H2M9_RBGPR_HUMAN_.pdf</t>
  </si>
  <si>
    <t>Melting_Curves/meltCurve_sp_Q9H2P0_ADNP_HUMAN_.pdf</t>
  </si>
  <si>
    <t>Melting_Curves/meltCurve_sp_Q9H2P9_3_DPH5_HUMAN_.pdf</t>
  </si>
  <si>
    <t>Melting_Curves/meltCurve_sp_Q9H2U1_3_DHX36_HUMAN_.pdf</t>
  </si>
  <si>
    <t>Melting_Curves/meltCurve_sp_Q9H2U2_IPYR2_HUMAN_.pdf</t>
  </si>
  <si>
    <t>Melting_Curves/meltCurve_sp_Q9H2W6_RM46_HUMAN_.pdf</t>
  </si>
  <si>
    <t>Melting_Curves/meltCurve_sp_Q9H307_PININ_HUMAN_.pdf</t>
  </si>
  <si>
    <t>Melting_Curves/meltCurve_sp_Q9H3G5_CPVL_HUMAN_.pdf</t>
  </si>
  <si>
    <t>Melting_Curves/meltCurve_sp_Q9H3H3_CK068_HUMAN_.pdf</t>
  </si>
  <si>
    <t>Melting_Curves/meltCurve_sp_Q9H3K6_BOLA2_HUMAN_.pdf</t>
  </si>
  <si>
    <t>Melting_Curves/meltCurve_sp_Q9H3P2_NELFA_HUMAN_.pdf</t>
  </si>
  <si>
    <t>Melting_Curves/meltCurve_sp_Q9H3P7_GCP60_HUMAN_.pdf</t>
  </si>
  <si>
    <t>Melting_Curves/meltCurve_sp_Q9H3Q1_BORG4_HUMAN_.pdf</t>
  </si>
  <si>
    <t>Melting_Curves/meltCurve_sp_Q9H3S7_PTN23_HUMAN_.pdf</t>
  </si>
  <si>
    <t>Melting_Curves/meltCurve_sp_Q9H3U1_2_UN45A_HUMAN_.pdf</t>
  </si>
  <si>
    <t>Melting_Curves/meltCurve_sp_Q9H400_2_LIME1_HUMAN_.pdf</t>
  </si>
  <si>
    <t>Melting_Curves/meltCurve_sp_Q9H444_CHM4B_HUMAN_.pdf</t>
  </si>
  <si>
    <t>Melting_Curves/meltCurve_sp_Q9H479_FN3K_HUMAN_.pdf</t>
  </si>
  <si>
    <t>Melting_Curves/meltCurve_sp_Q9H488_OFUT1_HUMAN_.pdf</t>
  </si>
  <si>
    <t>Melting_Curves/meltCurve_sp_Q9H4A4_AMPB_HUMAN_.pdf</t>
  </si>
  <si>
    <t>Melting_Curves/meltCurve_sp_Q9H4A6_GOLP3_HUMAN_.pdf</t>
  </si>
  <si>
    <t>Melting_Curves/meltCurve_sp_Q9H4B0_OSGP2_HUMAN_.pdf</t>
  </si>
  <si>
    <t>Melting_Curves/meltCurve_sp_Q9H4I2_ZHX3_HUMAN_.pdf</t>
  </si>
  <si>
    <t>Melting_Curves/meltCurve_sp_Q9H4M9_EHD1_HUMAN_.pdf</t>
  </si>
  <si>
    <t>Melting_Curves/meltCurve_sp_Q9H5N1_RABE2_HUMAN_.pdf</t>
  </si>
  <si>
    <t>Melting_Curves/meltCurve_sp_Q9H5Q4_TFB2M_HUMAN_.pdf</t>
  </si>
  <si>
    <t>Melting_Curves/meltCurve_sp_Q9H5X1_FA96A_HUMAN_.pdf</t>
  </si>
  <si>
    <t>Melting_Curves/meltCurve_sp_Q9H6Q4_3_NARFL_HUMAN_.pdf</t>
  </si>
  <si>
    <t>Melting_Curves/meltCurve_sp_Q9H6R3_ACSS3_HUMAN_.pdf</t>
  </si>
  <si>
    <t>Melting_Curves/meltCurve_sp_Q9H6S0_YTDC2_HUMAN_.pdf</t>
  </si>
  <si>
    <t>Melting_Curves/meltCurve_sp_Q9H6S3_ES8L2_HUMAN_.pdf</t>
  </si>
  <si>
    <t>Melting_Curves/meltCurve_sp_Q9H6T0_2_ESRP2_HUMAN_.pdf</t>
  </si>
  <si>
    <t>Melting_Curves/meltCurve_sp_Q9H6T3_2_RPAP3_HUMAN_.pdf</t>
  </si>
  <si>
    <t>Melting_Curves/meltCurve_sp_Q9H773_DCTP1_HUMAN_.pdf</t>
  </si>
  <si>
    <t>Melting_Curves/meltCurve_sp_Q9H777_RNZ1_HUMAN_.pdf</t>
  </si>
  <si>
    <t>Melting_Curves/meltCurve_sp_Q9H788_SH24A_HUMAN_.pdf</t>
  </si>
  <si>
    <t>Melting_Curves/meltCurve_sp_Q9H7C9_AAMDC_HUMAN_.pdf</t>
  </si>
  <si>
    <t>Melting_Curves/meltCurve_sp_Q9H7D0_DOCK5_HUMAN_.pdf</t>
  </si>
  <si>
    <t>Melting_Curves/meltCurve_sp_Q9H7E2_3_TDRD3_HUMAN_.pdf</t>
  </si>
  <si>
    <t>Melting_Curves/meltCurve_sp_Q9H7N4_SFR19_HUMAN_.pdf</t>
  </si>
  <si>
    <t>Melting_Curves/meltCurve_sp_Q9H7Z6_KAT8_HUMAN_.pdf</t>
  </si>
  <si>
    <t>Melting_Curves/meltCurve_sp_Q9H7Z7_PGES2_HUMAN_.pdf</t>
  </si>
  <si>
    <t>Melting_Curves/meltCurve_sp_Q9H814_PHAX_HUMAN_.pdf</t>
  </si>
  <si>
    <t>Melting_Curves/meltCurve_sp_Q9H832_UBE2Z_HUMAN_.pdf</t>
  </si>
  <si>
    <t>Melting_Curves/meltCurve_sp_Q9H845_ACAD9_HUMAN_.pdf</t>
  </si>
  <si>
    <t>Melting_Curves/meltCurve_sp_Q9H8S9_MOB1A_HUMAN_.pdf</t>
  </si>
  <si>
    <t>Melting_Curves/meltCurve_sp_Q9H8U3_ZFAN3_HUMAN_.pdf</t>
  </si>
  <si>
    <t>Melting_Curves/meltCurve_sp_Q9H8W4_PKHF2_HUMAN_.pdf</t>
  </si>
  <si>
    <t>Melting_Curves/meltCurve_sp_Q9H8Y8_GORS2_HUMAN_.pdf</t>
  </si>
  <si>
    <t>Melting_Curves/meltCurve_sp_Q9H939_PPIP2_HUMAN_.pdf</t>
  </si>
  <si>
    <t>Melting_Curves/meltCurve_sp_Q9H974_QTRD1_HUMAN_.pdf</t>
  </si>
  <si>
    <t>Melting_Curves/meltCurve_sp_Q9H993_CF211_HUMAN_.pdf</t>
  </si>
  <si>
    <t>Melting_Curves/meltCurve_sp_Q9H999_PANK3_HUMAN_.pdf</t>
  </si>
  <si>
    <t>Melting_Curves/meltCurve_sp_Q9H9A6_LRC40_HUMAN_.pdf</t>
  </si>
  <si>
    <t>Melting_Curves/meltCurve_sp_Q9H9B1_4_EHMT1_HUMAN_.pdf</t>
  </si>
  <si>
    <t>Melting_Curves/meltCurve_sp_Q9H9C1_2_SPE39_HUMAN_.pdf</t>
  </si>
  <si>
    <t>Melting_Curves/meltCurve_sp_Q9H9E3_COG4_HUMAN_.pdf</t>
  </si>
  <si>
    <t>Melting_Curves/meltCurve_sp_Q9H9G7_2_AGO3_HUMAN_.pdf</t>
  </si>
  <si>
    <t>Melting_Curves/meltCurve_sp_Q9H9J2_RM44_HUMAN_.pdf</t>
  </si>
  <si>
    <t>Melting_Curves/meltCurve_sp_Q9H9S4_CB39L_HUMAN_.pdf</t>
  </si>
  <si>
    <t>Melting_Curves/meltCurve_sp_Q9H9T3_2_ELP3_HUMAN_.pdf</t>
  </si>
  <si>
    <t>Melting_Curves/meltCurve_sp_Q9HA64_KT3K_HUMAN_.pdf</t>
  </si>
  <si>
    <t>Melting_Curves/meltCurve_sp_Q9HA65_TBC17_HUMAN_.pdf</t>
  </si>
  <si>
    <t>Melting_Curves/meltCurve_sp_Q9HA77_SYCM_HUMAN_.pdf</t>
  </si>
  <si>
    <t>Melting_Curves/meltCurve_sp_Q9HAB8_PPCS_HUMAN_.pdf</t>
  </si>
  <si>
    <t>Melting_Curves/meltCurve_sp_Q9HAC7_4_CG010_HUMAN_.pdf</t>
  </si>
  <si>
    <t>Melting_Curves/meltCurve_sp_Q9HAN9_NMNA1_HUMAN_.pdf</t>
  </si>
  <si>
    <t>Melting_Curves/meltCurve_sp_Q9HAP2_MLXIP_HUMAN_.pdf</t>
  </si>
  <si>
    <t>Melting_Curves/meltCurve_sp_Q9HAT2_SIAE_HUMAN_.pdf</t>
  </si>
  <si>
    <t>Melting_Curves/meltCurve_sp_Q9HAU0_PKHA5_HUMAN_.pdf</t>
  </si>
  <si>
    <t>Melting_Curves/meltCurve_sp_Q9HAU5_RENT2_HUMAN_.pdf</t>
  </si>
  <si>
    <t>Melting_Curves/meltCurve_sp_Q9HAV4_XPO5_HUMAN_.pdf</t>
  </si>
  <si>
    <t>Melting_Curves/meltCurve_sp_Q9HAV7_GRPE1_HUMAN_.pdf</t>
  </si>
  <si>
    <t>Melting_Curves/meltCurve_sp_Q9HB07_MYG1_HUMAN_.pdf</t>
  </si>
  <si>
    <t>Melting_Curves/meltCurve_sp_Q9HB21_PKHA1_HUMAN_.pdf</t>
  </si>
  <si>
    <t>Melting_Curves/meltCurve_sp_Q9HB40_RISC_HUMAN_.pdf</t>
  </si>
  <si>
    <t>Melting_Curves/meltCurve_sp_Q9HB71_CYBP_HUMAN_.pdf</t>
  </si>
  <si>
    <t>Melting_Curves/meltCurve_sp_Q9HB90_RRAGC_HUMAN_.pdf</t>
  </si>
  <si>
    <t>Melting_Curves/meltCurve_sp_Q9HBF4_2_ZFYV1_HUMAN_.pdf</t>
  </si>
  <si>
    <t>Melting_Curves/meltCurve_sp_Q9HBH1_DEFM_HUMAN_.pdf</t>
  </si>
  <si>
    <t>Melting_Curves/meltCurve_sp_Q9HBI1_PARVB_HUMAN_.pdf</t>
  </si>
  <si>
    <t>Melting_Curves/meltCurve_sp_Q9HBK9_AS3MT_HUMAN_.pdf</t>
  </si>
  <si>
    <t>Melting_Curves/meltCurve_sp_Q9HBL8_NMRL1_HUMAN_.pdf</t>
  </si>
  <si>
    <t>Melting_Curves/meltCurve_sp_Q9HBR0_S38AA_HUMAN_.pdf</t>
  </si>
  <si>
    <t>Melting_Curves/meltCurve_sp_Q9HC35_EMAL4_HUMAN_.pdf</t>
  </si>
  <si>
    <t>Melting_Curves/meltCurve_sp_Q9HC38_2_GLOD4_HUMAN_.pdf</t>
  </si>
  <si>
    <t>Melting_Curves/meltCurve_sp_Q9HCB6_SPON1_HUMAN_.pdf</t>
  </si>
  <si>
    <t>Melting_Curves/meltCurve_sp_Q9HCC0_MCCB_HUMAN_.pdf</t>
  </si>
  <si>
    <t>Melting_Curves/meltCurve_sp_Q9HCC9_5_LST2_HUMAN_.pdf</t>
  </si>
  <si>
    <t>Melting_Curves/meltCurve_sp_Q9HCE5_MET14_HUMAN_.pdf</t>
  </si>
  <si>
    <t>Melting_Curves/meltCurve_sp_Q9HCE6_3_ARGAL_HUMAN_.pdf</t>
  </si>
  <si>
    <t>Melting_Curves/meltCurve_sp_Q9HCM4_2_E41L5_HUMAN_.pdf</t>
  </si>
  <si>
    <t>Melting_Curves/meltCurve_sp_Q9HCN4_3_GPN1_HUMAN_.pdf</t>
  </si>
  <si>
    <t>Melting_Curves/meltCurve_sp_Q9HCN8_SDF2L_HUMAN_.pdf</t>
  </si>
  <si>
    <t>Melting_Curves/meltCurve_sp_Q9HD15_SRA1_HUMAN_.pdf</t>
  </si>
  <si>
    <t>Melting_Curves/meltCurve_sp_Q9HD26_2_GOPC_HUMAN_.pdf</t>
  </si>
  <si>
    <t>Melting_Curves/meltCurve_sp_Q9HD33_2_RM47_HUMAN_.pdf</t>
  </si>
  <si>
    <t>Melting_Curves/meltCurve_sp_Q9HD40_SPCS_HUMAN_.pdf</t>
  </si>
  <si>
    <t>Melting_Curves/meltCurve_sp_Q9HD42_CHM1A_HUMAN_.pdf</t>
  </si>
  <si>
    <t>Melting_Curves/meltCurve_sp_Q9HD89_RETN_HUMAN_.pdf</t>
  </si>
  <si>
    <t>Melting_Curves/meltCurve_sp_Q9HDC5_JPH1_HUMAN_.pdf</t>
  </si>
  <si>
    <t>Melting_Curves/meltCurve_sp_Q9NP61_ARFG3_HUMAN_.pdf</t>
  </si>
  <si>
    <t>Melting_Curves/meltCurve_sp_Q9NP71_4_MLXPL_HUMAN_.pdf</t>
  </si>
  <si>
    <t>Melting_Curves/meltCurve_sp_Q9NP72_RAB18_HUMAN_.pdf</t>
  </si>
  <si>
    <t>Melting_Curves/meltCurve_sp_Q9NP74_PALMD_HUMAN_.pdf</t>
  </si>
  <si>
    <t>Melting_Curves/meltCurve_sp_Q9NP77_SSU72_HUMAN_.pdf</t>
  </si>
  <si>
    <t>Melting_Curves/meltCurve_sp_Q9NP79_VTA1_HUMAN_.pdf</t>
  </si>
  <si>
    <t>Melting_Curves/meltCurve_sp_Q9NP97_DLRB1_HUMAN_.pdf</t>
  </si>
  <si>
    <t>Melting_Curves/meltCurve_sp_Q9NPA8_2_ENY2_HUMAN_.pdf</t>
  </si>
  <si>
    <t>Melting_Curves/meltCurve_sp_Q9NPD3_EXOS4_HUMAN_.pdf</t>
  </si>
  <si>
    <t>Melting_Curves/meltCurve_sp_Q9NPF4_OSGEP_HUMAN_.pdf</t>
  </si>
  <si>
    <t>Melting_Curves/meltCurve_sp_Q9NPH0_PPA6_HUMAN_.pdf</t>
  </si>
  <si>
    <t>Melting_Curves/meltCurve_sp_Q9NPJ3_ACO13_HUMAN_.pdf</t>
  </si>
  <si>
    <t>Melting_Curves/meltCurve_sp_Q9NPQ8_2_RIC8A_HUMAN_.pdf</t>
  </si>
  <si>
    <t>Melting_Curves/meltCurve_sp_Q9NQ88_TIGAR_HUMAN_.pdf</t>
  </si>
  <si>
    <t>Melting_Curves/meltCurve_sp_Q9NQ94_2_A1CF_HUMAN_.pdf</t>
  </si>
  <si>
    <t>Melting_Curves/meltCurve_sp_Q9NQG5_RPR1B_HUMAN_.pdf</t>
  </si>
  <si>
    <t>Melting_Curves/meltCurve_sp_Q9NQH7_2_XPP3_HUMAN_.pdf</t>
  </si>
  <si>
    <t>Melting_Curves/meltCurve_sp_Q9NQP4_PFD4_HUMAN_.pdf</t>
  </si>
  <si>
    <t>Melting_Curves/meltCurve_sp_Q9NQR4_NIT2_HUMAN_.pdf</t>
  </si>
  <si>
    <t>Melting_Curves/meltCurve_sp_Q9NQS1_AVEN_HUMAN_.pdf</t>
  </si>
  <si>
    <t>Melting_Curves/meltCurve_sp_Q9NQT8_KI13B_HUMAN_.pdf</t>
  </si>
  <si>
    <t>Melting_Curves/meltCurve_sp_Q9NQW7_3_XPP1_HUMAN_.pdf</t>
  </si>
  <si>
    <t>Melting_Curves/meltCurve_sp_Q9NQX3_GEPH_HUMAN_.pdf</t>
  </si>
  <si>
    <t>Melting_Curves/meltCurve_sp_Q9NR19_ACSA_HUMAN_.pdf</t>
  </si>
  <si>
    <t>Melting_Curves/meltCurve_sp_Q9NR28_2_DBLOH_HUMAN_.pdf</t>
  </si>
  <si>
    <t>Melting_Curves/meltCurve_sp_Q9NR30_DDX21_HUMAN_.pdf</t>
  </si>
  <si>
    <t>Melting_Curves/meltCurve_sp_Q9NR45_SIAS_HUMAN_.pdf</t>
  </si>
  <si>
    <t>Melting_Curves/meltCurve_sp_Q9NR46_SHLB2_HUMAN_.pdf</t>
  </si>
  <si>
    <t>Melting_Curves/meltCurve_sp_Q9NR50_EI2BG_HUMAN_.pdf</t>
  </si>
  <si>
    <t>Melting_Curves/meltCurve_sp_Q9NRF8_PYRG2_HUMAN_.pdf</t>
  </si>
  <si>
    <t>Melting_Curves/meltCurve_sp_Q9NRF9_DPOE3_HUMAN_.pdf</t>
  </si>
  <si>
    <t>Melting_Curves/meltCurve_sp_Q9NRG7_2_D39U1_HUMAN_.pdf</t>
  </si>
  <si>
    <t>Melting_Curves/meltCurve_sp_Q9NRN7_ADPPT_HUMAN_.pdf</t>
  </si>
  <si>
    <t>Melting_Curves/meltCurve_sp_Q9NRP4_ACN9_HUMAN_.pdf</t>
  </si>
  <si>
    <t>Melting_Curves/meltCurve_sp_Q9NRR5_UBQL4_HUMAN_.pdf</t>
  </si>
  <si>
    <t>Melting_Curves/meltCurve_sp_Q9NRV9_HEBP1_HUMAN_.pdf</t>
  </si>
  <si>
    <t>Melting_Curves/meltCurve_sp_Q9NRW7_VPS45_HUMAN_.pdf</t>
  </si>
  <si>
    <t>Melting_Curves/meltCurve_sp_Q9NRX4_PHP14_HUMAN_.pdf</t>
  </si>
  <si>
    <t>Melting_Curves/meltCurve_sp_Q9NRY4_RHG35_HUMAN_.pdf</t>
  </si>
  <si>
    <t>Melting_Curves/meltCurve_sp_Q9NRY5_F1142_HUMAN_.pdf</t>
  </si>
  <si>
    <t>Melting_Curves/meltCurve_sp_Q9NS86_LANC2_HUMAN_.pdf</t>
  </si>
  <si>
    <t>Melting_Curves/meltCurve_sp_Q9NSA3_CNBP1_HUMAN_.pdf</t>
  </si>
  <si>
    <t>Melting_Curves/meltCurve_sp_Q9NSE4_SYIM_HUMAN_.pdf</t>
  </si>
  <si>
    <t>Melting_Curves/meltCurve_sp_Q9NSK0_KLC4_HUMAN_.pdf</t>
  </si>
  <si>
    <t>Melting_Curves/meltCurve_sp_Q9NSY0_NRBP2_HUMAN_.pdf</t>
  </si>
  <si>
    <t>Melting_Curves/meltCurve_sp_Q9NSY1_2_BMP2K_HUMAN_.pdf</t>
  </si>
  <si>
    <t>Melting_Curves/meltCurve_sp_Q9NSY2_STAR5_HUMAN_.pdf</t>
  </si>
  <si>
    <t>Melting_Curves/meltCurve_sp_Q9NT62_ATG3_HUMAN_.pdf</t>
  </si>
  <si>
    <t>Melting_Curves/meltCurve_sp_Q9NTG7_2_SIR3_HUMAN_.pdf</t>
  </si>
  <si>
    <t>Melting_Curves/meltCurve_sp_Q9NTG7_SIR3_HUMAN_.pdf</t>
  </si>
  <si>
    <t>Melting_Curves/meltCurve_sp_Q9NTI5_2_PDS5B_HUMAN_.pdf</t>
  </si>
  <si>
    <t>Melting_Curves/meltCurve_sp_Q9NTJ4_3_MA2C1_HUMAN_.pdf</t>
  </si>
  <si>
    <t>Melting_Curves/meltCurve_sp_Q9NTK5_2_OLA1_HUMAN_.pdf</t>
  </si>
  <si>
    <t>Melting_Curves/meltCurve_sp_Q9NTK5_OLA1_HUMAN_.pdf</t>
  </si>
  <si>
    <t>Melting_Curves/meltCurve_sp_Q9NTX5_6_ECHD1_HUMAN_.pdf</t>
  </si>
  <si>
    <t>Melting_Curves/meltCurve_sp_Q9NTZ6_RBM12_HUMAN_.pdf</t>
  </si>
  <si>
    <t>Melting_Curves/meltCurve_sp_Q9NU23_LYRM2_HUMAN_.pdf</t>
  </si>
  <si>
    <t>Melting_Curves/meltCurve_sp_Q9NUI1_DECR2_HUMAN_.pdf</t>
  </si>
  <si>
    <t>Melting_Curves/meltCurve_sp_Q9NUJ1_ABHDA_HUMAN_.pdf</t>
  </si>
  <si>
    <t>Melting_Curves/meltCurve_sp_Q9NUL5_4_CS066_HUMAN_.pdf</t>
  </si>
  <si>
    <t>Melting_Curves/meltCurve_sp_Q9NUP1_BL1S4_HUMAN_.pdf</t>
  </si>
  <si>
    <t>Melting_Curves/meltCurve_sp_Q9NUQ6_SPS2L_HUMAN_.pdf</t>
  </si>
  <si>
    <t>Melting_Curves/meltCurve_sp_Q9NUQ8_2_ABCF3_HUMAN_.pdf</t>
  </si>
  <si>
    <t>Melting_Curves/meltCurve_sp_Q9NUQ9_FA49B_HUMAN_.pdf</t>
  </si>
  <si>
    <t>Melting_Curves/meltCurve_sp_Q9NUV9_GIMA4_HUMAN_.pdf</t>
  </si>
  <si>
    <t>Melting_Curves/meltCurve_sp_Q9NUY8_2_TBC23_HUMAN_.pdf</t>
  </si>
  <si>
    <t>Melting_Curves/meltCurve_sp_Q9NV35_NUD15_HUMAN_.pdf</t>
  </si>
  <si>
    <t>Melting_Curves/meltCurve_sp_Q9NV56_MRGBP_HUMAN_.pdf</t>
  </si>
  <si>
    <t>Melting_Curves/meltCurve_sp_Q9NV70_2_EXOC1_HUMAN_.pdf</t>
  </si>
  <si>
    <t>Melting_Curves/meltCurve_sp_Q9NVD7_PARVA_HUMAN_.pdf</t>
  </si>
  <si>
    <t>Melting_Curves/meltCurve_sp_Q9NVE7_PANK4_HUMAN_.pdf</t>
  </si>
  <si>
    <t>Melting_Curves/meltCurve_sp_Q9NVF9_EKI2_HUMAN_.pdf</t>
  </si>
  <si>
    <t>Melting_Curves/meltCurve_sp_Q9NVG8_TBC13_HUMAN_.pdf</t>
  </si>
  <si>
    <t>Melting_Curves/meltCurve_sp_Q9NVH6_TMLH_HUMAN_.pdf</t>
  </si>
  <si>
    <t>Melting_Curves/meltCurve_sp_Q9NVM6_DJC17_HUMAN_.pdf</t>
  </si>
  <si>
    <t>Melting_Curves/meltCurve_sp_Q9NVR5_KTU_HUMAN_.pdf</t>
  </si>
  <si>
    <t>Melting_Curves/meltCurve_sp_Q9NVS9_PNPO_HUMAN_.pdf</t>
  </si>
  <si>
    <t>Melting_Curves/meltCurve_sp_Q9NVT9_ARMC1_HUMAN_.pdf</t>
  </si>
  <si>
    <t>Melting_Curves/meltCurve_sp_Q9NVX2_NLE1_HUMAN_.pdf</t>
  </si>
  <si>
    <t>Melting_Curves/meltCurve_sp_Q9NVZ3_NECP2_HUMAN_.pdf</t>
  </si>
  <si>
    <t>Melting_Curves/meltCurve_sp_Q9NW64_RBM22_HUMAN_.pdf</t>
  </si>
  <si>
    <t>Melting_Curves/meltCurve_sp_Q9NW68_4_BSDC1_HUMAN_.pdf</t>
  </si>
  <si>
    <t>Melting_Curves/meltCurve_sp_Q9NW82_WDR70_HUMAN_.pdf</t>
  </si>
  <si>
    <t>Melting_Curves/meltCurve_sp_Q9NWB6_2_ARGL1_HUMAN_.pdf</t>
  </si>
  <si>
    <t>Melting_Curves/meltCurve_sp_Q9NWH9_SLTM_HUMAN_.pdf</t>
  </si>
  <si>
    <t>Melting_Curves/meltCurve_sp_Q9NWT8_AKIP_HUMAN_.pdf</t>
  </si>
  <si>
    <t>Melting_Curves/meltCurve_sp_Q9NWU1_OXSM_HUMAN_.pdf</t>
  </si>
  <si>
    <t>Melting_Curves/meltCurve_sp_Q9NWU2_GID8_HUMAN_.pdf</t>
  </si>
  <si>
    <t>Melting_Curves/meltCurve_sp_Q9NWV4_CA123_HUMAN_.pdf</t>
  </si>
  <si>
    <t>Melting_Curves/meltCurve_sp_Q9NWW6_NRK1_HUMAN_.pdf</t>
  </si>
  <si>
    <t>Melting_Curves/meltCurve_sp_Q9NWX6_THG1_HUMAN_.pdf</t>
  </si>
  <si>
    <t>Melting_Curves/meltCurve_sp_Q9NWY4_CD027_HUMAN_.pdf</t>
  </si>
  <si>
    <t>Melting_Curves/meltCurve_sp_Q9NWZ3_IRAK4_HUMAN_.pdf</t>
  </si>
  <si>
    <t>Melting_Curves/meltCurve_sp_Q9NX08_COMD8_HUMAN_.pdf</t>
  </si>
  <si>
    <t>Melting_Curves/meltCurve_sp_Q9NX38_F206A_HUMAN_.pdf</t>
  </si>
  <si>
    <t>Melting_Curves/meltCurve_sp_Q9NX46_ARHL2_HUMAN_.pdf</t>
  </si>
  <si>
    <t>Melting_Curves/meltCurve_sp_Q9NX55_HYPK_HUMAN_.pdf</t>
  </si>
  <si>
    <t>Melting_Curves/meltCurve_sp_Q9NXA8_SIR5_HUMAN_.pdf</t>
  </si>
  <si>
    <t>Melting_Curves/meltCurve_sp_Q9NXD2_MTMRA_HUMAN_.pdf</t>
  </si>
  <si>
    <t>Melting_Curves/meltCurve_sp_Q9NXG2_THUM1_HUMAN_.pdf</t>
  </si>
  <si>
    <t>Melting_Curves/meltCurve_sp_Q9NXH9_2_TRM1_HUMAN_.pdf</t>
  </si>
  <si>
    <t>Melting_Curves/meltCurve_sp_Q9NXR7_4_BRE_HUMAN_.pdf</t>
  </si>
  <si>
    <t>Melting_Curves/meltCurve_sp_Q9NXU5_ARL15_HUMAN_.pdf</t>
  </si>
  <si>
    <t>Melting_Curves/meltCurve_sp_Q9NXV6_CARF_HUMAN_.pdf</t>
  </si>
  <si>
    <t>Melting_Curves/meltCurve_sp_Q9NXW2_DJB12_HUMAN_.pdf</t>
  </si>
  <si>
    <t>Melting_Curves/meltCurve_sp_Q9NY27_PP4R2_HUMAN_.pdf</t>
  </si>
  <si>
    <t>Melting_Curves/meltCurve_sp_Q9NY33_4_DPP3_HUMAN_.pdf</t>
  </si>
  <si>
    <t>Melting_Curves/meltCurve_sp_Q9NYB0_TE2IP_HUMAN_.pdf</t>
  </si>
  <si>
    <t>Melting_Curves/meltCurve_sp_Q9NYF8_2_BCLF1_HUMAN_.pdf</t>
  </si>
  <si>
    <t>Melting_Curves/meltCurve_sp_Q9NYJ1_COA4_HUMAN_.pdf</t>
  </si>
  <si>
    <t>Melting_Curves/meltCurve_sp_Q9NYJ8_2_TAB2_HUMAN_.pdf</t>
  </si>
  <si>
    <t>Melting_Curves/meltCurve_sp_Q9NYL2_2_MLTK_HUMAN_.pdf</t>
  </si>
  <si>
    <t>Melting_Curves/meltCurve_sp_Q9NYL2_MLTK_HUMAN_.pdf</t>
  </si>
  <si>
    <t>Melting_Curves/meltCurve_sp_Q9NYL9_TMOD3_HUMAN_.pdf</t>
  </si>
  <si>
    <t>Melting_Curves/meltCurve_sp_Q9NYQ3_HAOX2_HUMAN_.pdf</t>
  </si>
  <si>
    <t>Melting_Curves/meltCurve_sp_Q9NYU2_2_UGGG1_HUMAN_.pdf</t>
  </si>
  <si>
    <t>Melting_Curves/meltCurve_sp_Q9NYY8_2_FAKD2_HUMAN_.pdf</t>
  </si>
  <si>
    <t>Melting_Curves/meltCurve_sp_Q9NZ08_ERAP1_HUMAN_.pdf</t>
  </si>
  <si>
    <t>Melting_Curves/meltCurve_sp_Q9NZ09_2_UBAP1_HUMAN_.pdf</t>
  </si>
  <si>
    <t>Melting_Curves/meltCurve_sp_Q9NZ32_ARP10_HUMAN_.pdf</t>
  </si>
  <si>
    <t>Melting_Curves/meltCurve_sp_Q9NZ45_CISD1_HUMAN_.pdf</t>
  </si>
  <si>
    <t>Melting_Curves/meltCurve_sp_Q9NZ63_CI078_HUMAN_.pdf</t>
  </si>
  <si>
    <t>Melting_Curves/meltCurve_sp_Q9NZB2_F120A_HUMAN_.pdf</t>
  </si>
  <si>
    <t>Melting_Curves/meltCurve_sp_Q9NZB8_2_MOCS1_HUMAN_.pdf</t>
  </si>
  <si>
    <t>Melting_Curves/meltCurve_sp_Q9NZJ6_COQ3_HUMAN_.pdf</t>
  </si>
  <si>
    <t>Melting_Curves/meltCurve_sp_Q9NZJ9_NUDT4_HUMAN_.pdf</t>
  </si>
  <si>
    <t>Melting_Curves/meltCurve_sp_Q9NZL4_HPBP1_HUMAN_.pdf</t>
  </si>
  <si>
    <t>Melting_Curves/meltCurve_sp_Q9NZL9_MAT2B_HUMAN_.pdf</t>
  </si>
  <si>
    <t>Melting_Curves/meltCurve_sp_Q9NZM3_2_ITSN2_HUMAN_.pdf</t>
  </si>
  <si>
    <t>Melting_Curves/meltCurve_sp_Q9NZN5_2_ARHGC_HUMAN_.pdf</t>
  </si>
  <si>
    <t>Melting_Curves/meltCurve_sp_Q9NZN8_4_CNOT2_HUMAN_.pdf</t>
  </si>
  <si>
    <t>Melting_Curves/meltCurve_sp_Q9NZN9_3_AIPL1_HUMAN_.pdf</t>
  </si>
  <si>
    <t>Melting_Curves/meltCurve_sp_Q9NZP8_C1RL_HUMAN_.pdf</t>
  </si>
  <si>
    <t>Melting_Curves/meltCurve_sp_Q9NZT2_2_OGFR_HUMAN_.pdf</t>
  </si>
  <si>
    <t>Melting_Curves/meltCurve_sp_Q9NZU5_LMCD1_HUMAN_.pdf</t>
  </si>
  <si>
    <t>Melting_Curves/meltCurve_sp_Q9NZZ3_CHMP5_HUMAN_.pdf</t>
  </si>
  <si>
    <t>Melting_Curves/meltCurve_sp_Q9P000_COMD9_HUMAN_.pdf</t>
  </si>
  <si>
    <t>Melting_Curves/meltCurve_sp_Q9P013_CWC15_HUMAN_.pdf</t>
  </si>
  <si>
    <t>Melting_Curves/meltCurve_sp_Q9P016_THYN1_HUMAN_.pdf</t>
  </si>
  <si>
    <t>Melting_Curves/meltCurve_sp_Q9P0J1_PDP1_HUMAN_.pdf</t>
  </si>
  <si>
    <t>Melting_Curves/meltCurve_sp_Q9P0K7_3_RAI14_HUMAN_.pdf</t>
  </si>
  <si>
    <t>Melting_Curves/meltCurve_sp_Q9P0L0_VAPA_HUMAN_.pdf</t>
  </si>
  <si>
    <t>Melting_Curves/meltCurve_sp_Q9P0P8_CF203_HUMAN_.pdf</t>
  </si>
  <si>
    <t>Melting_Curves/meltCurve_sp_Q9P0R6_GSKIP_HUMAN_.pdf</t>
  </si>
  <si>
    <t>Melting_Curves/meltCurve_sp_Q9P0Z9_SOX_HUMAN_.pdf</t>
  </si>
  <si>
    <t>Melting_Curves/meltCurve_sp_Q9P1F3_ABRAL_HUMAN_.pdf</t>
  </si>
  <si>
    <t>Melting_Curves/meltCurve_sp_Q9P1U1_ARP3B_HUMAN_.pdf</t>
  </si>
  <si>
    <t>Melting_Curves/meltCurve_sp_Q9P1Y5_CAMP3_HUMAN_.pdf</t>
  </si>
  <si>
    <t>Melting_Curves/meltCurve_sp_Q9P1Z2_2_CACO1_HUMAN_.pdf</t>
  </si>
  <si>
    <t>Melting_Curves/meltCurve_sp_Q9P206_2_K1522_HUMAN_.pdf</t>
  </si>
  <si>
    <t>Melting_Curves/meltCurve_sp_Q9P258_RCC2_HUMAN_.pdf</t>
  </si>
  <si>
    <t>Melting_Curves/meltCurve_sp_Q9P260_K1468_HUMAN_.pdf</t>
  </si>
  <si>
    <t>Melting_Curves/meltCurve_sp_Q9P265_DIP2B_HUMAN_.pdf</t>
  </si>
  <si>
    <t>Melting_Curves/meltCurve_sp_Q9P270_SLAI2_HUMAN_.pdf</t>
  </si>
  <si>
    <t>Melting_Curves/meltCurve_sp_Q9P287_BCCIP_HUMAN_.pdf</t>
  </si>
  <si>
    <t>Melting_Curves/meltCurve_sp_Q9P299_COPZ2_HUMAN_.pdf</t>
  </si>
  <si>
    <t>Melting_Curves/meltCurve_sp_Q9P2D3_3_HTR5B_HUMAN_.pdf</t>
  </si>
  <si>
    <t>Melting_Curves/meltCurve_sp_Q9P2E9_2_RRBP1_HUMAN_.pdf</t>
  </si>
  <si>
    <t>Melting_Curves/meltCurve_sp_Q9P2E9_RRBP1_HUMAN_.pdf</t>
  </si>
  <si>
    <t>Melting_Curves/meltCurve_sp_Q9P2K8_2_E2AK4_HUMAN_.pdf</t>
  </si>
  <si>
    <t>Melting_Curves/meltCurve_sp_Q9P2M7_CING_HUMAN_.pdf</t>
  </si>
  <si>
    <t>Melting_Curves/meltCurve_sp_Q9P2N5_RBM27_HUMAN_.pdf</t>
  </si>
  <si>
    <t>Melting_Curves/meltCurve_sp_Q9P2R3_ANFY1_HUMAN_.pdf</t>
  </si>
  <si>
    <t>Melting_Curves/meltCurve_sp_Q9P2X3_IMPCT_HUMAN_.pdf</t>
  </si>
  <si>
    <t>Melting_Curves/meltCurve_sp_Q9UBB4_ATX10_HUMAN_.pdf</t>
  </si>
  <si>
    <t>Melting_Curves/meltCurve_sp_Q9UBC2_3_EP15R_HUMAN_.pdf</t>
  </si>
  <si>
    <t>Melting_Curves/meltCurve_sp_Q9UBE0_SAE1_HUMAN_.pdf</t>
  </si>
  <si>
    <t>Melting_Curves/meltCurve_sp_Q9UBF2_COPG2_HUMAN_.pdf</t>
  </si>
  <si>
    <t>Melting_Curves/meltCurve_sp_Q9UBF6_RBX2_HUMAN_.pdf</t>
  </si>
  <si>
    <t>Melting_Curves/meltCurve_sp_Q9UBK8_2_MTRR_HUMAN_.pdf</t>
  </si>
  <si>
    <t>Melting_Curves/meltCurve_sp_Q9UBK9_UXT_HUMAN_.pdf</t>
  </si>
  <si>
    <t>Melting_Curves/meltCurve_sp_Q9UBL3_2_ASH2L_HUMAN_.pdf</t>
  </si>
  <si>
    <t>Melting_Curves/meltCurve_sp_Q9UBN7_HDAC6_HUMAN_.pdf</t>
  </si>
  <si>
    <t>Melting_Curves/meltCurve_sp_Q9UBP0_3_SPAST_HUMAN_.pdf</t>
  </si>
  <si>
    <t>Melting_Curves/meltCurve_sp_Q9UBP6_TRMB_HUMAN_.pdf</t>
  </si>
  <si>
    <t>Melting_Curves/meltCurve_sp_Q9UBQ0_VPS29_HUMAN_.pdf</t>
  </si>
  <si>
    <t>Melting_Curves/meltCurve_sp_Q9UBQ7_GRHPR_HUMAN_.pdf</t>
  </si>
  <si>
    <t>Melting_Curves/meltCurve_sp_Q9UBR1_BUP1_HUMAN_.pdf</t>
  </si>
  <si>
    <t>Melting_Curves/meltCurve_sp_Q9UBR2_CATZ_HUMAN_.pdf</t>
  </si>
  <si>
    <t>Melting_Curves/meltCurve_sp_Q9UBS4_DJB11_HUMAN_.pdf</t>
  </si>
  <si>
    <t>Melting_Curves/meltCurve_sp_Q9UBS8_RNF14_HUMAN_.pdf</t>
  </si>
  <si>
    <t>Melting_Curves/meltCurve_sp_Q9UBT2_SAE2_HUMAN_.pdf</t>
  </si>
  <si>
    <t>Melting_Curves/meltCurve_sp_Q9UBV8_PEF1_HUMAN_.pdf</t>
  </si>
  <si>
    <t>Melting_Curves/meltCurve_sp_Q9UBW8_CSN7A_HUMAN_.pdf</t>
  </si>
  <si>
    <t>Melting_Curves/meltCurve_sp_Q9UDR5_AASS_HUMAN_.pdf</t>
  </si>
  <si>
    <t>Melting_Curves/meltCurve_sp_Q9UDX3_2_S14L4_HUMAN_.pdf</t>
  </si>
  <si>
    <t>Melting_Curves/meltCurve_sp_Q9UDY2_3_ZO2_HUMAN_.pdf</t>
  </si>
  <si>
    <t>Melting_Curves/meltCurve_sp_Q9UDY4_DNJB4_HUMAN_.pdf</t>
  </si>
  <si>
    <t>Melting_Curves/meltCurve_sp_Q9UEY8_2_ADDG_HUMAN_.pdf</t>
  </si>
  <si>
    <t>Melting_Curves/meltCurve_sp_Q9UFG5_CS025_HUMAN_.pdf</t>
  </si>
  <si>
    <t>Melting_Curves/meltCurve_sp_Q9UFN0_NPS3A_HUMAN_.pdf</t>
  </si>
  <si>
    <t>Melting_Curves/meltCurve_sp_Q9UFW8_CGBP1_HUMAN_.pdf</t>
  </si>
  <si>
    <t>Melting_Curves/meltCurve_sp_Q9UGC7_RF1ML_HUMAN_.pdf</t>
  </si>
  <si>
    <t>Melting_Curves/meltCurve_sp_Q9UGI8_TES_HUMAN_.pdf</t>
  </si>
  <si>
    <t>Melting_Curves/meltCurve_sp_Q9UGP4_LIMD1_HUMAN_.pdf</t>
  </si>
  <si>
    <t>Melting_Curves/meltCurve_sp_Q9UH62_ARMX3_HUMAN_.pdf</t>
  </si>
  <si>
    <t>Melting_Curves/meltCurve_sp_Q9UH65_SWP70_HUMAN_.pdf</t>
  </si>
  <si>
    <t>Melting_Curves/meltCurve_sp_Q9UH92_2_MLX_HUMAN_.pdf</t>
  </si>
  <si>
    <t>Melting_Curves/meltCurve_sp_Q9UHA4_LTOR3_HUMAN_.pdf</t>
  </si>
  <si>
    <t>Melting_Curves/meltCurve_sp_Q9UHB6_LIMA1_HUMAN_.pdf</t>
  </si>
  <si>
    <t>Melting_Curves/meltCurve_sp_Q9UHB9_SRP68_HUMAN_.pdf</t>
  </si>
  <si>
    <t>Melting_Curves/meltCurve_sp_Q9UHD1_CHRD1_HUMAN_.pdf</t>
  </si>
  <si>
    <t>Melting_Curves/meltCurve_sp_Q9UHD8_SEPT9_HUMAN_.pdf</t>
  </si>
  <si>
    <t>Melting_Curves/meltCurve_sp_Q9UHD9_UBQL2_HUMAN_.pdf</t>
  </si>
  <si>
    <t>Melting_Curves/meltCurve_sp_Q9UHJ6_SHPK_HUMAN_.pdf</t>
  </si>
  <si>
    <t>Melting_Curves/meltCurve_sp_Q9UHL4_DPP2_HUMAN_.pdf</t>
  </si>
  <si>
    <t>Melting_Curves/meltCurve_sp_Q9UHR4_BI2L1_HUMAN_.pdf</t>
  </si>
  <si>
    <t>Melting_Curves/meltCurve_sp_Q9UHR5_2_S30BP_HUMAN_.pdf</t>
  </si>
  <si>
    <t>Melting_Curves/meltCurve_sp_Q9UHV9_PFD2_HUMAN_.pdf</t>
  </si>
  <si>
    <t>Melting_Curves/meltCurve_sp_Q9UHX1_4_PUF60_HUMAN_.pdf</t>
  </si>
  <si>
    <t>Melting_Curves/meltCurve_sp_Q9UHY7_ENOPH_HUMAN_.pdf</t>
  </si>
  <si>
    <t>Melting_Curves/meltCurve_sp_Q9UI08_EVL_HUMAN_.pdf</t>
  </si>
  <si>
    <t>Melting_Curves/meltCurve_sp_Q9UI10_3_EI2BD_HUMAN_.pdf</t>
  </si>
  <si>
    <t>Melting_Curves/meltCurve_sp_Q9UI10_EI2BD_HUMAN_.pdf</t>
  </si>
  <si>
    <t>Melting_Curves/meltCurve_sp_Q9UI12_2_VATH_HUMAN_.pdf</t>
  </si>
  <si>
    <t>Melting_Curves/meltCurve_sp_Q9UI17_M2GD_HUMAN_.pdf</t>
  </si>
  <si>
    <t>Melting_Curves/meltCurve_sp_Q9UI32_GLSL_HUMAN_.pdf</t>
  </si>
  <si>
    <t>Melting_Curves/meltCurve_sp_Q9UIA9_XPO7_HUMAN_.pdf</t>
  </si>
  <si>
    <t>Melting_Curves/meltCurve_sp_Q9UID3_2_VPS51_HUMAN_.pdf</t>
  </si>
  <si>
    <t>Melting_Curves/meltCurve_sp_Q9UII2_ATIF1_HUMAN_.pdf</t>
  </si>
  <si>
    <t>Melting_Curves/meltCurve_sp_Q9UIJ7_KAD3_HUMAN_.pdf</t>
  </si>
  <si>
    <t>Melting_Curves/meltCurve_sp_Q9UIX4_KCNG1_HUMAN_.pdf</t>
  </si>
  <si>
    <t>Melting_Curves/meltCurve_sp_Q9UJ41_2_RABX5_HUMAN_.pdf</t>
  </si>
  <si>
    <t>Melting_Curves/meltCurve_sp_Q9UJ68_5_MSRA_HUMAN_.pdf</t>
  </si>
  <si>
    <t>Melting_Curves/meltCurve_sp_Q9UJ70_NAGK_HUMAN_.pdf</t>
  </si>
  <si>
    <t>Melting_Curves/meltCurve_sp_Q9UJA5_2_TRM6_HUMAN_.pdf</t>
  </si>
  <si>
    <t>Melting_Curves/meltCurve_sp_Q9UJC5_SH3L2_HUMAN_.pdf</t>
  </si>
  <si>
    <t>Melting_Curves/meltCurve_sp_Q9UJM3_ERRFI_HUMAN_.pdf</t>
  </si>
  <si>
    <t>Melting_Curves/meltCurve_sp_Q9UJM8_HAOX1_HUMAN_.pdf</t>
  </si>
  <si>
    <t>Melting_Curves/meltCurve_sp_Q9UJU6_DBNL_HUMAN_.pdf</t>
  </si>
  <si>
    <t>Melting_Curves/meltCurve_sp_Q9UJW0_DCTN4_HUMAN_.pdf</t>
  </si>
  <si>
    <t>Melting_Curves/meltCurve_sp_Q9UJY5_4_GGA1_HUMAN_.pdf</t>
  </si>
  <si>
    <t>Melting_Curves/meltCurve_sp_Q9UK22_FBX2_HUMAN_.pdf</t>
  </si>
  <si>
    <t>Melting_Curves/meltCurve_sp_Q9UK41_VPS28_HUMAN_.pdf</t>
  </si>
  <si>
    <t>Melting_Curves/meltCurve_sp_Q9UK45_LSM7_HUMAN_.pdf</t>
  </si>
  <si>
    <t>Melting_Curves/meltCurve_sp_Q9UK59_DBR1_HUMAN_.pdf</t>
  </si>
  <si>
    <t>Melting_Curves/meltCurve_sp_Q9UK99_2_FBX3_HUMAN_.pdf</t>
  </si>
  <si>
    <t>Melting_Curves/meltCurve_sp_Q9UKB3_2_DJC12_HUMAN_.pdf</t>
  </si>
  <si>
    <t>Melting_Curves/meltCurve_sp_Q9UKG1_DP13A_HUMAN_.pdf</t>
  </si>
  <si>
    <t>Melting_Curves/meltCurve_sp_Q9UKG9_OCTC_HUMAN_.pdf</t>
  </si>
  <si>
    <t>Melting_Curves/meltCurve_sp_Q9UKK9_NUDT5_HUMAN_.pdf</t>
  </si>
  <si>
    <t>Melting_Curves/meltCurve_sp_Q9UKL6_PPCT_HUMAN_.pdf</t>
  </si>
  <si>
    <t>Melting_Curves/meltCurve_sp_Q9UKS6_PACN3_HUMAN_.pdf</t>
  </si>
  <si>
    <t>Melting_Curves/meltCurve_sp_Q9UKT5_FBX4_HUMAN_.pdf</t>
  </si>
  <si>
    <t>Melting_Curves/meltCurve_sp_Q9UKU7_ACAD8_HUMAN_.pdf</t>
  </si>
  <si>
    <t>Melting_Curves/meltCurve_sp_Q9UKV8_AGO2_HUMAN_.pdf</t>
  </si>
  <si>
    <t>Melting_Curves/meltCurve_sp_Q9UKX7_NUP50_HUMAN_.pdf</t>
  </si>
  <si>
    <t>Melting_Curves/meltCurve_sp_Q9UKY7_CDV3_HUMAN_.pdf</t>
  </si>
  <si>
    <t>Melting_Curves/meltCurve_sp_Q9UL12_SARDH_HUMAN_.pdf</t>
  </si>
  <si>
    <t>Melting_Curves/meltCurve_sp_Q9UL25_RAB21_HUMAN_.pdf</t>
  </si>
  <si>
    <t>Melting_Curves/meltCurve_sp_Q9UL42_PNMA2_HUMAN_.pdf</t>
  </si>
  <si>
    <t>Melting_Curves/meltCurve_sp_Q9UL46_PSME2_HUMAN_.pdf</t>
  </si>
  <si>
    <t>Melting_Curves/meltCurve_sp_Q9ULA0_DNPEP_HUMAN_.pdf</t>
  </si>
  <si>
    <t>Melting_Curves/meltCurve_sp_Q9ULC4_MCTS1_HUMAN_.pdf</t>
  </si>
  <si>
    <t>Melting_Curves/meltCurve_sp_Q9ULC5_ACSL5_HUMAN_.pdf</t>
  </si>
  <si>
    <t>Melting_Curves/meltCurve_sp_Q9ULD0_OGDHL_HUMAN_.pdf</t>
  </si>
  <si>
    <t>Melting_Curves/meltCurve_sp_Q9ULD2_2_MTUS1_HUMAN_.pdf</t>
  </si>
  <si>
    <t>Melting_Curves/meltCurve_sp_Q9ULH7_4_MKL2_HUMAN_.pdf</t>
  </si>
  <si>
    <t>Melting_Curves/meltCurve_sp_Q9ULP9_2_TBC24_HUMAN_.pdf</t>
  </si>
  <si>
    <t>Melting_Curves/meltCurve_sp_Q9ULT8_HECD1_HUMAN_.pdf</t>
  </si>
  <si>
    <t>Melting_Curves/meltCurve_sp_Q9ULV4_COR1C_HUMAN_.pdf</t>
  </si>
  <si>
    <t>Melting_Curves/meltCurve_sp_Q9ULZ3_2_ASC_HUMAN_.pdf</t>
  </si>
  <si>
    <t>Melting_Curves/meltCurve_sp_Q9UM22_2_EPDR1_HUMAN_.pdf</t>
  </si>
  <si>
    <t>Melting_Curves/meltCurve_sp_Q9UMR2_2_DD19B_HUMAN_.pdf</t>
  </si>
  <si>
    <t>Melting_Curves/meltCurve_sp_Q9UMS0_3_NFU1_HUMAN_.pdf</t>
  </si>
  <si>
    <t>Melting_Curves/meltCurve_sp_Q9UMS4_PRP19_HUMAN_.pdf</t>
  </si>
  <si>
    <t>Melting_Curves/meltCurve_sp_Q9UMX0_2_UBQL1_HUMAN_.pdf</t>
  </si>
  <si>
    <t>Melting_Curves/meltCurve_sp_Q9UMX5_NENF_HUMAN_.pdf</t>
  </si>
  <si>
    <t>Melting_Curves/meltCurve_sp_Q9UMY4_2_SNX12_HUMAN_.pdf</t>
  </si>
  <si>
    <t>Melting_Curves/meltCurve_sp_Q9UMZ2_6_SYNRG_HUMAN_.pdf</t>
  </si>
  <si>
    <t>Melting_Curves/meltCurve_sp_Q9UN36_NDRG2_HUMAN_.pdf</t>
  </si>
  <si>
    <t>Melting_Curves/meltCurve_sp_Q9UN37_VPS4A_HUMAN_.pdf</t>
  </si>
  <si>
    <t>Melting_Curves/meltCurve_sp_Q9UN86_G3BP2_HUMAN_.pdf</t>
  </si>
  <si>
    <t>Melting_Curves/meltCurve_sp_Q9UNE7_CHIP_HUMAN_.pdf</t>
  </si>
  <si>
    <t>Melting_Curves/meltCurve_sp_Q9UNF0_2_PACN2_HUMAN_.pdf</t>
  </si>
  <si>
    <t>Melting_Curves/meltCurve_sp_Q9UNF1_MAGD2_HUMAN_.pdf</t>
  </si>
  <si>
    <t>Melting_Curves/meltCurve_sp_Q9UNH7_SNX6_HUMAN_.pdf</t>
  </si>
  <si>
    <t>Melting_Curves/meltCurve_sp_Q9UNM6_PSD13_HUMAN_.pdf</t>
  </si>
  <si>
    <t>Melting_Curves/meltCurve_sp_Q9UNN5_FAF1_HUMAN_.pdf</t>
  </si>
  <si>
    <t>Melting_Curves/meltCurve_sp_Q9UNS2_CSN3_HUMAN_.pdf</t>
  </si>
  <si>
    <t>Melting_Curves/meltCurve_sp_Q9UNZ2_NSF1C_HUMAN_.pdf</t>
  </si>
  <si>
    <t>Melting_Curves/meltCurve_sp_Q9UP83_COG5_HUMAN_.pdf</t>
  </si>
  <si>
    <t>Melting_Curves/meltCurve_sp_Q9UPN6_SCAF8_HUMAN_.pdf</t>
  </si>
  <si>
    <t>Melting_Curves/meltCurve_sp_Q9UPN7_PP6R1_HUMAN_.pdf</t>
  </si>
  <si>
    <t>Melting_Curves/meltCurve_sp_Q9UPN9_2_TRI33_HUMAN_.pdf</t>
  </si>
  <si>
    <t>Melting_Curves/meltCurve_sp_Q9UPQ9_1_TNR6B_HUMAN_.pdf</t>
  </si>
  <si>
    <t>Melting_Curves/meltCurve_sp_Q9UPT5_2_EXOC7_HUMAN_.pdf</t>
  </si>
  <si>
    <t>Melting_Curves/meltCurve_sp_Q9UPU5_UBP24_HUMAN_.pdf</t>
  </si>
  <si>
    <t>Melting_Curves/meltCurve_sp_Q9UPU7_2_TBD2B_HUMAN_.pdf</t>
  </si>
  <si>
    <t>Melting_Curves/meltCurve_sp_Q9UPY3_2_DICER_HUMAN_.pdf</t>
  </si>
  <si>
    <t>Melting_Curves/meltCurve_sp_Q9UPY8_2_MARE3_HUMAN_.pdf</t>
  </si>
  <si>
    <t>Melting_Curves/meltCurve_sp_Q9UPY8_MARE3_HUMAN_.pdf</t>
  </si>
  <si>
    <t>Melting_Curves/meltCurve_sp_Q9UQ35_SRRM2_HUMAN_.pdf</t>
  </si>
  <si>
    <t>Melting_Curves/meltCurve_sp_Q9UQ80_PA2G4_HUMAN_.pdf</t>
  </si>
  <si>
    <t>Melting_Curves/meltCurve_sp_Q9UQ88_4_CD11A_HUMAN_.pdf</t>
  </si>
  <si>
    <t>Melting_Curves/meltCurve_sp_Q9UQB8_5_BAIP2_HUMAN_.pdf</t>
  </si>
  <si>
    <t>Melting_Curves/meltCurve_sp_Q9UQE7_SMC3_HUMAN_.pdf</t>
  </si>
  <si>
    <t>Melting_Curves/meltCurve_sp_Q9UQN3_CHM2B_HUMAN_.pdf</t>
  </si>
  <si>
    <t>Melting_Curves/meltCurve_sp_Q9Y217_MTMR6_HUMAN_.pdf</t>
  </si>
  <si>
    <t>Melting_Curves/meltCurve_sp_Q9Y223_GLCNE_HUMAN_.pdf</t>
  </si>
  <si>
    <t>Melting_Curves/meltCurve_sp_Q9Y224_CN166_HUMAN_.pdf</t>
  </si>
  <si>
    <t>Melting_Curves/meltCurve_sp_Q9Y230_RUVB2_HUMAN_.pdf</t>
  </si>
  <si>
    <t>Melting_Curves/meltCurve_sp_Q9Y237_PIN4_HUMAN_.pdf</t>
  </si>
  <si>
    <t>Melting_Curves/meltCurve_sp_Q9Y259_CHKB_HUMAN_.pdf</t>
  </si>
  <si>
    <t>Melting_Curves/meltCurve_sp_Q9Y262_2_EIF3L_HUMAN_.pdf</t>
  </si>
  <si>
    <t>Melting_Curves/meltCurve_sp_Q9Y263_PLAP_HUMAN_.pdf</t>
  </si>
  <si>
    <t>Melting_Curves/meltCurve_sp_Q9Y265_RUVB1_HUMAN_.pdf</t>
  </si>
  <si>
    <t>Melting_Curves/meltCurve_sp_Q9Y266_NUDC_HUMAN_.pdf</t>
  </si>
  <si>
    <t>Melting_Curves/meltCurve_sp_Q9Y281_COF2_HUMAN_.pdf</t>
  </si>
  <si>
    <t>Melting_Curves/meltCurve_sp_Q9Y295_DRG1_HUMAN_.pdf</t>
  </si>
  <si>
    <t>Melting_Curves/meltCurve_sp_Q9Y2A7_NCKP1_HUMAN_.pdf</t>
  </si>
  <si>
    <t>Melting_Curves/meltCurve_sp_Q9Y2B0_CNPY2_HUMAN_.pdf</t>
  </si>
  <si>
    <t>Melting_Curves/meltCurve_sp_Q9Y2D4_EXC6B_HUMAN_.pdf</t>
  </si>
  <si>
    <t>Melting_Curves/meltCurve_sp_Q9Y2D5_6_AKAP2_HUMAN_.pdf</t>
  </si>
  <si>
    <t>Melting_Curves/meltCurve_sp_Q9Y2E4_DIP2C_HUMAN_.pdf</t>
  </si>
  <si>
    <t>Melting_Curves/meltCurve_sp_Q9Y2H5_PKHA6_HUMAN_.pdf</t>
  </si>
  <si>
    <t>Melting_Curves/meltCurve_sp_Q9Y2I1_4_NISCH_HUMAN_.pdf</t>
  </si>
  <si>
    <t>Melting_Curves/meltCurve_sp_Q9Y2L5_2_TPPC8_HUMAN_.pdf</t>
  </si>
  <si>
    <t>Melting_Curves/meltCurve_sp_Q9Y2P5_S27A5_HUMAN_.pdf</t>
  </si>
  <si>
    <t>Melting_Curves/meltCurve_sp_Q9Y2Q3_GSTK1_HUMAN_.pdf</t>
  </si>
  <si>
    <t>Melting_Curves/meltCurve_sp_Q9Y2Q5_LTOR2_HUMAN_.pdf</t>
  </si>
  <si>
    <t>Melting_Curves/meltCurve_sp_Q9Y2Q9_RT28_HUMAN_.pdf</t>
  </si>
  <si>
    <t>Melting_Curves/meltCurve_sp_Q9Y2R0_COA3_HUMAN_.pdf</t>
  </si>
  <si>
    <t>Melting_Curves/meltCurve_sp_Q9Y2S2_CRYL1_HUMAN_.pdf</t>
  </si>
  <si>
    <t>Melting_Curves/meltCurve_sp_Q9Y2S6_TMA7_HUMAN_.pdf</t>
  </si>
  <si>
    <t>Melting_Curves/meltCurve_sp_Q9Y2S7_PDIP2_HUMAN_.pdf</t>
  </si>
  <si>
    <t>Melting_Curves/meltCurve_sp_Q9Y2T2_AP3M1_HUMAN_.pdf</t>
  </si>
  <si>
    <t>Melting_Curves/meltCurve_sp_Q9Y2T3_3_GUAD_HUMAN_.pdf</t>
  </si>
  <si>
    <t>Melting_Curves/meltCurve_sp_Q9Y2U8_MAN1_HUMAN_.pdf</t>
  </si>
  <si>
    <t>Melting_Curves/meltCurve_sp_Q9Y2V2_CHSP1_HUMAN_.pdf</t>
  </si>
  <si>
    <t>Melting_Curves/meltCurve_sp_Q9Y2W1_TR150_HUMAN_.pdf</t>
  </si>
  <si>
    <t>Melting_Curves/meltCurve_sp_Q9Y2X3_NOP58_HUMAN_.pdf</t>
  </si>
  <si>
    <t>Melting_Curves/meltCurve_sp_Q9Y2Z0_SUGT1_HUMAN_.pdf</t>
  </si>
  <si>
    <t>Melting_Curves/meltCurve_sp_Q9Y2Z2_4_MTO1_HUMAN_.pdf</t>
  </si>
  <si>
    <t>Melting_Curves/meltCurve_sp_Q9Y2Z4_SYYM_HUMAN_.pdf</t>
  </si>
  <si>
    <t>Melting_Curves/meltCurve_sp_Q9Y2Z9_3_COQ6_HUMAN_.pdf</t>
  </si>
  <si>
    <t>Melting_Curves/meltCurve_sp_Q9Y303_NAGA_HUMAN_.pdf</t>
  </si>
  <si>
    <t>Melting_Curves/meltCurve_sp_Q9Y305_ACOT9_HUMAN_.pdf</t>
  </si>
  <si>
    <t>Melting_Curves/meltCurve_sp_Q9Y312_AAR2_HUMAN_.pdf</t>
  </si>
  <si>
    <t>Melting_Curves/meltCurve_sp_Q9Y314_NOSIP_HUMAN_.pdf</t>
  </si>
  <si>
    <t>Melting_Curves/meltCurve_sp_Q9Y315_DEOC_HUMAN_.pdf</t>
  </si>
  <si>
    <t>Melting_Curves/meltCurve_sp_Q9Y316_MEMO1_HUMAN_.pdf</t>
  </si>
  <si>
    <t>Melting_Curves/meltCurve_sp_Q9Y376_CAB39_HUMAN_.pdf</t>
  </si>
  <si>
    <t>Melting_Curves/meltCurve_sp_Q9Y383_LC7L2_HUMAN_.pdf</t>
  </si>
  <si>
    <t>Melting_Curves/meltCurve_sp_Q9Y385_UB2J1_HUMAN_.pdf</t>
  </si>
  <si>
    <t>Melting_Curves/meltCurve_sp_Q9Y399_RT02_HUMAN_.pdf</t>
  </si>
  <si>
    <t>Melting_Curves/meltCurve_sp_Q9Y3A5_SBDS_HUMAN_.pdf</t>
  </si>
  <si>
    <t>Melting_Curves/meltCurve_sp_Q9Y3B9_RRP15_HUMAN_.pdf</t>
  </si>
  <si>
    <t>Melting_Curves/meltCurve_sp_Q9Y3C1_NOP16_HUMAN_.pdf</t>
  </si>
  <si>
    <t>Melting_Curves/meltCurve_sp_Q9Y3C4_2_TPRKB_HUMAN_.pdf</t>
  </si>
  <si>
    <t>Melting_Curves/meltCurve_sp_Q9Y3C6_PPIL1_HUMAN_.pdf</t>
  </si>
  <si>
    <t>Melting_Curves/meltCurve_sp_Q9Y3C8_UFC1_HUMAN_.pdf</t>
  </si>
  <si>
    <t>Melting_Curves/meltCurve_sp_Q9Y3D0_MIP18_HUMAN_.pdf</t>
  </si>
  <si>
    <t>Melting_Curves/meltCurve_sp_Q9Y3D2_MSRB2_HUMAN_.pdf</t>
  </si>
  <si>
    <t>Melting_Curves/meltCurve_sp_Q9Y3D6_FIS1_HUMAN_.pdf</t>
  </si>
  <si>
    <t>Melting_Curves/meltCurve_sp_Q9Y3E2_BOLA1_HUMAN_.pdf</t>
  </si>
  <si>
    <t>Melting_Curves/meltCurve_sp_Q9Y3E7_4_CHMP3_HUMAN_.pdf</t>
  </si>
  <si>
    <t>Melting_Curves/meltCurve_sp_Q9Y3F4_STRAP_HUMAN_.pdf</t>
  </si>
  <si>
    <t>Melting_Curves/meltCurve_sp_Q9Y3I0_RTCB_HUMAN_.pdf</t>
  </si>
  <si>
    <t>Melting_Curves/meltCurve_sp_Q9Y3I1_3_FBX7_HUMAN_.pdf</t>
  </si>
  <si>
    <t>Melting_Curves/meltCurve_sp_Q9Y3L5_RAP2C_HUMAN_.pdf</t>
  </si>
  <si>
    <t>Melting_Curves/meltCurve_sp_Q9Y3P9_RBGP1_HUMAN_.pdf</t>
  </si>
  <si>
    <t>Melting_Curves/meltCurve_sp_Q9Y3S2_ZN330_HUMAN_.pdf</t>
  </si>
  <si>
    <t>Melting_Curves/meltCurve_sp_Q9Y3X0_CCDC9_HUMAN_.pdf</t>
  </si>
  <si>
    <t>Melting_Curves/meltCurve_sp_Q9Y3Y2_4_CHTOP_HUMAN_.pdf</t>
  </si>
  <si>
    <t>Melting_Curves/meltCurve_sp_Q9Y3Z3_4_SAMH1_HUMAN_.pdf</t>
  </si>
  <si>
    <t>Melting_Curves/meltCurve_sp_Q9Y450_4_HBS1L_HUMAN_.pdf</t>
  </si>
  <si>
    <t>Melting_Curves/meltCurve_sp_Q9Y490_TLN1_HUMAN_.pdf</t>
  </si>
  <si>
    <t>Melting_Curves/meltCurve_sp_Q9Y4B6_3_VPRBP_HUMAN_.pdf</t>
  </si>
  <si>
    <t>Melting_Curves/meltCurve_sp_Q9Y4C2_2_F115A_HUMAN_.pdf</t>
  </si>
  <si>
    <t>Melting_Curves/meltCurve_sp_Q9Y4E8_UBP15_HUMAN_.pdf</t>
  </si>
  <si>
    <t>Melting_Curves/meltCurve_sp_Q9Y4F1_FARP1_HUMAN_.pdf</t>
  </si>
  <si>
    <t>Melting_Curves/meltCurve_sp_Q9Y4G6_TLN2_HUMAN_.pdf</t>
  </si>
  <si>
    <t>Melting_Curves/meltCurve_sp_Q9Y4H2_IRS2_HUMAN_.pdf</t>
  </si>
  <si>
    <t>Melting_Curves/meltCurve_sp_Q9Y4K1_AIM1_HUMAN_.pdf</t>
  </si>
  <si>
    <t>Melting_Curves/meltCurve_sp_Q9Y4K3_TRAF6_HUMAN_.pdf</t>
  </si>
  <si>
    <t>Melting_Curves/meltCurve_sp_Q9Y4P8_3_WIPI2_HUMAN_.pdf</t>
  </si>
  <si>
    <t>Melting_Curves/meltCurve_sp_Q9Y4U1_MMAC_HUMAN_.pdf</t>
  </si>
  <si>
    <t>Melting_Curves/meltCurve_sp_Q9Y4W6_AFG32_HUMAN_.pdf</t>
  </si>
  <si>
    <t>Melting_Curves/meltCurve_sp_Q9Y4X5_ARI1_HUMAN_.pdf</t>
  </si>
  <si>
    <t>Melting_Curves/meltCurve_sp_Q9Y4Z0_LSM4_HUMAN_.pdf</t>
  </si>
  <si>
    <t>Melting_Curves/meltCurve_sp_Q9Y508_RN114_HUMAN_.pdf</t>
  </si>
  <si>
    <t>Melting_Curves/meltCurve_sp_Q9Y520_4_PRC2C_HUMAN_.pdf</t>
  </si>
  <si>
    <t>Melting_Curves/meltCurve_sp_Q9Y570_PPME1_HUMAN_.pdf</t>
  </si>
  <si>
    <t>Melting_Curves/meltCurve_sp_Q9Y5A9_2_YTHD2_HUMAN_.pdf</t>
  </si>
  <si>
    <t>Melting_Curves/meltCurve_sp_Q9Y5B0_CTDP1_HUMAN_.pdf</t>
  </si>
  <si>
    <t>Melting_Curves/meltCurve_sp_Q9Y5B9_SP16H_HUMAN_.pdf</t>
  </si>
  <si>
    <t>Melting_Curves/meltCurve_sp_Q9Y5J7_TIM9_HUMAN_.pdf</t>
  </si>
  <si>
    <t>Melting_Curves/meltCurve_sp_Q9Y5J9_TIM8B_HUMAN_.pdf</t>
  </si>
  <si>
    <t>Melting_Curves/meltCurve_sp_Q9Y5K5_2_UCHL5_HUMAN_.pdf</t>
  </si>
  <si>
    <t>Melting_Curves/meltCurve_sp_Q9Y5K6_CD2AP_HUMAN_.pdf</t>
  </si>
  <si>
    <t>Melting_Curves/meltCurve_sp_Q9Y5K8_VATD_HUMAN_.pdf</t>
  </si>
  <si>
    <t>Melting_Curves/meltCurve_sp_Q9Y5L0_TNPO3_HUMAN_.pdf</t>
  </si>
  <si>
    <t>Melting_Curves/meltCurve_sp_Q9Y5L4_TIM13_HUMAN_.pdf</t>
  </si>
  <si>
    <t>Melting_Curves/meltCurve_sp_Q9Y5P4_2_C43BP_HUMAN_.pdf</t>
  </si>
  <si>
    <t>Melting_Curves/meltCurve_sp_Q9Y5P6_GMPPB_HUMAN_.pdf</t>
  </si>
  <si>
    <t>Melting_Curves/meltCurve_sp_Q9Y5R8_TPPC1_HUMAN_.pdf</t>
  </si>
  <si>
    <t>Melting_Curves/meltCurve_sp_Q9Y5S2_MRCKB_HUMAN_.pdf</t>
  </si>
  <si>
    <t>Melting_Curves/meltCurve_sp_Q9Y5S9_RBM8A_HUMAN_.pdf</t>
  </si>
  <si>
    <t>Melting_Curves/meltCurve_sp_Q9Y5X1_SNX9_HUMAN_.pdf</t>
  </si>
  <si>
    <t>Melting_Curves/meltCurve_sp_Q9Y5X3_SNX5_HUMAN_.pdf</t>
  </si>
  <si>
    <t>Melting_Curves/meltCurve_sp_Q9Y5Z4_HEBP2_HUMAN_.pdf</t>
  </si>
  <si>
    <t>Melting_Curves/meltCurve_sp_Q9Y608_4_LRRF2_HUMAN_.pdf</t>
  </si>
  <si>
    <t>Melting_Curves/meltCurve_sp_Q9Y617_SERC_HUMAN_.pdf</t>
  </si>
  <si>
    <t>Melting_Curves/meltCurve_sp_Q9Y646_CBPQ_HUMAN_.pdf</t>
  </si>
  <si>
    <t>Melting_Curves/meltCurve_sp_Q9Y678_COPG1_HUMAN_.pdf</t>
  </si>
  <si>
    <t>Melting_Curves/meltCurve_sp_Q9Y696_CLIC4_HUMAN_.pdf</t>
  </si>
  <si>
    <t>Melting_Curves/meltCurve_sp_Q9Y697_2_NFS1_HUMAN_.pdf</t>
  </si>
  <si>
    <t>Melting_Curves/meltCurve_sp_Q9Y6A4_CP080_HUMAN_.pdf</t>
  </si>
  <si>
    <t>Melting_Curves/meltCurve_sp_Q9Y6B6_SAR1B_HUMAN_.pdf</t>
  </si>
  <si>
    <t>Melting_Curves/meltCurve_sp_Q9Y6D5_BIG2_HUMAN_.pdf</t>
  </si>
  <si>
    <t>Melting_Curves/meltCurve_sp_Q9Y6D6_BIG1_HUMAN_.pdf</t>
  </si>
  <si>
    <t>Melting_Curves/meltCurve_sp_Q9Y6D9_MD1L1_HUMAN_.pdf</t>
  </si>
  <si>
    <t>Melting_Curves/meltCurve_sp_Q9Y6G5_COMDA_HUMAN_.pdf</t>
  </si>
  <si>
    <t>Melting_Curves/meltCurve_sp_Q9Y6G9_DC1L1_HUMAN_.pdf</t>
  </si>
  <si>
    <t>Melting_Curves/meltCurve_sp_Q9Y6H1_CHCH2_HUMAN_.pdf</t>
  </si>
  <si>
    <t>Melting_Curves/meltCurve_sp_Q9Y6I3_3_EPN1_HUMAN_.pdf</t>
  </si>
  <si>
    <t>Melting_Curves/meltCurve_sp_Q9Y6I9_TX264_HUMAN_.pdf</t>
  </si>
  <si>
    <t>Melting_Curves/meltCurve_sp_Q9Y6K5_OAS3_HUMAN_.pdf</t>
  </si>
  <si>
    <t>Melting_Curves/meltCurve_sp_Q9Y6K9_NEMO_HUMAN_.pdf</t>
  </si>
  <si>
    <t>Melting_Curves/meltCurve_sp_Q9Y6N5_SQRD_HUMAN_.pdf</t>
  </si>
  <si>
    <t>Melting_Curves/meltCurve_sp_Q9Y6V0_2_PCLO_HUMAN_.pdf</t>
  </si>
  <si>
    <t>Melting_Curves/meltCurve_sp_Q9Y6W3_CAN7_HUMAN_.pdf</t>
  </si>
  <si>
    <t>Melting_Curves/meltCurve_sp_Q9Y6W5_WASF2_HUMAN_.pdf</t>
  </si>
  <si>
    <t>Melting_Curves/meltCurve_sp_Q9Y6X5_ENPP4_HUMAN_.pdf</t>
  </si>
  <si>
    <t>Melting_Curves/meltCurve_tr_A1A528_A1A528_HUMAN_.pdf</t>
  </si>
  <si>
    <t>Melting_Curves/meltCurve_tr_A2ABK1_A2ABK1_HUMAN_.pdf</t>
  </si>
  <si>
    <t>Melting_Curves/meltCurve_tr_A3KFL4_A3KFL4_HUMAN_.pdf</t>
  </si>
  <si>
    <t>Melting_Curves/meltCurve_tr_A6H8Z3_A6H8Z3_HUMAN_.pdf</t>
  </si>
  <si>
    <t>Melting_Curves/meltCurve_tr_A6NG64_A6NG64_HUMAN_.pdf</t>
  </si>
  <si>
    <t>Melting_Curves/meltCurve_tr_A6NG79_A6NG79_HUMAN_.pdf</t>
  </si>
  <si>
    <t>Melting_Curves/meltCurve_tr_A6NGP5_A6NGP5_HUMAN_.pdf</t>
  </si>
  <si>
    <t>Melting_Curves/meltCurve_tr_A6NIR2_A6NIR2_HUMAN_.pdf</t>
  </si>
  <si>
    <t>Melting_Curves/meltCurve_tr_A6NML8_A6NML8_HUMAN_.pdf</t>
  </si>
  <si>
    <t>Melting_Curves/meltCurve_tr_A6NN40_A6NN40_HUMAN_.pdf</t>
  </si>
  <si>
    <t>Melting_Curves/meltCurve_tr_A6NNK5_A6NNK5_HUMAN_.pdf</t>
  </si>
  <si>
    <t>Melting_Curves/meltCurve_tr_A8K7Q2_A8K7Q2_HUMAN_.pdf</t>
  </si>
  <si>
    <t>Melting_Curves/meltCurve_tr_A8MTY9_A8MTY9_HUMAN_.pdf</t>
  </si>
  <si>
    <t>Melting_Curves/meltCurve_tr_A8MU28_A8MU28_HUMAN_.pdf</t>
  </si>
  <si>
    <t>Melting_Curves/meltCurve_tr_A8MU44_A8MU44_HUMAN_.pdf</t>
  </si>
  <si>
    <t>Melting_Curves/meltCurve_tr_A8MUB1_A8MUB1_HUMAN_.pdf</t>
  </si>
  <si>
    <t>Melting_Curves/meltCurve_tr_A8MWK3_A8MWK3_HUMAN_.pdf</t>
  </si>
  <si>
    <t>Melting_Curves/meltCurve_tr_A9Z1X7_A9Z1X7_HUMAN_.pdf</t>
  </si>
  <si>
    <t>Melting_Curves/meltCurve_tr_B0UX83_B0UX83_HUMAN_.pdf</t>
  </si>
  <si>
    <t>Melting_Curves/meltCurve_tr_B0V0T3_B0V0T3_HUMAN_.pdf</t>
  </si>
  <si>
    <t>Melting_Curves/meltCurve_tr_B1AK87_B1AK87_HUMAN_.pdf</t>
  </si>
  <si>
    <t>Melting_Curves/meltCurve_tr_B1AKG0_B1AKG0_HUMAN_.pdf</t>
  </si>
  <si>
    <t>Melting_Curves/meltCurve_tr_B1AKN7_B1AKN7_HUMAN_.pdf</t>
  </si>
  <si>
    <t>Melting_Curves/meltCurve_tr_B1AKZ5_B1AKZ5_HUMAN_.pdf</t>
  </si>
  <si>
    <t>Melting_Curves/meltCurve_tr_B1AL33_B1AL33_HUMAN_.pdf</t>
  </si>
  <si>
    <t>Melting_Curves/meltCurve_tr_B1AL69_B1AL69_HUMAN_.pdf</t>
  </si>
  <si>
    <t>Melting_Curves/meltCurve_tr_B1ALY0_B1ALY0_HUMAN_.pdf</t>
  </si>
  <si>
    <t>Melting_Curves/meltCurve_tr_B1AMX9_B1AMX9_HUMAN_.pdf</t>
  </si>
  <si>
    <t>Melting_Curves/meltCurve_tr_B1ANH0_B1ANH0_HUMAN_.pdf</t>
  </si>
  <si>
    <t>Melting_Curves/meltCurve_tr_B3KRS5_B3KRS5_HUMAN_.pdf</t>
  </si>
  <si>
    <t>Melting_Curves/meltCurve_tr_B3KSI9_B3KSI9_HUMAN_.pdf</t>
  </si>
  <si>
    <t>Melting_Curves/meltCurve_tr_B3KVH8_B3KVH8_HUMAN_.pdf</t>
  </si>
  <si>
    <t>Melting_Curves/meltCurve_tr_B3KWW1_B3KWW1_HUMAN_.pdf</t>
  </si>
  <si>
    <t>Melting_Curves/meltCurve_tr_B3KY83_B3KY83_HUMAN_.pdf</t>
  </si>
  <si>
    <t>Melting_Curves/meltCurve_tr_B4DDD1_B4DDD1_HUMAN_.pdf</t>
  </si>
  <si>
    <t>Melting_Curves/meltCurve_tr_B4DDD6_B4DDD6_HUMAN_.pdf</t>
  </si>
  <si>
    <t>Melting_Curves/meltCurve_tr_B4DDF4_B4DDF4_HUMAN_.pdf</t>
  </si>
  <si>
    <t>Melting_Curves/meltCurve_tr_B4DDZ0_B4DDZ0_HUMAN_.pdf</t>
  </si>
  <si>
    <t>Melting_Curves/meltCurve_tr_B4DE16_B4DE16_HUMAN_.pdf</t>
  </si>
  <si>
    <t>Melting_Curves/meltCurve_tr_B4DFA2_B4DFA2_HUMAN_.pdf</t>
  </si>
  <si>
    <t>Melting_Curves/meltCurve_tr_B4DFG6_B4DFG6_HUMAN_.pdf</t>
  </si>
  <si>
    <t>Melting_Curves/meltCurve_tr_B4DFI9_B4DFI9_HUMAN_.pdf</t>
  </si>
  <si>
    <t>Melting_Curves/meltCurve_tr_B4DFQ4_B4DFQ4_HUMAN_.pdf</t>
  </si>
  <si>
    <t>Melting_Curves/meltCurve_tr_B4DGU4_B4DGU4_HUMAN_.pdf</t>
  </si>
  <si>
    <t>Melting_Curves/meltCurve_tr_B4DGX2_B4DGX2_HUMAN_.pdf</t>
  </si>
  <si>
    <t>Melting_Curves/meltCurve_tr_B4DH53_B4DH53_HUMAN_.pdf</t>
  </si>
  <si>
    <t>Melting_Curves/meltCurve_tr_B4DHT5_B4DHT5_HUMAN_.pdf</t>
  </si>
  <si>
    <t>Melting_Curves/meltCurve_tr_B4DIT7_B4DIT7_HUMAN_.pdf</t>
  </si>
  <si>
    <t>Melting_Curves/meltCurve_tr_B4DJ85_B4DJ85_HUMAN_.pdf</t>
  </si>
  <si>
    <t>Melting_Curves/meltCurve_tr_B4DJA5_B4DJA5_HUMAN_.pdf</t>
  </si>
  <si>
    <t>Melting_Curves/meltCurve_tr_B4DJC3_B4DJC3_HUMAN_.pdf</t>
  </si>
  <si>
    <t>Melting_Curves/meltCurve_tr_B4DJP7_B4DJP7_HUMAN_.pdf</t>
  </si>
  <si>
    <t>Melting_Curves/meltCurve_tr_B4DJV2_B4DJV2_HUMAN_.pdf</t>
  </si>
  <si>
    <t>Melting_Curves/meltCurve_tr_B4DK69_B4DK69_HUMAN_.pdf</t>
  </si>
  <si>
    <t>Melting_Curves/meltCurve_tr_B4DK95_B4DK95_HUMAN_.pdf</t>
  </si>
  <si>
    <t>Melting_Curves/meltCurve_tr_B4DKJ3_B4DKJ3_HUMAN_.pdf</t>
  </si>
  <si>
    <t>Melting_Curves/meltCurve_tr_B4DKL4_B4DKL4_HUMAN_.pdf</t>
  </si>
  <si>
    <t>Melting_Curves/meltCurve_tr_B4DL14_B4DL14_HUMAN_.pdf</t>
  </si>
  <si>
    <t>Melting_Curves/meltCurve_tr_B4DL54_B4DL54_HUMAN_.pdf</t>
  </si>
  <si>
    <t>Melting_Curves/meltCurve_tr_B4DLW8_B4DLW8_HUMAN_.pdf</t>
  </si>
  <si>
    <t>Melting_Curves/meltCurve_tr_B4DP21_B4DP21_HUMAN_.pdf</t>
  </si>
  <si>
    <t>Melting_Curves/meltCurve_tr_B4DP38_B4DP38_HUMAN_.pdf</t>
  </si>
  <si>
    <t>Melting_Curves/meltCurve_tr_B4DPR4_B4DPR4_HUMAN_.pdf</t>
  </si>
  <si>
    <t>Melting_Curves/meltCurve_tr_B4DPY8_B4DPY8_HUMAN_.pdf</t>
  </si>
  <si>
    <t>Melting_Curves/meltCurve_tr_B4DQ14_B4DQ14_HUMAN_.pdf</t>
  </si>
  <si>
    <t>Melting_Curves/meltCurve_tr_B4DQA8_B4DQA8_HUMAN_.pdf</t>
  </si>
  <si>
    <t>Melting_Curves/meltCurve_tr_B4DQJ8_B4DQJ8_HUMAN_.pdf</t>
  </si>
  <si>
    <t>Melting_Curves/meltCurve_tr_B4DQT1_B4DQT1_HUMAN_.pdf</t>
  </si>
  <si>
    <t>Melting_Curves/meltCurve_tr_B4DR80_B4DR80_HUMAN_.pdf</t>
  </si>
  <si>
    <t>Melting_Curves/meltCurve_tr_B4DRL9_B4DRL9_HUMAN_.pdf</t>
  </si>
  <si>
    <t>Melting_Curves/meltCurve_tr_B4DSR5_B4DSR5_HUMAN_.pdf</t>
  </si>
  <si>
    <t>Melting_Curves/meltCurve_tr_B4DT77_B4DT77_HUMAN_.pdf</t>
  </si>
  <si>
    <t>Melting_Curves/meltCurve_tr_B4DTG6_B4DTG6_HUMAN_.pdf</t>
  </si>
  <si>
    <t>Melting_Curves/meltCurve_tr_B4DUS9_B4DUS9_HUMAN_.pdf</t>
  </si>
  <si>
    <t>Melting_Curves/meltCurve_tr_B4DV96_B4DV96_HUMAN_.pdf</t>
  </si>
  <si>
    <t>Melting_Curves/meltCurve_tr_B4DVY1_B4DVY1_HUMAN_.pdf</t>
  </si>
  <si>
    <t>Melting_Curves/meltCurve_tr_B4DWI1_B4DWI1_HUMAN_.pdf</t>
  </si>
  <si>
    <t>Melting_Curves/meltCurve_tr_B4DWW4_B4DWW4_HUMAN_.pdf</t>
  </si>
  <si>
    <t>Melting_Curves/meltCurve_tr_B4DXK4_B4DXK4_HUMAN_.pdf</t>
  </si>
  <si>
    <t>Melting_Curves/meltCurve_tr_B4DXW4_B4DXW4_HUMAN_.pdf</t>
  </si>
  <si>
    <t>Melting_Curves/meltCurve_tr_B4DZW6_B4DZW6_HUMAN_.pdf</t>
  </si>
  <si>
    <t>Melting_Curves/meltCurve_tr_B4E0T7_B4E0T7_HUMAN_.pdf</t>
  </si>
  <si>
    <t>Melting_Curves/meltCurve_tr_B4E107_B4E107_HUMAN_.pdf</t>
  </si>
  <si>
    <t>Melting_Curves/meltCurve_tr_B4E1Z4_B4E1Z4_HUMAN_.pdf</t>
  </si>
  <si>
    <t>Melting_Curves/meltCurve_tr_B4E241_B4E241_HUMAN_.pdf</t>
  </si>
  <si>
    <t>Melting_Curves/meltCurve_tr_B4E2T8_B4E2T8_HUMAN_.pdf</t>
  </si>
  <si>
    <t>Melting_Curves/meltCurve_tr_B4E2W0_B4E2W0_HUMAN_.pdf</t>
  </si>
  <si>
    <t>Melting_Curves/meltCurve_tr_B4E351_B4E351_HUMAN_.pdf</t>
  </si>
  <si>
    <t>Melting_Curves/meltCurve_tr_B4E3Q4_B4E3Q4_HUMAN_.pdf</t>
  </si>
  <si>
    <t>Melting_Curves/meltCurve_tr_B5MC59_B5MC59_HUMAN_.pdf</t>
  </si>
  <si>
    <t>Melting_Curves/meltCurve_tr_B5MCP9_B5MCP9_HUMAN_.pdf</t>
  </si>
  <si>
    <t>Melting_Curves/meltCurve_tr_B5MCX3_B5MCX3_HUMAN_.pdf</t>
  </si>
  <si>
    <t>Melting_Curves/meltCurve_tr_B7WPP2_B7WPP2_HUMAN_.pdf</t>
  </si>
  <si>
    <t>Melting_Curves/meltCurve_tr_B7Z1L3_B7Z1L3_HUMAN_.pdf</t>
  </si>
  <si>
    <t>Melting_Curves/meltCurve_tr_B7Z1R5_B7Z1R5_HUMAN_.pdf</t>
  </si>
  <si>
    <t>Melting_Curves/meltCurve_tr_B7Z1W9_B7Z1W9_HUMAN_.pdf</t>
  </si>
  <si>
    <t>Melting_Curves/meltCurve_tr_B7Z254_B7Z254_HUMAN_.pdf</t>
  </si>
  <si>
    <t>Melting_Curves/meltCurve_tr_B7Z2C3_B7Z2C3_HUMAN_.pdf</t>
  </si>
  <si>
    <t>Melting_Curves/meltCurve_tr_B7Z2R9_B7Z2R9_HUMAN_.pdf</t>
  </si>
  <si>
    <t>Melting_Curves/meltCurve_tr_B7Z2X9_B7Z2X9_HUMAN_.pdf</t>
  </si>
  <si>
    <t>Melting_Curves/meltCurve_tr_B7Z2Y2_B7Z2Y2_HUMAN_.pdf</t>
  </si>
  <si>
    <t>Melting_Curves/meltCurve_tr_B7Z341_B7Z341_HUMAN_.pdf</t>
  </si>
  <si>
    <t>Melting_Curves/meltCurve_tr_B7Z385_B7Z385_HUMAN_.pdf</t>
  </si>
  <si>
    <t>Melting_Curves/meltCurve_tr_B7Z3B9_B7Z3B9_HUMAN_.pdf</t>
  </si>
  <si>
    <t>Melting_Curves/meltCurve_tr_B7Z3I9_B7Z3I9_HUMAN_.pdf</t>
  </si>
  <si>
    <t>Melting_Curves/meltCurve_tr_B7Z493_B7Z493_HUMAN_.pdf</t>
  </si>
  <si>
    <t>Melting_Curves/meltCurve_tr_B7Z4K6_B7Z4K6_HUMAN_.pdf</t>
  </si>
  <si>
    <t>Melting_Curves/meltCurve_tr_B7Z4L4_B7Z4L4_HUMAN_.pdf</t>
  </si>
  <si>
    <t>Melting_Curves/meltCurve_tr_B7Z4M2_B7Z4M2_HUMAN_.pdf</t>
  </si>
  <si>
    <t>Melting_Curves/meltCurve_tr_B7Z583_B7Z583_HUMAN_.pdf</t>
  </si>
  <si>
    <t>Melting_Curves/meltCurve_tr_B7Z5X7_B7Z5X7_HUMAN_.pdf</t>
  </si>
  <si>
    <t>Melting_Curves/meltCurve_tr_B7Z6B8_B7Z6B8_HUMAN_.pdf</t>
  </si>
  <si>
    <t>Melting_Curves/meltCurve_tr_B7Z729_B7Z729_HUMAN_.pdf</t>
  </si>
  <si>
    <t>Melting_Curves/meltCurve_tr_B7Z7F3_B7Z7F3_HUMAN_.pdf</t>
  </si>
  <si>
    <t>Melting_Curves/meltCurve_tr_B7Z7F9_B7Z7F9_HUMAN_.pdf</t>
  </si>
  <si>
    <t>Melting_Curves/meltCurve_tr_B7Z815_B7Z815_HUMAN_.pdf</t>
  </si>
  <si>
    <t>Melting_Curves/meltCurve_tr_B7Z848_B7Z848_HUMAN_.pdf</t>
  </si>
  <si>
    <t>Melting_Curves/meltCurve_tr_B7Z8K9_B7Z8K9_HUMAN_.pdf</t>
  </si>
  <si>
    <t>Melting_Curves/meltCurve_tr_B7Z8V7_B7Z8V7_HUMAN_.pdf</t>
  </si>
  <si>
    <t>Melting_Curves/meltCurve_tr_B7Z9K1_B7Z9K1_HUMAN_.pdf</t>
  </si>
  <si>
    <t>Melting_Curves/meltCurve_tr_B7ZA47_B7ZA47_HUMAN_.pdf</t>
  </si>
  <si>
    <t>Melting_Curves/meltCurve_tr_B7ZM82_B7ZM82_HUMAN_.pdf</t>
  </si>
  <si>
    <t>Melting_Curves/meltCurve_tr_B8K288_B8K288_HUMAN_.pdf</t>
  </si>
  <si>
    <t>Melting_Curves/meltCurve_tr_B8ZZF5_B8ZZF5_HUMAN_.pdf</t>
  </si>
  <si>
    <t>Melting_Curves/meltCurve_tr_B8ZZG1_B8ZZG1_HUMAN_.pdf</t>
  </si>
  <si>
    <t>Melting_Curves/meltCurve_tr_B8ZZQ6_B8ZZQ6_HUMAN_.pdf</t>
  </si>
  <si>
    <t>Melting_Curves/meltCurve_tr_B8ZZT4_B8ZZT4_HUMAN_.pdf</t>
  </si>
  <si>
    <t>Melting_Curves/meltCurve_tr_B8ZZU8_B8ZZU8_HUMAN_.pdf</t>
  </si>
  <si>
    <t>Melting_Curves/meltCurve_tr_C9IZA5_C9IZA5_HUMAN_.pdf</t>
  </si>
  <si>
    <t>Melting_Curves/meltCurve_tr_C9IZG4_C9IZG4_HUMAN_.pdf</t>
  </si>
  <si>
    <t>Melting_Curves/meltCurve_tr_C9J050_C9J050_HUMAN_.pdf</t>
  </si>
  <si>
    <t>Melting_Curves/meltCurve_tr_C9J0K6_C9J0K6_HUMAN_.pdf</t>
  </si>
  <si>
    <t>Melting_Curves/meltCurve_tr_C9J1C6_C9J1C6_HUMAN_.pdf</t>
  </si>
  <si>
    <t>Melting_Curves/meltCurve_tr_C9J1Z8_C9J1Z8_HUMAN_.pdf</t>
  </si>
  <si>
    <t>Melting_Curves/meltCurve_tr_C9J212_C9J212_HUMAN_.pdf</t>
  </si>
  <si>
    <t>Melting_Curves/meltCurve_tr_C9J5D1_C9J5D1_HUMAN_.pdf</t>
  </si>
  <si>
    <t>Melting_Curves/meltCurve_tr_C9J6F3_C9J6F3_HUMAN_.pdf</t>
  </si>
  <si>
    <t>Melting_Curves/meltCurve_tr_C9J9K3_C9J9K3_HUMAN_.pdf</t>
  </si>
  <si>
    <t>Melting_Curves/meltCurve_tr_C9JAV3_C9JAV3_HUMAN_.pdf</t>
  </si>
  <si>
    <t>Melting_Curves/meltCurve_tr_C9JAX1_C9JAX1_HUMAN_.pdf</t>
  </si>
  <si>
    <t>Melting_Curves/meltCurve_tr_C9JB55_C9JB55_HUMAN_.pdf</t>
  </si>
  <si>
    <t>Melting_Curves/meltCurve_tr_C9JBI3_C9JBI3_HUMAN_.pdf</t>
  </si>
  <si>
    <t>Melting_Curves/meltCurve_tr_C9JBJ6_C9JBJ6_HUMAN_.pdf</t>
  </si>
  <si>
    <t>Melting_Curves/meltCurve_tr_C9JCD9_C9JCD9_HUMAN_.pdf</t>
  </si>
  <si>
    <t>Melting_Curves/meltCurve_tr_C9JDE9_C9JDE9_HUMAN_.pdf</t>
  </si>
  <si>
    <t>Melting_Curves/meltCurve_tr_C9JDR0_C9JDR0_HUMAN_.pdf</t>
  </si>
  <si>
    <t>Melting_Curves/meltCurve_tr_C9JEL3_C9JEL3_HUMAN_.pdf</t>
  </si>
  <si>
    <t>Melting_Curves/meltCurve_tr_C9JFE4_C9JFE4_HUMAN_.pdf</t>
  </si>
  <si>
    <t>Melting_Curves/meltCurve_tr_C9JG87_C9JG87_HUMAN_.pdf</t>
  </si>
  <si>
    <t>Melting_Curves/meltCurve_tr_C9JG97_C9JG97_HUMAN_.pdf</t>
  </si>
  <si>
    <t>Melting_Curves/meltCurve_tr_C9JGB2_C9JGB2_HUMAN_.pdf</t>
  </si>
  <si>
    <t>Melting_Curves/meltCurve_tr_C9JIK8_C9JIK8_HUMAN_.pdf</t>
  </si>
  <si>
    <t>Melting_Curves/meltCurve_tr_C9JJ54_C9JJ54_HUMAN_.pdf</t>
  </si>
  <si>
    <t>Melting_Curves/meltCurve_tr_C9JJV1_C9JJV1_HUMAN_.pdf</t>
  </si>
  <si>
    <t>Melting_Curves/meltCurve_tr_C9JNE2_C9JNE2_HUMAN_.pdf</t>
  </si>
  <si>
    <t>Melting_Curves/meltCurve_tr_C9JP32_C9JP32_HUMAN_.pdf</t>
  </si>
  <si>
    <t>Melting_Curves/meltCurve_tr_C9JPM4_C9JPM4_HUMAN_.pdf</t>
  </si>
  <si>
    <t>Melting_Curves/meltCurve_tr_C9JQ41_C9JQ41_HUMAN_.pdf</t>
  </si>
  <si>
    <t>Melting_Curves/meltCurve_tr_C9JQD4_C9JQD4_HUMAN_.pdf</t>
  </si>
  <si>
    <t>Melting_Curves/meltCurve_tr_C9JS27_C9JS27_HUMAN_.pdf</t>
  </si>
  <si>
    <t>Melting_Curves/meltCurve_tr_C9JSR1_C9JSR1_HUMAN_.pdf</t>
  </si>
  <si>
    <t>Melting_Curves/meltCurve_tr_C9JV49_C9JV49_HUMAN_.pdf</t>
  </si>
  <si>
    <t>Melting_Curves/meltCurve_tr_C9JVN9_C9JVN9_HUMAN_.pdf</t>
  </si>
  <si>
    <t>Melting_Curves/meltCurve_tr_C9JW69_C9JW69_HUMAN_.pdf</t>
  </si>
  <si>
    <t>Melting_Curves/meltCurve_tr_C9JXB8_C9JXB8_HUMAN_.pdf</t>
  </si>
  <si>
    <t>Melting_Curves/meltCurve_tr_C9JXB9_C9JXB9_HUMAN_.pdf</t>
  </si>
  <si>
    <t>Melting_Curves/meltCurve_tr_C9JXK0_C9JXK0_HUMAN_.pdf</t>
  </si>
  <si>
    <t>Melting_Curves/meltCurve_tr_C9JXK9_C9JXK9_HUMAN_.pdf</t>
  </si>
  <si>
    <t>Melting_Curves/meltCurve_tr_C9JYY9_C9JYY9_HUMAN_.pdf</t>
  </si>
  <si>
    <t>Melting_Curves/meltCurve_tr_C9JYZ0_C9JYZ0_HUMAN_.pdf</t>
  </si>
  <si>
    <t>Melting_Curves/meltCurve_tr_C9JZP6_C9JZP6_HUMAN_.pdf</t>
  </si>
  <si>
    <t>Melting_Curves/meltCurve_tr_C9JZY6_C9JZY6_HUMAN_.pdf</t>
  </si>
  <si>
    <t>Melting_Curves/meltCurve_tr_D3DR31_D3DR31_HUMAN_.pdf</t>
  </si>
  <si>
    <t>Melting_Curves/meltCurve_tr_D3YHP0_D3YHP0_HUMAN_.pdf</t>
  </si>
  <si>
    <t>Melting_Curves/meltCurve_tr_D6R9P3_D6R9P3_HUMAN_.pdf</t>
  </si>
  <si>
    <t>Melting_Curves/meltCurve_tr_D6RB81_D6RB81_HUMAN_.pdf</t>
  </si>
  <si>
    <t>Melting_Curves/meltCurve_tr_D6RBN5_D6RBN5_HUMAN_.pdf</t>
  </si>
  <si>
    <t>Melting_Curves/meltCurve_tr_D6RBS9_D6RBS9_HUMAN_.pdf</t>
  </si>
  <si>
    <t>Melting_Curves/meltCurve_tr_D6RBV0_D6RBV0_HUMAN_.pdf</t>
  </si>
  <si>
    <t>Melting_Curves/meltCurve_tr_D6RCD0_D6RCD0_HUMAN_.pdf</t>
  </si>
  <si>
    <t>Melting_Curves/meltCurve_tr_D6RD67_D6RD67_HUMAN_.pdf</t>
  </si>
  <si>
    <t>Melting_Curves/meltCurve_tr_D6RDG3_D6RDG3_HUMAN_.pdf</t>
  </si>
  <si>
    <t>Melting_Curves/meltCurve_tr_D6REN3_D6REN3_HUMAN_.pdf</t>
  </si>
  <si>
    <t>Melting_Curves/meltCurve_tr_D6RGI3_D6RGI3_HUMAN_.pdf</t>
  </si>
  <si>
    <t>Melting_Curves/meltCurve_tr_D6RHI9_D6RHI9_HUMAN_.pdf</t>
  </si>
  <si>
    <t>Melting_Curves/meltCurve_tr_E2QRD0_E2QRD0_HUMAN_.pdf</t>
  </si>
  <si>
    <t>Melting_Curves/meltCurve_tr_E2QRD5_E2QRD5_HUMAN_.pdf</t>
  </si>
  <si>
    <t>Melting_Curves/meltCurve_tr_E5RFZ8_E5RFZ8_HUMAN_.pdf</t>
  </si>
  <si>
    <t>Melting_Curves/meltCurve_tr_E5RGX5_E5RGX5_HUMAN_.pdf</t>
  </si>
  <si>
    <t>Melting_Curves/meltCurve_tr_E5RGX8_E5RGX8_HUMAN_.pdf</t>
  </si>
  <si>
    <t>Melting_Curves/meltCurve_tr_E5RHG8_E5RHG8_HUMAN_.pdf</t>
  </si>
  <si>
    <t>Melting_Curves/meltCurve_tr_E5RI99_E5RI99_HUMAN_.pdf</t>
  </si>
  <si>
    <t>Melting_Curves/meltCurve_tr_E5RIG5_E5RIG5_HUMAN_.pdf</t>
  </si>
  <si>
    <t>Melting_Curves/meltCurve_tr_E5RJ08_E5RJ08_HUMAN_.pdf</t>
  </si>
  <si>
    <t>Melting_Curves/meltCurve_tr_E5RJ68_E5RJ68_HUMAN_.pdf</t>
  </si>
  <si>
    <t>Melting_Curves/meltCurve_tr_E5RJD2_E5RJD2_HUMAN_.pdf</t>
  </si>
  <si>
    <t>Melting_Curves/meltCurve_tr_E5RJJ3_E5RJJ3_HUMAN_.pdf</t>
  </si>
  <si>
    <t>Melting_Curves/meltCurve_tr_E5RJR5_E5RJR5_HUMAN_.pdf</t>
  </si>
  <si>
    <t>Melting_Curves/meltCurve_tr_E5RJU9_E5RJU9_HUMAN_.pdf</t>
  </si>
  <si>
    <t>Melting_Curves/meltCurve_tr_E5RK00_E5RK00_HUMAN_.pdf</t>
  </si>
  <si>
    <t>Melting_Curves/meltCurve_tr_E7EM64_E7EM64_HUMAN_.pdf</t>
  </si>
  <si>
    <t>Melting_Curves/meltCurve_tr_E7EMM2_E7EMM2_HUMAN_.pdf</t>
  </si>
  <si>
    <t>Melting_Curves/meltCurve_tr_E7EMM4_E7EMM4_HUMAN_.pdf</t>
  </si>
  <si>
    <t>Melting_Curves/meltCurve_tr_E7EMV7_E7EMV7_HUMAN_.pdf</t>
  </si>
  <si>
    <t>Melting_Curves/meltCurve_tr_E7EMZ9_E7EMZ9_HUMAN_.pdf</t>
  </si>
  <si>
    <t>Melting_Curves/meltCurve_tr_E7ENN3_E7ENN3_HUMAN_.pdf</t>
  </si>
  <si>
    <t>Melting_Curves/meltCurve_tr_E7EP00_E7EP00_HUMAN_.pdf</t>
  </si>
  <si>
    <t>Melting_Curves/meltCurve_tr_E7EPD0_E7EPD0_HUMAN_.pdf</t>
  </si>
  <si>
    <t>Melting_Curves/meltCurve_tr_E7EPL4_E7EPL4_HUMAN_.pdf</t>
  </si>
  <si>
    <t>Melting_Curves/meltCurve_tr_E7EQA9_E7EQA9_HUMAN_.pdf</t>
  </si>
  <si>
    <t>Melting_Curves/meltCurve_tr_E7EQB9_E7EQB9_HUMAN_.pdf</t>
  </si>
  <si>
    <t>Melting_Curves/meltCurve_tr_E7EQI7_E7EQI7_HUMAN_.pdf</t>
  </si>
  <si>
    <t>Melting_Curves/meltCurve_tr_E7EQT4_E7EQT4_HUMAN_.pdf</t>
  </si>
  <si>
    <t>Melting_Curves/meltCurve_tr_E7ER68_E7ER68_HUMAN_.pdf</t>
  </si>
  <si>
    <t>Melting_Curves/meltCurve_tr_E7ERJ0_E7ERJ0_HUMAN_.pdf</t>
  </si>
  <si>
    <t>Melting_Curves/meltCurve_tr_E7ES08_E7ES08_HUMAN_.pdf</t>
  </si>
  <si>
    <t>Melting_Curves/meltCurve_tr_E7ETA6_E7ETA6_HUMAN_.pdf</t>
  </si>
  <si>
    <t>Melting_Curves/meltCurve_tr_E7ETU5_E7ETU5_HUMAN_.pdf</t>
  </si>
  <si>
    <t>Melting_Curves/meltCurve_tr_E7ETZ4_E7ETZ4_HUMAN_.pdf</t>
  </si>
  <si>
    <t>Melting_Curves/meltCurve_tr_E7EU96_E7EU96_HUMAN_.pdf</t>
  </si>
  <si>
    <t>Melting_Curves/meltCurve_tr_E7EUG6_E7EUG6_HUMAN_.pdf</t>
  </si>
  <si>
    <t>Melting_Curves/meltCurve_tr_E7EUM5_E7EUM5_HUMAN_.pdf</t>
  </si>
  <si>
    <t>Melting_Curves/meltCurve_tr_E7EVJ5_E7EVJ5_HUMAN_.pdf</t>
  </si>
  <si>
    <t>Melting_Curves/meltCurve_tr_E7EW52_E7EW52_HUMAN_.pdf</t>
  </si>
  <si>
    <t>Melting_Curves/meltCurve_tr_E7EW69_E7EW69_HUMAN_.pdf</t>
  </si>
  <si>
    <t>Melting_Curves/meltCurve_tr_E7EW84_E7EW84_HUMAN_.pdf</t>
  </si>
  <si>
    <t>Melting_Curves/meltCurve_tr_E7EX44_E7EX44_HUMAN_.pdf</t>
  </si>
  <si>
    <t>Melting_Curves/meltCurve_tr_E9PB14_E9PB14_HUMAN_.pdf</t>
  </si>
  <si>
    <t>Melting_Curves/meltCurve_tr_E9PBL8_E9PBL8_HUMAN_.pdf</t>
  </si>
  <si>
    <t>Melting_Curves/meltCurve_tr_E9PC74_E9PC74_HUMAN_.pdf</t>
  </si>
  <si>
    <t>Melting_Curves/meltCurve_tr_E9PCJ7_E9PCJ7_HUMAN_.pdf</t>
  </si>
  <si>
    <t>Melting_Curves/meltCurve_tr_E9PCY7_E9PCY7_HUMAN_.pdf</t>
  </si>
  <si>
    <t>Melting_Curves/meltCurve_tr_E9PDQ5_E9PDQ5_HUMAN_.pdf</t>
  </si>
  <si>
    <t>Melting_Curves/meltCurve_tr_E9PDR5_E9PDR5_HUMAN_.pdf</t>
  </si>
  <si>
    <t>Melting_Curves/meltCurve_tr_E9PEG3_E9PEG3_HUMAN_.pdf</t>
  </si>
  <si>
    <t>Melting_Curves/meltCurve_tr_E9PEZ3_E9PEZ3_HUMAN_.pdf</t>
  </si>
  <si>
    <t>Melting_Curves/meltCurve_tr_E9PF01_E9PF01_HUMAN_.pdf</t>
  </si>
  <si>
    <t>Melting_Curves/meltCurve_tr_E9PF10_E9PF10_HUMAN_.pdf</t>
  </si>
  <si>
    <t>Melting_Curves/meltCurve_tr_E9PFC1_E9PFC1_HUMAN_.pdf</t>
  </si>
  <si>
    <t>Melting_Curves/meltCurve_tr_E9PFD7_E9PFD7_HUMAN_.pdf</t>
  </si>
  <si>
    <t>Melting_Curves/meltCurve_tr_E9PFR3_E9PFR3_HUMAN_.pdf</t>
  </si>
  <si>
    <t>Melting_Curves/meltCurve_tr_E9PG46_E9PG46_HUMAN_.pdf</t>
  </si>
  <si>
    <t>Melting_Curves/meltCurve_tr_E9PG73_E9PG73_HUMAN_.pdf</t>
  </si>
  <si>
    <t>Melting_Curves/meltCurve_tr_E9PGF5_E9PGF5_HUMAN_.pdf</t>
  </si>
  <si>
    <t>Melting_Curves/meltCurve_tr_E9PGF9_E9PGF9_HUMAN_.pdf</t>
  </si>
  <si>
    <t>Melting_Curves/meltCurve_tr_E9PGM7_E9PGM7_HUMAN_.pdf</t>
  </si>
  <si>
    <t>Melting_Curves/meltCurve_tr_E9PGT1_E9PGT1_HUMAN_.pdf</t>
  </si>
  <si>
    <t>Melting_Curves/meltCurve_tr_E9PGW7_E9PGW7_HUMAN_.pdf</t>
  </si>
  <si>
    <t>Melting_Curves/meltCurve_tr_E9PH29_E9PH29_HUMAN_.pdf</t>
  </si>
  <si>
    <t>Melting_Curves/meltCurve_tr_E9PHK0_E9PHK0_HUMAN_.pdf</t>
  </si>
  <si>
    <t>Melting_Curves/meltCurve_tr_E9PHM2_E9PHM2_HUMAN_.pdf</t>
  </si>
  <si>
    <t>Melting_Curves/meltCurve_tr_E9PHV4_E9PHV4_HUMAN_.pdf</t>
  </si>
  <si>
    <t>Melting_Curves/meltCurve_tr_E9PHV5_E9PHV5_HUMAN_.pdf</t>
  </si>
  <si>
    <t>Melting_Curves/meltCurve_tr_E9PIB9_E9PIB9_HUMAN_.pdf</t>
  </si>
  <si>
    <t>Melting_Curves/meltCurve_tr_E9PIC2_E9PIC2_HUMAN_.pdf</t>
  </si>
  <si>
    <t>Melting_Curves/meltCurve_tr_E9PIR7_E9PIR7_HUMAN_.pdf</t>
  </si>
  <si>
    <t>Melting_Curves/meltCurve_tr_E9PJ81_E9PJ81_HUMAN_.pdf</t>
  </si>
  <si>
    <t>Melting_Curves/meltCurve_tr_E9PJD7_E9PJD7_HUMAN_.pdf</t>
  </si>
  <si>
    <t>Melting_Curves/meltCurve_tr_E9PJN7_E9PJN7_HUMAN_.pdf</t>
  </si>
  <si>
    <t>Melting_Curves/meltCurve_tr_E9PK01_E9PK01_HUMAN_.pdf</t>
  </si>
  <si>
    <t>Melting_Curves/meltCurve_tr_E9PK26_E9PK26_HUMAN_.pdf</t>
  </si>
  <si>
    <t>Melting_Curves/meltCurve_tr_E9PK67_E9PK67_HUMAN_.pdf</t>
  </si>
  <si>
    <t>Melting_Curves/meltCurve_tr_E9PKB0_E9PKB0_HUMAN_.pdf</t>
  </si>
  <si>
    <t>Melting_Curves/meltCurve_tr_E9PKF3_E9PKF3_HUMAN_.pdf</t>
  </si>
  <si>
    <t>Melting_Curves/meltCurve_tr_E9PKG1_E9PKG1_HUMAN_.pdf</t>
  </si>
  <si>
    <t>Melting_Curves/meltCurve_tr_E9PKS9_E9PKS9_HUMAN_.pdf</t>
  </si>
  <si>
    <t>Melting_Curves/meltCurve_tr_E9PKV8_E9PKV8_HUMAN_.pdf</t>
  </si>
  <si>
    <t>Melting_Curves/meltCurve_tr_E9PKY5_E9PKY5_HUMAN_.pdf</t>
  </si>
  <si>
    <t>Melting_Curves/meltCurve_tr_E9PL22_E9PL22_HUMAN_.pdf</t>
  </si>
  <si>
    <t>Melting_Curves/meltCurve_tr_E9PL57_E9PL57_HUMAN_.pdf</t>
  </si>
  <si>
    <t>Melting_Curves/meltCurve_tr_E9PLD2_E9PLD2_HUMAN_.pdf</t>
  </si>
  <si>
    <t>Melting_Curves/meltCurve_tr_E9PLK3_E9PLK3_HUMAN_.pdf</t>
  </si>
  <si>
    <t>Melting_Curves/meltCurve_tr_E9PM46_E9PM46_HUMAN_.pdf</t>
  </si>
  <si>
    <t>Melting_Curves/meltCurve_tr_E9PMI6_E9PMI6_HUMAN_.pdf</t>
  </si>
  <si>
    <t>Melting_Curves/meltCurve_tr_E9PMJ2_E9PMJ2_HUMAN_.pdf</t>
  </si>
  <si>
    <t>Melting_Curves/meltCurve_tr_E9PMS6_E9PMS6_HUMAN_.pdf</t>
  </si>
  <si>
    <t>Melting_Curves/meltCurve_tr_E9PNC7_E9PNC7_HUMAN_.pdf</t>
  </si>
  <si>
    <t>Melting_Curves/meltCurve_tr_E9PNK6_E9PNK6_HUMAN_.pdf</t>
  </si>
  <si>
    <t>Melting_Curves/meltCurve_tr_E9PNU4_E9PNU4_HUMAN_.pdf</t>
  </si>
  <si>
    <t>Melting_Curves/meltCurve_tr_E9PNV3_E9PNV3_HUMAN_.pdf</t>
  </si>
  <si>
    <t>Melting_Curves/meltCurve_tr_E9PNW4_E9PNW4_HUMAN_.pdf</t>
  </si>
  <si>
    <t>Melting_Curves/meltCurve_tr_E9PP36_E9PP36_HUMAN_.pdf</t>
  </si>
  <si>
    <t>Melting_Curves/meltCurve_tr_E9PP68_E9PP68_HUMAN_.pdf</t>
  </si>
  <si>
    <t>Melting_Curves/meltCurve_tr_E9PPA0_E9PPA0_HUMAN_.pdf</t>
  </si>
  <si>
    <t>Melting_Curves/meltCurve_tr_E9PQ61_E9PQ61_HUMAN_.pdf</t>
  </si>
  <si>
    <t>Melting_Curves/meltCurve_tr_E9PQG4_E9PQG4_HUMAN_.pdf</t>
  </si>
  <si>
    <t>Melting_Curves/meltCurve_tr_E9PQP7_E9PQP7_HUMAN_.pdf</t>
  </si>
  <si>
    <t>Melting_Curves/meltCurve_tr_E9PQW4_E9PQW4_HUMAN_.pdf</t>
  </si>
  <si>
    <t>Melting_Curves/meltCurve_tr_E9PQY3_E9PQY3_HUMAN_.pdf</t>
  </si>
  <si>
    <t>Melting_Curves/meltCurve_tr_E9PR54_E9PR54_HUMAN_.pdf</t>
  </si>
  <si>
    <t>Melting_Curves/meltCurve_tr_E9PRI4_E9PRI4_HUMAN_.pdf</t>
  </si>
  <si>
    <t>Melting_Curves/meltCurve_tr_E9PRZ9_E9PRZ9_HUMAN_.pdf</t>
  </si>
  <si>
    <t>Melting_Curves/meltCurve_tr_F2Z2B9_F2Z2B9_HUMAN_.pdf</t>
  </si>
  <si>
    <t>Melting_Curves/meltCurve_tr_F2Z2V0_F2Z2V0_HUMAN_.pdf</t>
  </si>
  <si>
    <t>Melting_Curves/meltCurve_tr_F2Z2X4_F2Z2X4_HUMAN_.pdf</t>
  </si>
  <si>
    <t>Melting_Curves/meltCurve_tr_F2Z3K9_F2Z3K9_HUMAN_.pdf</t>
  </si>
  <si>
    <t>Melting_Curves/meltCurve_tr_F2Z3M0_F2Z3M0_HUMAN_.pdf</t>
  </si>
  <si>
    <t>Melting_Curves/meltCurve_tr_F5GWI4_F5GWI4_HUMAN_.pdf</t>
  </si>
  <si>
    <t>Melting_Curves/meltCurve_tr_F5GWI9_F5GWI9_HUMAN_.pdf</t>
  </si>
  <si>
    <t>Melting_Curves/meltCurve_tr_F5GWT4_F5GWT4_HUMAN_.pdf</t>
  </si>
  <si>
    <t>Melting_Curves/meltCurve_tr_F5GWU7_F5GWU7_HUMAN_.pdf</t>
  </si>
  <si>
    <t>Melting_Curves/meltCurve_tr_F5GWX5_F5GWX5_HUMAN_.pdf</t>
  </si>
  <si>
    <t>Melting_Curves/meltCurve_tr_F5GX77_F5GX77_HUMAN_.pdf</t>
  </si>
  <si>
    <t>Melting_Curves/meltCurve_tr_F5GXC8_F5GXC8_HUMAN_.pdf</t>
  </si>
  <si>
    <t>Melting_Curves/meltCurve_tr_F5GY80_F5GY80_HUMAN_.pdf</t>
  </si>
  <si>
    <t>Melting_Curves/meltCurve_tr_F5GYC4_F5GYC4_HUMAN_.pdf</t>
  </si>
  <si>
    <t>Melting_Curves/meltCurve_tr_F5GYJ5_F5GYJ5_HUMAN_.pdf</t>
  </si>
  <si>
    <t>Melting_Curves/meltCurve_tr_F5GYK2_F5GYK2_HUMAN_.pdf</t>
  </si>
  <si>
    <t>Melting_Curves/meltCurve_tr_F5GYN4_F5GYN4_HUMAN_.pdf</t>
  </si>
  <si>
    <t>Melting_Curves/meltCurve_tr_F5GZ54_F5GZ54_HUMAN_.pdf</t>
  </si>
  <si>
    <t>Melting_Curves/meltCurve_tr_F5GZ78_F5GZ78_HUMAN_.pdf</t>
  </si>
  <si>
    <t>Melting_Curves/meltCurve_tr_F5GZU5_F5GZU5_HUMAN_.pdf</t>
  </si>
  <si>
    <t>Melting_Curves/meltCurve_tr_F5GZZ9_F5GZZ9_HUMAN_.pdf</t>
  </si>
  <si>
    <t>Melting_Curves/meltCurve_tr_F5H012_F5H012_HUMAN_.pdf</t>
  </si>
  <si>
    <t>Melting_Curves/meltCurve_tr_F5H0B0_F5H0B0_HUMAN_.pdf</t>
  </si>
  <si>
    <t>Melting_Curves/meltCurve_tr_F5H0L8_F5H0L8_HUMAN_.pdf</t>
  </si>
  <si>
    <t>Melting_Curves/meltCurve_tr_F5H0U5_F5H0U5_HUMAN_.pdf</t>
  </si>
  <si>
    <t>Melting_Curves/meltCurve_tr_F5H157_F5H157_HUMAN_.pdf</t>
  </si>
  <si>
    <t>Melting_Curves/meltCurve_tr_F5H1L4_F5H1L4_HUMAN_.pdf</t>
  </si>
  <si>
    <t>Melting_Curves/meltCurve_tr_F5H1X8_F5H1X8_HUMAN_.pdf</t>
  </si>
  <si>
    <t>Melting_Curves/meltCurve_tr_F5H1Z6_F5H1Z6_HUMAN_.pdf</t>
  </si>
  <si>
    <t>Melting_Curves/meltCurve_tr_F5H261_F5H261_HUMAN_.pdf</t>
  </si>
  <si>
    <t>Melting_Curves/meltCurve_tr_F5H2B9_F5H2B9_HUMAN_.pdf</t>
  </si>
  <si>
    <t>Melting_Curves/meltCurve_tr_F5H2Q7_F5H2Q7_HUMAN_.pdf</t>
  </si>
  <si>
    <t>Melting_Curves/meltCurve_tr_F5H2X0_F5H2X0_HUMAN_.pdf</t>
  </si>
  <si>
    <t>Melting_Curves/meltCurve_tr_F5H315_F5H315_HUMAN_.pdf</t>
  </si>
  <si>
    <t>Melting_Curves/meltCurve_tr_F5H345_F5H345_HUMAN_.pdf</t>
  </si>
  <si>
    <t>Melting_Curves/meltCurve_tr_F5H365_F5H365_HUMAN_.pdf</t>
  </si>
  <si>
    <t>Melting_Curves/meltCurve_tr_F5H442_F5H442_HUMAN_.pdf</t>
  </si>
  <si>
    <t>Melting_Curves/meltCurve_tr_F5H4G7_F5H4G7_HUMAN_.pdf</t>
  </si>
  <si>
    <t>Melting_Curves/meltCurve_tr_F5H4J2_F5H4J2_HUMAN_.pdf</t>
  </si>
  <si>
    <t>Melting_Curves/meltCurve_tr_F5H4S0_F5H4S0_HUMAN_.pdf</t>
  </si>
  <si>
    <t>Melting_Curves/meltCurve_tr_F5H5W4_F5H5W4_HUMAN_.pdf</t>
  </si>
  <si>
    <t>Melting_Curves/meltCurve_tr_F5H604_F5H604_HUMAN_.pdf</t>
  </si>
  <si>
    <t>Melting_Curves/meltCurve_tr_F5H698_F5H698_HUMAN_.pdf</t>
  </si>
  <si>
    <t>Melting_Curves/meltCurve_tr_F5H6Y1_F5H6Y1_HUMAN_.pdf</t>
  </si>
  <si>
    <t>Melting_Curves/meltCurve_tr_F5H715_F5H715_HUMAN_.pdf</t>
  </si>
  <si>
    <t>Melting_Curves/meltCurve_tr_F5H721_F5H721_HUMAN_.pdf</t>
  </si>
  <si>
    <t>Melting_Curves/meltCurve_tr_F5H7F6_F5H7F6_HUMAN_.pdf</t>
  </si>
  <si>
    <t>Melting_Curves/meltCurve_tr_F5H801_F5H801_HUMAN_.pdf</t>
  </si>
  <si>
    <t>Melting_Curves/meltCurve_tr_F5H897_F5H897_HUMAN_.pdf</t>
  </si>
  <si>
    <t>Melting_Curves/meltCurve_tr_F5H8D7_F5H8D7_HUMAN_.pdf</t>
  </si>
  <si>
    <t>Melting_Curves/meltCurve_tr_F5H8H2_F5H8H2_HUMAN_.pdf</t>
  </si>
  <si>
    <t>Melting_Curves/meltCurve_tr_F6PQP6_F6PQP6_HUMAN_.pdf</t>
  </si>
  <si>
    <t>Melting_Curves/meltCurve_tr_F6RY50_F6RY50_HUMAN_.pdf</t>
  </si>
  <si>
    <t>Melting_Curves/meltCurve_tr_F6T1Q0_F6T1Q0_HUMAN_.pdf</t>
  </si>
  <si>
    <t>Melting_Curves/meltCurve_tr_F6TQG2_F6TQG2_HUMAN_.pdf</t>
  </si>
  <si>
    <t>Melting_Curves/meltCurve_tr_F6TR53_F6TR53_HUMAN_.pdf</t>
  </si>
  <si>
    <t>Melting_Curves/meltCurve_tr_F6U1T9_F6U1T9_HUMAN_.pdf</t>
  </si>
  <si>
    <t>Melting_Curves/meltCurve_tr_F6XIH0_F6XIH0_HUMAN_.pdf</t>
  </si>
  <si>
    <t>Melting_Curves/meltCurve_tr_F6XY72_F6XY72_HUMAN_.pdf</t>
  </si>
  <si>
    <t>Melting_Curves/meltCurve_tr_F8VQP2_F8VQP2_HUMAN_.pdf</t>
  </si>
  <si>
    <t>Melting_Curves/meltCurve_tr_F8VQR7_F8VQR7_HUMAN_.pdf</t>
  </si>
  <si>
    <t>Melting_Curves/meltCurve_tr_F8VQX6_F8VQX6_HUMAN_.pdf</t>
  </si>
  <si>
    <t>Melting_Curves/meltCurve_tr_F8VQY6_F8VQY6_HUMAN_.pdf</t>
  </si>
  <si>
    <t>Melting_Curves/meltCurve_tr_F8VRD9_F8VRD9_HUMAN_.pdf</t>
  </si>
  <si>
    <t>Melting_Curves/meltCurve_tr_F8VRR3_F8VRR3_HUMAN_.pdf</t>
  </si>
  <si>
    <t>Melting_Curves/meltCurve_tr_F8VSC5_F8VSC5_HUMAN_.pdf</t>
  </si>
  <si>
    <t>Melting_Curves/meltCurve_tr_F8VSL3_F8VSL3_HUMAN_.pdf</t>
  </si>
  <si>
    <t>Melting_Curves/meltCurve_tr_F8VVL1_F8VVL1_HUMAN_.pdf</t>
  </si>
  <si>
    <t>Melting_Curves/meltCurve_tr_F8VVX6_F8VVX6_HUMAN_.pdf</t>
  </si>
  <si>
    <t>Melting_Curves/meltCurve_tr_F8VWA6_F8VWA6_HUMAN_.pdf</t>
  </si>
  <si>
    <t>Melting_Curves/meltCurve_tr_F8VXY3_F8VXY3_HUMAN_.pdf</t>
  </si>
  <si>
    <t>Melting_Curves/meltCurve_tr_F8VYH9_F8VYH9_HUMAN_.pdf</t>
  </si>
  <si>
    <t>Melting_Curves/meltCurve_tr_F8VZJ2_F8VZJ2_HUMAN_.pdf</t>
  </si>
  <si>
    <t>Melting_Curves/meltCurve_tr_F8W038_F8W038_HUMAN_.pdf</t>
  </si>
  <si>
    <t>Melting_Curves/meltCurve_tr_F8W1H4_F8W1H4_HUMAN_.pdf</t>
  </si>
  <si>
    <t>Melting_Curves/meltCurve_tr_F8W1Q3_F8W1Q3_HUMAN_.pdf</t>
  </si>
  <si>
    <t>Melting_Curves/meltCurve_tr_F8W1R7_F8W1R7_HUMAN_.pdf</t>
  </si>
  <si>
    <t>Melting_Curves/meltCurve_tr_F8W6G5_F8W6G5_HUMAN_.pdf</t>
  </si>
  <si>
    <t>Melting_Curves/meltCurve_tr_F8W6K3_F8W6K3_HUMAN_.pdf</t>
  </si>
  <si>
    <t>Melting_Curves/meltCurve_tr_F8W720_F8W720_HUMAN_.pdf</t>
  </si>
  <si>
    <t>Melting_Curves/meltCurve_tr_F8W785_F8W785_HUMAN_.pdf</t>
  </si>
  <si>
    <t>Melting_Curves/meltCurve_tr_F8W7C6_F8W7C6_HUMAN_.pdf</t>
  </si>
  <si>
    <t>Melting_Curves/meltCurve_tr_F8W7S5_F8W7S5_HUMAN_.pdf</t>
  </si>
  <si>
    <t>Melting_Curves/meltCurve_tr_F8W7U3_F8W7U3_HUMAN_.pdf</t>
  </si>
  <si>
    <t>Melting_Curves/meltCurve_tr_F8W826_F8W826_HUMAN_.pdf</t>
  </si>
  <si>
    <t>Melting_Curves/meltCurve_tr_F8W8C2_F8W8C2_HUMAN_.pdf</t>
  </si>
  <si>
    <t>Melting_Curves/meltCurve_tr_F8W8I6_F8W8I6_HUMAN_.pdf</t>
  </si>
  <si>
    <t>Melting_Curves/meltCurve_tr_F8W8M4_F8W8M4_HUMAN_.pdf</t>
  </si>
  <si>
    <t>Melting_Curves/meltCurve_tr_F8W914_F8W914_HUMAN_.pdf</t>
  </si>
  <si>
    <t>Melting_Curves/meltCurve_tr_F8W9S7_F8W9S7_HUMAN_.pdf</t>
  </si>
  <si>
    <t>Melting_Curves/meltCurve_tr_F8W9X7_F8W9X7_HUMAN_.pdf</t>
  </si>
  <si>
    <t>Melting_Curves/meltCurve_tr_F8WAG2_F8WAG2_HUMAN_.pdf</t>
  </si>
  <si>
    <t>Melting_Curves/meltCurve_tr_F8WBM7_F8WBM7_HUMAN_.pdf</t>
  </si>
  <si>
    <t>Melting_Curves/meltCurve_tr_F8WDV0_F8WDV0_HUMAN_.pdf</t>
  </si>
  <si>
    <t>Melting_Curves/meltCurve_tr_F8WF49_F8WF49_HUMAN_.pdf</t>
  </si>
  <si>
    <t>Melting_Curves/meltCurve_tr_F8WJN3_F8WJN3_HUMAN_.pdf</t>
  </si>
  <si>
    <t>Melting_Curves/meltCurve_tr_G3V0E8_G3V0E8_HUMAN_.pdf</t>
  </si>
  <si>
    <t>Melting_Curves/meltCurve_tr_G3V169_G3V169_HUMAN_.pdf</t>
  </si>
  <si>
    <t>Melting_Curves/meltCurve_tr_G3V1D4_G3V1D4_HUMAN_.pdf</t>
  </si>
  <si>
    <t>Melting_Curves/meltCurve_tr_G3V1J5_G3V1J5_HUMAN_.pdf</t>
  </si>
  <si>
    <t>Melting_Curves/meltCurve_tr_G3V1P3_G3V1P3_HUMAN_.pdf</t>
  </si>
  <si>
    <t>Melting_Curves/meltCurve_tr_G3V1Q4_G3V1Q4_HUMAN_.pdf</t>
  </si>
  <si>
    <t>Melting_Curves/meltCurve_tr_G3V1V1_G3V1V1_HUMAN_.pdf</t>
  </si>
  <si>
    <t>Melting_Curves/meltCurve_tr_G3V1Y8_G3V1Y8_HUMAN_.pdf</t>
  </si>
  <si>
    <t>Melting_Curves/meltCurve_tr_G3V238_G3V238_HUMAN_.pdf</t>
  </si>
  <si>
    <t>Melting_Curves/meltCurve_tr_G3V2A6_G3V2A6_HUMAN_.pdf</t>
  </si>
  <si>
    <t>Melting_Curves/meltCurve_tr_G3V2T6_G3V2T6_HUMAN_.pdf</t>
  </si>
  <si>
    <t>Melting_Curves/meltCurve_tr_G3V357_G3V357_HUMAN_.pdf</t>
  </si>
  <si>
    <t>Melting_Curves/meltCurve_tr_G3V394_G3V394_HUMAN_.pdf</t>
  </si>
  <si>
    <t>Melting_Curves/meltCurve_tr_G3V3G9_G3V3G9_HUMAN_.pdf</t>
  </si>
  <si>
    <t>Melting_Curves/meltCurve_tr_G3V3R7_G3V3R7_HUMAN_.pdf</t>
  </si>
  <si>
    <t>Melting_Curves/meltCurve_tr_G3V4C1_G3V4C1_HUMAN_.pdf</t>
  </si>
  <si>
    <t>Melting_Curves/meltCurve_tr_G3V4S8_G3V4S8_HUMAN_.pdf</t>
  </si>
  <si>
    <t>Melting_Curves/meltCurve_tr_G3V4W0_G3V4W0_HUMAN_.pdf</t>
  </si>
  <si>
    <t>Melting_Curves/meltCurve_tr_G3V599_G3V599_HUMAN_.pdf</t>
  </si>
  <si>
    <t>Melting_Curves/meltCurve_tr_G3V5T0_G3V5T0_HUMAN_.pdf</t>
  </si>
  <si>
    <t>Melting_Curves/meltCurve_tr_G3XAA0_G3XAA0_HUMAN_.pdf</t>
  </si>
  <si>
    <t>Melting_Curves/meltCurve_tr_G3XAH6_G3XAH6_HUMAN_.pdf</t>
  </si>
  <si>
    <t>Melting_Curves/meltCurve_tr_G3XAM2_G3XAM2_HUMAN_.pdf</t>
  </si>
  <si>
    <t>Melting_Curves/meltCurve_tr_G5E9W7_G5E9W7_HUMAN_.pdf</t>
  </si>
  <si>
    <t>Melting_Curves/meltCurve_tr_G5E9X3_G5E9X3_HUMAN_.pdf</t>
  </si>
  <si>
    <t>Melting_Curves/meltCurve_tr_G5EA37_G5EA37_HUMAN_.pdf</t>
  </si>
  <si>
    <t>Melting_Curves/meltCurve_tr_G5EA52_G5EA52_HUMAN_.pdf</t>
  </si>
  <si>
    <t>Melting_Curves/meltCurve_tr_G8JL86_G8JL86_HUMAN_.pdf</t>
  </si>
  <si>
    <t>Melting_Curves/meltCurve_tr_G8JLB3_G8JLB3_HUMAN_.pdf</t>
  </si>
  <si>
    <t>Melting_Curves/meltCurve_tr_G8JLC6_G8JLC6_HUMAN_.pdf</t>
  </si>
  <si>
    <t>Melting_Curves/meltCurve_tr_H0Y300_H0Y300_HUMAN_.pdf</t>
  </si>
  <si>
    <t>Melting_Curves/meltCurve_tr_H0Y3A0_H0Y3A0_HUMAN_.pdf</t>
  </si>
  <si>
    <t>Melting_Curves/meltCurve_tr_H0Y3G1_H0Y3G1_HUMAN_.pdf</t>
  </si>
  <si>
    <t>Melting_Curves/meltCurve_tr_H0Y3P2_H0Y3P2_HUMAN_.pdf</t>
  </si>
  <si>
    <t>Melting_Curves/meltCurve_tr_H0Y4R1_H0Y4R1_HUMAN_.pdf</t>
  </si>
  <si>
    <t>Melting_Curves/meltCurve_tr_H0Y5G7_H0Y5G7_HUMAN_.pdf</t>
  </si>
  <si>
    <t>Melting_Curves/meltCurve_tr_H0Y613_H0Y613_HUMAN_.pdf</t>
  </si>
  <si>
    <t>Melting_Curves/meltCurve_tr_H0Y614_H0Y614_HUMAN_.pdf</t>
  </si>
  <si>
    <t>Melting_Curves/meltCurve_tr_H0Y638_H0Y638_HUMAN_.pdf</t>
  </si>
  <si>
    <t>Melting_Curves/meltCurve_tr_H0Y6A0_H0Y6A0_HUMAN_.pdf</t>
  </si>
  <si>
    <t>Melting_Curves/meltCurve_tr_H0Y6C3_H0Y6C3_HUMAN_.pdf</t>
  </si>
  <si>
    <t>Melting_Curves/meltCurve_tr_H0Y6I0_H0Y6I0_HUMAN_.pdf</t>
  </si>
  <si>
    <t>Melting_Curves/meltCurve_tr_H0Y6W0_H0Y6W0_HUMAN_.pdf</t>
  </si>
  <si>
    <t>Melting_Curves/meltCurve_tr_H0Y9D9_H0Y9D9_HUMAN_.pdf</t>
  </si>
  <si>
    <t>Melting_Curves/meltCurve_tr_H0Y9R3_H0Y9R3_HUMAN_.pdf</t>
  </si>
  <si>
    <t>Melting_Curves/meltCurve_tr_H0YA52_H0YA52_HUMAN_.pdf</t>
  </si>
  <si>
    <t>Melting_Curves/meltCurve_tr_H0YA68_H0YA68_HUMAN_.pdf</t>
  </si>
  <si>
    <t>Melting_Curves/meltCurve_tr_H0YAY0_H0YAY0_HUMAN_.pdf</t>
  </si>
  <si>
    <t>Melting_Curves/meltCurve_tr_H0YBL1_H0YBL1_HUMAN_.pdf</t>
  </si>
  <si>
    <t>Melting_Curves/meltCurve_tr_H0YDB2_H0YDB2_HUMAN_.pdf</t>
  </si>
  <si>
    <t>Melting_Curves/meltCurve_tr_H0YDP7_H0YDP7_HUMAN_.pdf</t>
  </si>
  <si>
    <t>Melting_Curves/meltCurve_tr_H0YDU8_H0YDU8_HUMAN_.pdf</t>
  </si>
  <si>
    <t>Melting_Curves/meltCurve_tr_H0YE28_H0YE28_HUMAN_.pdf</t>
  </si>
  <si>
    <t>Melting_Curves/meltCurve_tr_H0YEB6_H0YEB6_HUMAN_.pdf</t>
  </si>
  <si>
    <t>Melting_Curves/meltCurve_tr_H0YEH2_H0YEH2_HUMAN_.pdf</t>
  </si>
  <si>
    <t>Melting_Curves/meltCurve_tr_H0YEN5_H0YEN5_HUMAN_.pdf</t>
  </si>
  <si>
    <t>Melting_Curves/meltCurve_tr_H0YEP5_H0YEP5_HUMAN_.pdf</t>
  </si>
  <si>
    <t>Melting_Curves/meltCurve_tr_H0YEZ2_H0YEZ2_HUMAN_.pdf</t>
  </si>
  <si>
    <t>Melting_Curves/meltCurve_tr_H0YFI1_H0YFI1_HUMAN_.pdf</t>
  </si>
  <si>
    <t>Melting_Curves/meltCurve_tr_H0YFP3_H0YFP3_HUMAN_.pdf</t>
  </si>
  <si>
    <t>Melting_Curves/meltCurve_tr_H0YGR4_H0YGR4_HUMAN_.pdf</t>
  </si>
  <si>
    <t>Melting_Curves/meltCurve_tr_H0YGX7_H0YGX7_HUMAN_.pdf</t>
  </si>
  <si>
    <t>Melting_Curves/meltCurve_tr_H0YHC3_H0YHC3_HUMAN_.pdf</t>
  </si>
  <si>
    <t>Melting_Curves/meltCurve_tr_H0YI02_H0YI02_HUMAN_.pdf</t>
  </si>
  <si>
    <t>Melting_Curves/meltCurve_tr_H0YIX9_H0YIX9_HUMAN_.pdf</t>
  </si>
  <si>
    <t>Melting_Curves/meltCurve_tr_H0YL72_H0YL72_HUMAN_.pdf</t>
  </si>
  <si>
    <t>Melting_Curves/meltCurve_tr_H0YL91_H0YL91_HUMAN_.pdf</t>
  </si>
  <si>
    <t>Melting_Curves/meltCurve_tr_H0YLA4_H0YLA4_HUMAN_.pdf</t>
  </si>
  <si>
    <t>Melting_Curves/meltCurve_tr_H0YLD8_H0YLD8_HUMAN_.pdf</t>
  </si>
  <si>
    <t>Melting_Curves/meltCurve_tr_H0YMB3_H0YMB3_HUMAN_.pdf</t>
  </si>
  <si>
    <t>Melting_Curves/meltCurve_tr_H0YMD0_H0YMD0_HUMAN_.pdf</t>
  </si>
  <si>
    <t>Melting_Curves/meltCurve_tr_H0YN26_H0YN26_HUMAN_.pdf</t>
  </si>
  <si>
    <t>Melting_Curves/meltCurve_tr_H0YN78_H0YN78_HUMAN_.pdf</t>
  </si>
  <si>
    <t>Melting_Curves/meltCurve_tr_H0YN81_H0YN81_HUMAN_.pdf</t>
  </si>
  <si>
    <t>Melting_Curves/meltCurve_tr_H3BLU7_H3BLU7_HUMAN_.pdf</t>
  </si>
  <si>
    <t>Melting_Curves/meltCurve_tr_H3BM67_H3BM67_HUMAN_.pdf</t>
  </si>
  <si>
    <t>Melting_Curves/meltCurve_tr_H3BM79_H3BM79_HUMAN_.pdf</t>
  </si>
  <si>
    <t>Melting_Curves/meltCurve_tr_H3BMM5_H3BMM5_HUMAN_.pdf</t>
  </si>
  <si>
    <t>Melting_Curves/meltCurve_tr_H3BNC0_H3BNC0_HUMAN_.pdf</t>
  </si>
  <si>
    <t>Melting_Curves/meltCurve_tr_H3BPB8_H3BPB8_HUMAN_.pdf</t>
  </si>
  <si>
    <t>Melting_Curves/meltCurve_tr_H3BPE1_H3BPE1_HUMAN_.pdf</t>
  </si>
  <si>
    <t>Melting_Curves/meltCurve_tr_H3BPN3_H3BPN3_HUMAN_.pdf</t>
  </si>
  <si>
    <t>Melting_Curves/meltCurve_tr_H3BPZ6_H3BPZ6_HUMAN_.pdf</t>
  </si>
  <si>
    <t>Melting_Curves/meltCurve_tr_H3BQ58_H3BQ58_HUMAN_.pdf</t>
  </si>
  <si>
    <t>Melting_Curves/meltCurve_tr_H3BQH3_H3BQH3_HUMAN_.pdf</t>
  </si>
  <si>
    <t>Melting_Curves/meltCurve_tr_H3BQP5_H3BQP5_HUMAN_.pdf</t>
  </si>
  <si>
    <t>Melting_Curves/meltCurve_tr_H3BQV3_H3BQV3_HUMAN_.pdf</t>
  </si>
  <si>
    <t>Melting_Curves/meltCurve_tr_H3BQZ7_H3BQZ7_HUMAN_.pdf</t>
  </si>
  <si>
    <t>Melting_Curves/meltCurve_tr_H3BRF9_H3BRF9_HUMAN_.pdf</t>
  </si>
  <si>
    <t>Melting_Curves/meltCurve_tr_H3BRL3_H3BRL3_HUMAN_.pdf</t>
  </si>
  <si>
    <t>Melting_Curves/meltCurve_tr_H3BRQ0_H3BRQ0_HUMAN_.pdf</t>
  </si>
  <si>
    <t>Melting_Curves/meltCurve_tr_H3BRV0_H3BRV0_HUMAN_.pdf</t>
  </si>
  <si>
    <t>Melting_Curves/meltCurve_tr_H3BS10_H3BS10_HUMAN_.pdf</t>
  </si>
  <si>
    <t>Melting_Curves/meltCurve_tr_H3BSW0_H3BSW0_HUMAN_.pdf</t>
  </si>
  <si>
    <t>Melting_Curves/meltCurve_tr_H3BTB7_H3BTB7_HUMAN_.pdf</t>
  </si>
  <si>
    <t>Melting_Curves/meltCurve_tr_H3BTL2_H3BTL2_HUMAN_.pdf</t>
  </si>
  <si>
    <t>Melting_Curves/meltCurve_tr_H3BTP7_H3BTP7_HUMAN_.pdf</t>
  </si>
  <si>
    <t>Melting_Curves/meltCurve_tr_H3BU49_H3BU49_HUMAN_.pdf</t>
  </si>
  <si>
    <t>Melting_Curves/meltCurve_tr_H3BUL2_H3BUL2_HUMAN_.pdf</t>
  </si>
  <si>
    <t>Melting_Curves/meltCurve_tr_H3BUU5_H3BUU5_HUMAN_.pdf</t>
  </si>
  <si>
    <t>Melting_Curves/meltCurve_tr_H7BXD8_H7BXD8_HUMAN_.pdf</t>
  </si>
  <si>
    <t>Melting_Curves/meltCurve_tr_H7BXP5_H7BXP5_HUMAN_.pdf</t>
  </si>
  <si>
    <t>Melting_Curves/meltCurve_tr_H7BY36_H7BY36_HUMAN_.pdf</t>
  </si>
  <si>
    <t>Melting_Curves/meltCurve_tr_H7BY38_H7BY38_HUMAN_.pdf</t>
  </si>
  <si>
    <t>Melting_Curves/meltCurve_tr_H7BYY1_H7BYY1_HUMAN_.pdf</t>
  </si>
  <si>
    <t>Melting_Curves/meltCurve_tr_H7BZL0_H7BZL0_HUMAN_.pdf</t>
  </si>
  <si>
    <t>Melting_Curves/meltCurve_tr_H7C0C0_H7C0C0_HUMAN_.pdf</t>
  </si>
  <si>
    <t>Melting_Curves/meltCurve_tr_H7C0E5_H7C0E5_HUMAN_.pdf</t>
  </si>
  <si>
    <t>Melting_Curves/meltCurve_tr_H7C0G7_H7C0G7_HUMAN_.pdf</t>
  </si>
  <si>
    <t>Melting_Curves/meltCurve_tr_H7C1J4_H7C1J4_HUMAN_.pdf</t>
  </si>
  <si>
    <t>Melting_Curves/meltCurve_tr_H7C1U3_H7C1U3_HUMAN_.pdf</t>
  </si>
  <si>
    <t>Melting_Curves/meltCurve_tr_H7C2B1_H7C2B1_HUMAN_.pdf</t>
  </si>
  <si>
    <t>Melting_Curves/meltCurve_tr_H7C2Z6_H7C2Z6_HUMAN_.pdf</t>
  </si>
  <si>
    <t>Melting_Curves/meltCurve_tr_H7C331_H7C331_HUMAN_.pdf</t>
  </si>
  <si>
    <t>Melting_Curves/meltCurve_tr_H7C3G7_H7C3G7_HUMAN_.pdf</t>
  </si>
  <si>
    <t>Melting_Curves/meltCurve_tr_H7C3P4_H7C3P4_HUMAN_.pdf</t>
  </si>
  <si>
    <t>Melting_Curves/meltCurve_tr_H7C462_H7C462_HUMAN_.pdf</t>
  </si>
  <si>
    <t>Melting_Curves/meltCurve_tr_H7C485_H7C485_HUMAN_.pdf</t>
  </si>
  <si>
    <t>Melting_Curves/meltCurve_tr_H7C4T5_H7C4T5_HUMAN_.pdf</t>
  </si>
  <si>
    <t>Melting_Curves/meltCurve_tr_H7C5G1_H7C5G1_HUMAN_.pdf</t>
  </si>
  <si>
    <t>Melting_Curves/meltCurve_tr_H8Y6P7_H8Y6P7_HUMAN_.pdf</t>
  </si>
  <si>
    <t>Melting_Curves/meltCurve_tr_I3L097_I3L097_HUMAN_.pdf</t>
  </si>
  <si>
    <t>Melting_Curves/meltCurve_tr_I3L0K7_I3L0K7_HUMAN_.pdf</t>
  </si>
  <si>
    <t>Melting_Curves/meltCurve_tr_I3L0X5_I3L0X5_HUMAN_.pdf</t>
  </si>
  <si>
    <t>Melting_Curves/meltCurve_tr_I3L1K7_I3L1K7_HUMAN_.pdf</t>
  </si>
  <si>
    <t>Melting_Curves/meltCurve_tr_I3L1Q3_I3L1Q3_HUMAN_.pdf</t>
  </si>
  <si>
    <t>Melting_Curves/meltCurve_tr_I3L2B0_I3L2B0_HUMAN_.pdf</t>
  </si>
  <si>
    <t>Melting_Curves/meltCurve_tr_I3L2J0_I3L2J0_HUMAN_.pdf</t>
  </si>
  <si>
    <t>Melting_Curves/meltCurve_tr_I3L397_I3L397_HUMAN_.pdf</t>
  </si>
  <si>
    <t>Melting_Curves/meltCurve_tr_I3L3P7_I3L3P7_HUMAN_.pdf</t>
  </si>
  <si>
    <t>Melting_Curves/meltCurve_tr_I3L3T4_I3L3T4_HUMAN_.pdf</t>
  </si>
  <si>
    <t>Melting_Curves/meltCurve_tr_I3L4X3_I3L4X3_HUMAN_.pdf</t>
  </si>
  <si>
    <t>Melting_Curves/meltCurve_tr_J3KMY5_J3KMY5_HUMAN_.pdf</t>
  </si>
  <si>
    <t>Melting_Curves/meltCurve_tr_J3KN29_J3KN29_HUMAN_.pdf</t>
  </si>
  <si>
    <t>Melting_Curves/meltCurve_tr_J3KN75_J3KN75_HUMAN_.pdf</t>
  </si>
  <si>
    <t>Melting_Curves/meltCurve_tr_J3KN93_J3KN93_HUMAN_.pdf</t>
  </si>
  <si>
    <t>Melting_Curves/meltCurve_tr_J3KNC0_J3KNC0_HUMAN_.pdf</t>
  </si>
  <si>
    <t>Melting_Curves/meltCurve_tr_J3KNF4_J3KNF4_HUMAN_.pdf</t>
  </si>
  <si>
    <t>Melting_Curves/meltCurve_tr_J3KNJ2_J3KNJ2_HUMAN_.pdf</t>
  </si>
  <si>
    <t>Melting_Curves/meltCurve_tr_J3KNL6_J3KNL6_HUMAN_.pdf</t>
  </si>
  <si>
    <t>Melting_Curves/meltCurve_tr_J3KP19_J3KP19_HUMAN_.pdf</t>
  </si>
  <si>
    <t>Melting_Curves/meltCurve_tr_J3KP29_J3KP29_HUMAN_.pdf</t>
  </si>
  <si>
    <t>Melting_Curves/meltCurve_tr_J3KP36_J3KP36_HUMAN_.pdf</t>
  </si>
  <si>
    <t>Melting_Curves/meltCurve_tr_J3KP66_J3KP66_HUMAN_.pdf</t>
  </si>
  <si>
    <t>Melting_Curves/meltCurve_tr_J3KP74_J3KP74_HUMAN_.pdf</t>
  </si>
  <si>
    <t>Melting_Curves/meltCurve_tr_J3KPK1_J3KPK1_HUMAN_.pdf</t>
  </si>
  <si>
    <t>Melting_Curves/meltCurve_tr_J3KPS2_J3KPS2_HUMAN_.pdf</t>
  </si>
  <si>
    <t>Melting_Curves/meltCurve_tr_J3KPV7_J3KPV7_HUMAN_.pdf</t>
  </si>
  <si>
    <t>Melting_Curves/meltCurve_tr_J3KQG4_J3KQG4_HUMAN_.pdf</t>
  </si>
  <si>
    <t>Melting_Curves/meltCurve_tr_J3KQN6_J3KQN6_HUMAN_.pdf</t>
  </si>
  <si>
    <t>Melting_Curves/meltCurve_tr_J3KR05_J3KR05_HUMAN_.pdf</t>
  </si>
  <si>
    <t>Melting_Curves/meltCurve_tr_J3KSI8_J3KSI8_HUMAN_.pdf</t>
  </si>
  <si>
    <t>Melting_Curves/meltCurve_tr_J3KSS7_J3KSS7_HUMAN_.pdf</t>
  </si>
  <si>
    <t>Melting_Curves/meltCurve_tr_J3KSW8_J3KSW8_HUMAN_.pdf</t>
  </si>
  <si>
    <t>Melting_Curves/meltCurve_tr_J3KT51_J3KT51_HUMAN_.pdf</t>
  </si>
  <si>
    <t>Melting_Curves/meltCurve_tr_J3KTF8_J3KTF8_HUMAN_.pdf</t>
  </si>
  <si>
    <t>Melting_Curves/meltCurve_tr_J3KTJ3_J3KTJ3_HUMAN_.pdf</t>
  </si>
  <si>
    <t>Melting_Curves/meltCurve_tr_J3QK84_J3QK84_HUMAN_.pdf</t>
  </si>
  <si>
    <t>Melting_Curves/meltCurve_tr_J3QKK8_J3QKK8_HUMAN_.pdf</t>
  </si>
  <si>
    <t>Melting_Curves/meltCurve_tr_J3QKS7_J3QKS7_HUMAN_.pdf</t>
  </si>
  <si>
    <t>Melting_Curves/meltCurve_tr_J3QL05_J3QL05_HUMAN_.pdf</t>
  </si>
  <si>
    <t>Melting_Curves/meltCurve_tr_J3QL56_J3QL56_HUMAN_.pdf</t>
  </si>
  <si>
    <t>Melting_Curves/meltCurve_tr_J3QLE5_J3QLE5_HUMAN_.pdf</t>
  </si>
  <si>
    <t>Melting_Curves/meltCurve_tr_J3QLI9_J3QLI9_HUMAN_.pdf</t>
  </si>
  <si>
    <t>Melting_Curves/meltCurve_tr_J3QLV0_J3QLV0_HUMAN_.pdf</t>
  </si>
  <si>
    <t>Melting_Curves/meltCurve_tr_J3QQX3_J3QQX3_HUMAN_.pdf</t>
  </si>
  <si>
    <t>Melting_Curves/meltCurve_tr_J3QRD1_J3QRD1_HUMAN_.pdf</t>
  </si>
  <si>
    <t>Melting_Curves/meltCurve_tr_J3QSV6_J3QSV6_HUMAN_.pdf</t>
  </si>
  <si>
    <t>Melting_Curves/meltCurve_tr_J3QT28_J3QT28_HUMAN_.pdf</t>
  </si>
  <si>
    <t>Melting_Curves/meltCurve_tr_J3QT87_J3QT87_HUMAN_.pdf</t>
  </si>
  <si>
    <t>Melting_Curves/meltCurve_tr_J9JIC5_J9JIC5_HUMAN_.pdf</t>
  </si>
  <si>
    <t>Melting_Curves/meltCurve_tr_J9JIE9_J9JIE9_HUMAN_.pdf</t>
  </si>
  <si>
    <t>Melting_Curves/meltCurve_tr_K7EIE8_K7EIE8_HUMAN_.pdf</t>
  </si>
  <si>
    <t>Melting_Curves/meltCurve_tr_K7EIG1_K7EIG1_HUMAN_.pdf</t>
  </si>
  <si>
    <t>Melting_Curves/meltCurve_tr_K7EIJ0_K7EIJ0_HUMAN_.pdf</t>
  </si>
  <si>
    <t>Melting_Curves/meltCurve_tr_K7EIU8_K7EIU8_HUMAN_.pdf</t>
  </si>
  <si>
    <t>Melting_Curves/meltCurve_tr_K7EJ78_K7EJ78_HUMAN_.pdf</t>
  </si>
  <si>
    <t>Melting_Curves/meltCurve_tr_K7EJB9_K7EJB9_HUMAN_.pdf</t>
  </si>
  <si>
    <t>Melting_Curves/meltCurve_tr_K7EJG0_K7EJG0_HUMAN_.pdf</t>
  </si>
  <si>
    <t>Melting_Curves/meltCurve_tr_K7EJL1_K7EJL1_HUMAN_.pdf</t>
  </si>
  <si>
    <t>Melting_Curves/meltCurve_tr_K7EK07_K7EK07_HUMAN_.pdf</t>
  </si>
  <si>
    <t>Melting_Curves/meltCurve_tr_K7EK11_K7EK11_HUMAN_.pdf</t>
  </si>
  <si>
    <t>Melting_Curves/meltCurve_tr_K7EKE6_K7EKE6_HUMAN_.pdf</t>
  </si>
  <si>
    <t>Melting_Curves/meltCurve_tr_K7EKI8_K7EKI8_HUMAN_.pdf</t>
  </si>
  <si>
    <t>Melting_Curves/meltCurve_tr_K7EME0_K7EME0_HUMAN_.pdf</t>
  </si>
  <si>
    <t>Melting_Curves/meltCurve_tr_K7EMY9_K7EMY9_HUMAN_.pdf</t>
  </si>
  <si>
    <t>Melting_Curves/meltCurve_tr_K7ENR6_K7ENR6_HUMAN_.pdf</t>
  </si>
  <si>
    <t>Melting_Curves/meltCurve_tr_K7ENT8_K7ENT8_HUMAN_.pdf</t>
  </si>
  <si>
    <t>Melting_Curves/meltCurve_tr_K7EP32_K7EP32_HUMAN_.pdf</t>
  </si>
  <si>
    <t>Melting_Curves/meltCurve_tr_K7EPS8_K7EPS8_HUMAN_.pdf</t>
  </si>
  <si>
    <t>Melting_Curves/meltCurve_tr_K7ER15_K7ER15_HUMAN_.pdf</t>
  </si>
  <si>
    <t>Melting_Curves/meltCurve_tr_K7ERI9_K7ERI9_HUMAN_.pdf</t>
  </si>
  <si>
    <t>Melting_Curves/meltCurve_tr_K7ES31_K7ES31_HUMAN_.pdf</t>
  </si>
  <si>
    <t>Melting_Curves/meltCurve_tr_K7ESE3_K7ESE3_HUMAN_.pdf</t>
  </si>
  <si>
    <t>Melting_Curves/meltCurve_tr_M0QWZ7_M0QWZ7_HUMAN_.pdf</t>
  </si>
  <si>
    <t>Melting_Curves/meltCurve_tr_M0QX35_M0QX35_HUMAN_.pdf</t>
  </si>
  <si>
    <t>Melting_Curves/meltCurve_tr_M0QY97_M0QY97_HUMAN_.pdf</t>
  </si>
  <si>
    <t>Melting_Curves/meltCurve_tr_M0QZ28_M0QZ28_HUMAN_.pdf</t>
  </si>
  <si>
    <t>Melting_Curves/meltCurve_tr_M0QZS0_M0QZS0_HUMAN_.pdf</t>
  </si>
  <si>
    <t>Melting_Curves/meltCurve_tr_M0R0F0_M0R0F0_HUMAN_.pdf</t>
  </si>
  <si>
    <t>Melting_Curves/meltCurve_tr_M0R0I0_M0R0I0_HUMAN_.pdf</t>
  </si>
  <si>
    <t>Melting_Curves/meltCurve_tr_M0R2P8_M0R2P8_HUMAN_.pdf</t>
  </si>
  <si>
    <t>Melting_Curves/meltCurve_tr_Q2TAM5_Q2TAM5_HUMAN_.pdf</t>
  </si>
  <si>
    <t>Melting_Curves/meltCurve_tr_Q32N00_Q32N00_HUMAN_.pdf</t>
  </si>
  <si>
    <t>Melting_Curves/meltCurve_tr_Q495G6_Q495G6_HUMAN_.pdf</t>
  </si>
  <si>
    <t>Melting_Curves/meltCurve_tr_Q4VXH1_Q4VXH1_HUMAN_.pdf</t>
  </si>
  <si>
    <t>Melting_Curves/meltCurve_tr_Q53XA7_Q53XA7_HUMAN_.pdf</t>
  </si>
  <si>
    <t>Melting_Curves/meltCurve_tr_Q567Q0_Q567Q0_HUMAN_.pdf</t>
  </si>
  <si>
    <t>Melting_Curves/meltCurve_tr_Q5HY54_Q5HY54_HUMAN_.pdf</t>
  </si>
  <si>
    <t>Melting_Curves/meltCurve_tr_Q5JP53_Q5JP53_HUMAN_.pdf</t>
  </si>
  <si>
    <t>Melting_Curves/meltCurve_tr_Q5JR04_Q5JR04_HUMAN_.pdf</t>
  </si>
  <si>
    <t>Melting_Curves/meltCurve_tr_Q5JR08_Q5JR08_HUMAN_.pdf</t>
  </si>
  <si>
    <t>Melting_Curves/meltCurve_tr_Q5JRV4_Q5JRV4_HUMAN_.pdf</t>
  </si>
  <si>
    <t>Melting_Curves/meltCurve_tr_Q5JSK8_Q5JSK8_HUMAN_.pdf</t>
  </si>
  <si>
    <t>Melting_Curves/meltCurve_tr_Q5JTV1_Q5JTV1_HUMAN_.pdf</t>
  </si>
  <si>
    <t>Melting_Curves/meltCurve_tr_Q5JUA8_Q5JUA8_HUMAN_.pdf</t>
  </si>
  <si>
    <t>Melting_Curves/meltCurve_tr_Q5JW30_Q5JW30_HUMAN_.pdf</t>
  </si>
  <si>
    <t>Melting_Curves/meltCurve_tr_Q5QNY5_Q5QNY5_HUMAN_.pdf</t>
  </si>
  <si>
    <t>Melting_Curves/meltCurve_tr_Q5QPM0_Q5QPM0_HUMAN_.pdf</t>
  </si>
  <si>
    <t>Melting_Curves/meltCurve_tr_Q5QPM7_Q5QPM7_HUMAN_.pdf</t>
  </si>
  <si>
    <t>Melting_Curves/meltCurve_tr_Q5SSZ3_Q5SSZ3_HUMAN_.pdf</t>
  </si>
  <si>
    <t>Melting_Curves/meltCurve_tr_Q5T123_Q5T123_HUMAN_.pdf</t>
  </si>
  <si>
    <t>Melting_Curves/meltCurve_tr_Q5T760_Q5T760_HUMAN_.pdf</t>
  </si>
  <si>
    <t>Melting_Curves/meltCurve_tr_Q5T985_Q5T985_HUMAN_.pdf</t>
  </si>
  <si>
    <t>Melting_Curves/meltCurve_tr_Q5TA02_Q5TA02_HUMAN_.pdf</t>
  </si>
  <si>
    <t>Melting_Curves/meltCurve_tr_Q5TA58_Q5TA58_HUMAN_.pdf</t>
  </si>
  <si>
    <t>Melting_Curves/meltCurve_tr_Q5TBP5_Q5TBP5_HUMAN_.pdf</t>
  </si>
  <si>
    <t>Melting_Curves/meltCurve_tr_Q5TBU2_Q5TBU2_HUMAN_.pdf</t>
  </si>
  <si>
    <t>Melting_Curves/meltCurve_tr_Q5TCU3_Q5TCU3_HUMAN_.pdf</t>
  </si>
  <si>
    <t>Melting_Curves/meltCurve_tr_Q5TCZ7_Q5TCZ7_HUMAN_.pdf</t>
  </si>
  <si>
    <t>Melting_Curves/meltCurve_tr_Q5TH58_Q5TH58_HUMAN_.pdf</t>
  </si>
  <si>
    <t>Melting_Curves/meltCurve_tr_Q5VTU3_Q5VTU3_HUMAN_.pdf</t>
  </si>
  <si>
    <t>Melting_Curves/meltCurve_tr_Q5VTW1_Q5VTW1_HUMAN_.pdf</t>
  </si>
  <si>
    <t>Melting_Curves/meltCurve_tr_Q5VU10_Q5VU10_HUMAN_.pdf</t>
  </si>
  <si>
    <t>Melting_Curves/meltCurve_tr_Q658Y7_Q658Y7_HUMAN_.pdf</t>
  </si>
  <si>
    <t>Melting_Curves/meltCurve_tr_Q6ICJ4_Q6ICJ4_HUMAN_.pdf</t>
  </si>
  <si>
    <t>Melting_Curves/meltCurve_tr_Q6P4G0_Q6P4G0_HUMAN_.pdf</t>
  </si>
  <si>
    <t>Melting_Curves/meltCurve_tr_Q71TU5_Q71TU5_HUMAN_.pdf</t>
  </si>
  <si>
    <t>Melting_Curves/meltCurve_tr_Q7Z451_Q7Z451_HUMAN_.pdf</t>
  </si>
  <si>
    <t>Melting_Curves/meltCurve_tr_Q86TV2_Q86TV2_HUMAN_.pdf</t>
  </si>
  <si>
    <t>Melting_Curves/meltCurve_tr_Q86UY0_Q86UY0_HUMAN_.pdf</t>
  </si>
  <si>
    <t>Melting_Curves/meltCurve_tr_Q86VQ2_Q86VQ2_HUMAN_.pdf</t>
  </si>
  <si>
    <t>Melting_Curves/meltCurve_tr_Q8IYN9_Q8IYN9_HUMAN_.pdf</t>
  </si>
  <si>
    <t>Melting_Curves/meltCurve_tr_Q8WVC2_Q8WVC2_HUMAN_.pdf</t>
  </si>
  <si>
    <t>Melting_Curves/meltCurve_tr_Q8WYQ7_Q8WYQ7_HUMAN_.pdf</t>
  </si>
  <si>
    <t>Melting_Curves/meltCurve_tr_Q96CG1_Q96CG1_HUMAN_.pdf</t>
  </si>
  <si>
    <t>Melting_Curves/meltCurve_tr_Q9BVB1_Q9BVB1_HUMAN_.pdf</t>
  </si>
  <si>
    <t>Melting_Curves/meltCurve_tr_Q9H6Y6_Q9H6Y6_HUMAN_.pdf</t>
  </si>
  <si>
    <t>Melting_Curves/meltCurve_tr_Q9UII8_Q9UII8_HUMAN_.pdf</t>
  </si>
  <si>
    <t>Melting_Curves/meltCurve_tr_R4GMR5_R4GMR5_HUMAN_.pdf</t>
  </si>
  <si>
    <t>Melting_Curves/meltCurve_tr_R4GMX3_R4GMX3_HUMAN_.pdf</t>
  </si>
  <si>
    <t>Melting_Curves/meltCurve_tr_R4GN55_R4GN55_HUMAN_.pdf</t>
  </si>
  <si>
    <t>Melting_Curves/meltCurve_tr_R4GN98_R4GN98_HUMAN_.pdf</t>
  </si>
  <si>
    <t>Melting_Curves/meltCurve_tr_R4GNB2_R4GNB2_HUMAN_.pdf</t>
  </si>
  <si>
    <t>Melting_Curves/meltCurve_tr_R4GNG2_R4GNG2_HUMAN_.pdf</t>
  </si>
  <si>
    <t>Melting_Curves/meltCurve_tr_R4GNH3_R4GNH3_HUMAN_.pdf</t>
  </si>
  <si>
    <t>Yes</t>
  </si>
  <si>
    <t>No</t>
  </si>
  <si>
    <t>A0AVT1</t>
  </si>
  <si>
    <t>A0JNW5</t>
  </si>
  <si>
    <t>A0MZ66</t>
  </si>
  <si>
    <t>A1L170</t>
  </si>
  <si>
    <t>A1L188</t>
  </si>
  <si>
    <t>A1L390</t>
  </si>
  <si>
    <t>A1Z1Q3-2</t>
  </si>
  <si>
    <t>A2VDF0-2</t>
  </si>
  <si>
    <t>A4D126-2</t>
  </si>
  <si>
    <t>A4D1P6-2</t>
  </si>
  <si>
    <t>A5YKK6-2</t>
  </si>
  <si>
    <t>A6ND91</t>
  </si>
  <si>
    <t>A6NDB9</t>
  </si>
  <si>
    <t>A6NDG6</t>
  </si>
  <si>
    <t>A6NDU8</t>
  </si>
  <si>
    <t>A6NED2</t>
  </si>
  <si>
    <t>A6NIH7</t>
  </si>
  <si>
    <t>A6NK44</t>
  </si>
  <si>
    <t>A6NK58</t>
  </si>
  <si>
    <t>A6NKD9</t>
  </si>
  <si>
    <t>A6NKN8</t>
  </si>
  <si>
    <t>A6NLP5</t>
  </si>
  <si>
    <t>A8MSI8</t>
  </si>
  <si>
    <t>A8MXV4</t>
  </si>
  <si>
    <t>B1AK53</t>
  </si>
  <si>
    <t>B7ZAP0</t>
  </si>
  <si>
    <t>B7ZBB8</t>
  </si>
  <si>
    <t>C4AMC7</t>
  </si>
  <si>
    <t>F8WCM5</t>
  </si>
  <si>
    <t>O00124-2</t>
  </si>
  <si>
    <t>O00142</t>
  </si>
  <si>
    <t>O00151</t>
  </si>
  <si>
    <t>O00154-4</t>
  </si>
  <si>
    <t>O00161-2</t>
  </si>
  <si>
    <t>O00170</t>
  </si>
  <si>
    <t>O00231</t>
  </si>
  <si>
    <t>O00232</t>
  </si>
  <si>
    <t>O00244</t>
  </si>
  <si>
    <t>O00267-2</t>
  </si>
  <si>
    <t>O00273</t>
  </si>
  <si>
    <t>O00299</t>
  </si>
  <si>
    <t>O00401</t>
  </si>
  <si>
    <t>O00410</t>
  </si>
  <si>
    <t>O00429-4</t>
  </si>
  <si>
    <t>O00442</t>
  </si>
  <si>
    <t>O00459</t>
  </si>
  <si>
    <t>O00462</t>
  </si>
  <si>
    <t>O00471</t>
  </si>
  <si>
    <t>O00479</t>
  </si>
  <si>
    <t>O00487</t>
  </si>
  <si>
    <t>O00499-6</t>
  </si>
  <si>
    <t>O00505</t>
  </si>
  <si>
    <t>O00515</t>
  </si>
  <si>
    <t>O00534</t>
  </si>
  <si>
    <t>O00567</t>
  </si>
  <si>
    <t>O00571</t>
  </si>
  <si>
    <t>O00625</t>
  </si>
  <si>
    <t>O00629</t>
  </si>
  <si>
    <t>O00743</t>
  </si>
  <si>
    <t>O00748</t>
  </si>
  <si>
    <t>O00754</t>
  </si>
  <si>
    <t>O00757</t>
  </si>
  <si>
    <t>O00763</t>
  </si>
  <si>
    <t>O00764</t>
  </si>
  <si>
    <t>O14497</t>
  </si>
  <si>
    <t>O14545</t>
  </si>
  <si>
    <t>O14561</t>
  </si>
  <si>
    <t>O14578-3</t>
  </si>
  <si>
    <t>O14579</t>
  </si>
  <si>
    <t>O14686</t>
  </si>
  <si>
    <t>O14732-2</t>
  </si>
  <si>
    <t>O14734</t>
  </si>
  <si>
    <t>O14737</t>
  </si>
  <si>
    <t>O14744</t>
  </si>
  <si>
    <t>O14745</t>
  </si>
  <si>
    <t>O14756</t>
  </si>
  <si>
    <t>O14772</t>
  </si>
  <si>
    <t>O14773-2</t>
  </si>
  <si>
    <t>O14776-2</t>
  </si>
  <si>
    <t>O14787-2</t>
  </si>
  <si>
    <t>O14818</t>
  </si>
  <si>
    <t>O14828</t>
  </si>
  <si>
    <t>O14832</t>
  </si>
  <si>
    <t>O14841</t>
  </si>
  <si>
    <t>O14879</t>
  </si>
  <si>
    <t>O14896</t>
  </si>
  <si>
    <t>O14907</t>
  </si>
  <si>
    <t>O14908</t>
  </si>
  <si>
    <t>O14929</t>
  </si>
  <si>
    <t>O14933</t>
  </si>
  <si>
    <t>O14936-3</t>
  </si>
  <si>
    <t>O14964</t>
  </si>
  <si>
    <t>O14974</t>
  </si>
  <si>
    <t>O14976</t>
  </si>
  <si>
    <t>O14979-3</t>
  </si>
  <si>
    <t>O14980</t>
  </si>
  <si>
    <t>O15020</t>
  </si>
  <si>
    <t>O15021-2</t>
  </si>
  <si>
    <t>O15067</t>
  </si>
  <si>
    <t>O15084</t>
  </si>
  <si>
    <t>O15085</t>
  </si>
  <si>
    <t>O15143</t>
  </si>
  <si>
    <t>O15144</t>
  </si>
  <si>
    <t>O15145</t>
  </si>
  <si>
    <t>O15173</t>
  </si>
  <si>
    <t>O15212</t>
  </si>
  <si>
    <t>O15217</t>
  </si>
  <si>
    <t>O15229-3</t>
  </si>
  <si>
    <t>O15254</t>
  </si>
  <si>
    <t>O15294-3</t>
  </si>
  <si>
    <t>O15305</t>
  </si>
  <si>
    <t>O15355</t>
  </si>
  <si>
    <t>O15372</t>
  </si>
  <si>
    <t>O15379</t>
  </si>
  <si>
    <t>O15382</t>
  </si>
  <si>
    <t>O15397</t>
  </si>
  <si>
    <t>O15400-2</t>
  </si>
  <si>
    <t>O15446</t>
  </si>
  <si>
    <t>O15488-4</t>
  </si>
  <si>
    <t>O15498</t>
  </si>
  <si>
    <t>O15511</t>
  </si>
  <si>
    <t>O15541</t>
  </si>
  <si>
    <t>O43143</t>
  </si>
  <si>
    <t>O43148</t>
  </si>
  <si>
    <t>O43164-2</t>
  </si>
  <si>
    <t>O43175</t>
  </si>
  <si>
    <t>O43236-5</t>
  </si>
  <si>
    <t>O43237</t>
  </si>
  <si>
    <t>O43242</t>
  </si>
  <si>
    <t>O43252</t>
  </si>
  <si>
    <t>O43290</t>
  </si>
  <si>
    <t>O43312-4</t>
  </si>
  <si>
    <t>O43314-2</t>
  </si>
  <si>
    <t>O43318-2</t>
  </si>
  <si>
    <t>O43325</t>
  </si>
  <si>
    <t>O43390</t>
  </si>
  <si>
    <t>O43396</t>
  </si>
  <si>
    <t>O43399</t>
  </si>
  <si>
    <t>O43414-3</t>
  </si>
  <si>
    <t>O43432</t>
  </si>
  <si>
    <t>O43464</t>
  </si>
  <si>
    <t>O43491-3</t>
  </si>
  <si>
    <t>O43493-2</t>
  </si>
  <si>
    <t>O43566-5</t>
  </si>
  <si>
    <t>O43592</t>
  </si>
  <si>
    <t>O43598</t>
  </si>
  <si>
    <t>O43615</t>
  </si>
  <si>
    <t>O43617-2</t>
  </si>
  <si>
    <t>O43633</t>
  </si>
  <si>
    <t>O43670-2</t>
  </si>
  <si>
    <t>O43678</t>
  </si>
  <si>
    <t>O43681</t>
  </si>
  <si>
    <t>O43704</t>
  </si>
  <si>
    <t>O43707</t>
  </si>
  <si>
    <t>O43708</t>
  </si>
  <si>
    <t>O43715</t>
  </si>
  <si>
    <t>O43716</t>
  </si>
  <si>
    <t>O43719</t>
  </si>
  <si>
    <t>O43741</t>
  </si>
  <si>
    <t>O43747</t>
  </si>
  <si>
    <t>O43765</t>
  </si>
  <si>
    <t>O43766-2</t>
  </si>
  <si>
    <t>O43768-2</t>
  </si>
  <si>
    <t>O43776</t>
  </si>
  <si>
    <t>O43795-2</t>
  </si>
  <si>
    <t>O43805</t>
  </si>
  <si>
    <t>O43809</t>
  </si>
  <si>
    <t>O43813</t>
  </si>
  <si>
    <t>O43815-2</t>
  </si>
  <si>
    <t>O43820-4</t>
  </si>
  <si>
    <t>O43837</t>
  </si>
  <si>
    <t>O43847</t>
  </si>
  <si>
    <t>O43852</t>
  </si>
  <si>
    <t>O43865</t>
  </si>
  <si>
    <t>O43903</t>
  </si>
  <si>
    <t>O60216</t>
  </si>
  <si>
    <t>O60218</t>
  </si>
  <si>
    <t>O60220</t>
  </si>
  <si>
    <t>O60231</t>
  </si>
  <si>
    <t>O60240</t>
  </si>
  <si>
    <t>O60256</t>
  </si>
  <si>
    <t>O60260-5</t>
  </si>
  <si>
    <t>O60271-4</t>
  </si>
  <si>
    <t>O60341</t>
  </si>
  <si>
    <t>O60343-2</t>
  </si>
  <si>
    <t>O60443</t>
  </si>
  <si>
    <t>O60493</t>
  </si>
  <si>
    <t>O60504-2</t>
  </si>
  <si>
    <t>O60506-2</t>
  </si>
  <si>
    <t>O60518</t>
  </si>
  <si>
    <t>O60547-2</t>
  </si>
  <si>
    <t>O60551</t>
  </si>
  <si>
    <t>O60613</t>
  </si>
  <si>
    <t>O60645-3</t>
  </si>
  <si>
    <t>O60664-4</t>
  </si>
  <si>
    <t>O60671</t>
  </si>
  <si>
    <t>O60701</t>
  </si>
  <si>
    <t>O60716-5</t>
  </si>
  <si>
    <t>O60749</t>
  </si>
  <si>
    <t>O60763</t>
  </si>
  <si>
    <t>O60826</t>
  </si>
  <si>
    <t>O60828-2</t>
  </si>
  <si>
    <t>O60841</t>
  </si>
  <si>
    <t>O60869</t>
  </si>
  <si>
    <t>O60884</t>
  </si>
  <si>
    <t>O60885</t>
  </si>
  <si>
    <t>O60925</t>
  </si>
  <si>
    <t>O60927</t>
  </si>
  <si>
    <t>O60934</t>
  </si>
  <si>
    <t>O75052-3</t>
  </si>
  <si>
    <t>O75081-2</t>
  </si>
  <si>
    <t>O75083</t>
  </si>
  <si>
    <t>O75116</t>
  </si>
  <si>
    <t>O75131</t>
  </si>
  <si>
    <t>O75146</t>
  </si>
  <si>
    <t>O75150</t>
  </si>
  <si>
    <t>O75151</t>
  </si>
  <si>
    <t>O75155-2</t>
  </si>
  <si>
    <t>O75165</t>
  </si>
  <si>
    <t>O75170-4</t>
  </si>
  <si>
    <t>O75175</t>
  </si>
  <si>
    <t>O75177</t>
  </si>
  <si>
    <t>O75179-6</t>
  </si>
  <si>
    <t>O75191</t>
  </si>
  <si>
    <t>O75208</t>
  </si>
  <si>
    <t>O75223</t>
  </si>
  <si>
    <t>O75323</t>
  </si>
  <si>
    <t>O75340</t>
  </si>
  <si>
    <t>O75347</t>
  </si>
  <si>
    <t>O75348</t>
  </si>
  <si>
    <t>O75351</t>
  </si>
  <si>
    <t>O75356</t>
  </si>
  <si>
    <t>O75368</t>
  </si>
  <si>
    <t>O75369-8</t>
  </si>
  <si>
    <t>O75376</t>
  </si>
  <si>
    <t>O75380</t>
  </si>
  <si>
    <t>O75396</t>
  </si>
  <si>
    <t>O75400-2</t>
  </si>
  <si>
    <t>O75414-2</t>
  </si>
  <si>
    <t>O75436</t>
  </si>
  <si>
    <t>O75439</t>
  </si>
  <si>
    <t>O75452</t>
  </si>
  <si>
    <t>O75475</t>
  </si>
  <si>
    <t>O75503</t>
  </si>
  <si>
    <t>O75506</t>
  </si>
  <si>
    <t>O75521-2</t>
  </si>
  <si>
    <t>O75531</t>
  </si>
  <si>
    <t>O75533</t>
  </si>
  <si>
    <t>O75534</t>
  </si>
  <si>
    <t>O75570</t>
  </si>
  <si>
    <t>O75600</t>
  </si>
  <si>
    <t>O75607</t>
  </si>
  <si>
    <t>O75608-2</t>
  </si>
  <si>
    <t>O75629</t>
  </si>
  <si>
    <t>O75643</t>
  </si>
  <si>
    <t>O75648</t>
  </si>
  <si>
    <t>O75663</t>
  </si>
  <si>
    <t>O75688</t>
  </si>
  <si>
    <t>O75695</t>
  </si>
  <si>
    <t>O75764</t>
  </si>
  <si>
    <t>O75818-2</t>
  </si>
  <si>
    <t>O75821</t>
  </si>
  <si>
    <t>O75822</t>
  </si>
  <si>
    <t>O75874</t>
  </si>
  <si>
    <t>O75882-3</t>
  </si>
  <si>
    <t>O75884</t>
  </si>
  <si>
    <t>O75886</t>
  </si>
  <si>
    <t>O75891</t>
  </si>
  <si>
    <t>O75896</t>
  </si>
  <si>
    <t>O75909</t>
  </si>
  <si>
    <t>O75934</t>
  </si>
  <si>
    <t>O75935-3</t>
  </si>
  <si>
    <t>O75936</t>
  </si>
  <si>
    <t>O75937</t>
  </si>
  <si>
    <t>O75940</t>
  </si>
  <si>
    <t>O75970-3</t>
  </si>
  <si>
    <t>O75976</t>
  </si>
  <si>
    <t>O76003</t>
  </si>
  <si>
    <t>O76031</t>
  </si>
  <si>
    <t>O76054</t>
  </si>
  <si>
    <t>O76071</t>
  </si>
  <si>
    <t>O76094</t>
  </si>
  <si>
    <t>O94760</t>
  </si>
  <si>
    <t>O94763</t>
  </si>
  <si>
    <t>O94776</t>
  </si>
  <si>
    <t>O94788-4</t>
  </si>
  <si>
    <t>O94804</t>
  </si>
  <si>
    <t>O94811</t>
  </si>
  <si>
    <t>O94817</t>
  </si>
  <si>
    <t>O94819</t>
  </si>
  <si>
    <t>O94826</t>
  </si>
  <si>
    <t>O94829</t>
  </si>
  <si>
    <t>O94851-5</t>
  </si>
  <si>
    <t>O94855</t>
  </si>
  <si>
    <t>O94874</t>
  </si>
  <si>
    <t>O94875-12</t>
  </si>
  <si>
    <t>O94887</t>
  </si>
  <si>
    <t>O94888</t>
  </si>
  <si>
    <t>O94903</t>
  </si>
  <si>
    <t>O94929-2</t>
  </si>
  <si>
    <t>O94966-7</t>
  </si>
  <si>
    <t>O94973-2</t>
  </si>
  <si>
    <t>O94973</t>
  </si>
  <si>
    <t>O94979-3</t>
  </si>
  <si>
    <t>O94992</t>
  </si>
  <si>
    <t>O95081</t>
  </si>
  <si>
    <t>O95104-3</t>
  </si>
  <si>
    <t>O95154</t>
  </si>
  <si>
    <t>O95155-3</t>
  </si>
  <si>
    <t>O95163</t>
  </si>
  <si>
    <t>O95202</t>
  </si>
  <si>
    <t>O95210</t>
  </si>
  <si>
    <t>O95218-2</t>
  </si>
  <si>
    <t>O95219</t>
  </si>
  <si>
    <t>O95232</t>
  </si>
  <si>
    <t>O95243-3</t>
  </si>
  <si>
    <t>O95251-2</t>
  </si>
  <si>
    <t>O95278-7</t>
  </si>
  <si>
    <t>O95292</t>
  </si>
  <si>
    <t>O95336</t>
  </si>
  <si>
    <t>O95340</t>
  </si>
  <si>
    <t>O95352</t>
  </si>
  <si>
    <t>O95363</t>
  </si>
  <si>
    <t>O95372</t>
  </si>
  <si>
    <t>O95373</t>
  </si>
  <si>
    <t>O95376</t>
  </si>
  <si>
    <t>O95394</t>
  </si>
  <si>
    <t>O95396</t>
  </si>
  <si>
    <t>O95399</t>
  </si>
  <si>
    <t>O95400</t>
  </si>
  <si>
    <t>O95425-2</t>
  </si>
  <si>
    <t>O95433</t>
  </si>
  <si>
    <t>O95453-2</t>
  </si>
  <si>
    <t>O95456-2</t>
  </si>
  <si>
    <t>O95479</t>
  </si>
  <si>
    <t>O95486</t>
  </si>
  <si>
    <t>O95487-2</t>
  </si>
  <si>
    <t>O95497</t>
  </si>
  <si>
    <t>O95544</t>
  </si>
  <si>
    <t>O95551-3</t>
  </si>
  <si>
    <t>O95571</t>
  </si>
  <si>
    <t>O95628-5</t>
  </si>
  <si>
    <t>O95630</t>
  </si>
  <si>
    <t>O95671-2</t>
  </si>
  <si>
    <t>O95684-2</t>
  </si>
  <si>
    <t>O95721</t>
  </si>
  <si>
    <t>O95747</t>
  </si>
  <si>
    <t>O95757</t>
  </si>
  <si>
    <t>O95777</t>
  </si>
  <si>
    <t>O95782-2</t>
  </si>
  <si>
    <t>O95817</t>
  </si>
  <si>
    <t>O95822</t>
  </si>
  <si>
    <t>O95825</t>
  </si>
  <si>
    <t>O95831-3</t>
  </si>
  <si>
    <t>O95834</t>
  </si>
  <si>
    <t>O95865</t>
  </si>
  <si>
    <t>O95881</t>
  </si>
  <si>
    <t>O95954</t>
  </si>
  <si>
    <t>O95989</t>
  </si>
  <si>
    <t>O95999</t>
  </si>
  <si>
    <t>O96007</t>
  </si>
  <si>
    <t>O96019</t>
  </si>
  <si>
    <t>O96033</t>
  </si>
  <si>
    <t>P00325</t>
  </si>
  <si>
    <t>P00326</t>
  </si>
  <si>
    <t>P00338</t>
  </si>
  <si>
    <t>P00352</t>
  </si>
  <si>
    <t>P00374</t>
  </si>
  <si>
    <t>P00387-2</t>
  </si>
  <si>
    <t>P00390-2</t>
  </si>
  <si>
    <t>P00439</t>
  </si>
  <si>
    <t>P00450</t>
  </si>
  <si>
    <t>P00480</t>
  </si>
  <si>
    <t>P00491</t>
  </si>
  <si>
    <t>P00492</t>
  </si>
  <si>
    <t>P00505</t>
  </si>
  <si>
    <t>P00558</t>
  </si>
  <si>
    <t>P00568</t>
  </si>
  <si>
    <t>P00734</t>
  </si>
  <si>
    <t>P00736</t>
  </si>
  <si>
    <t>P00738</t>
  </si>
  <si>
    <t>P00740</t>
  </si>
  <si>
    <t>P00747</t>
  </si>
  <si>
    <t>P00748</t>
  </si>
  <si>
    <t>P00966</t>
  </si>
  <si>
    <t>P01009</t>
  </si>
  <si>
    <t>P01011</t>
  </si>
  <si>
    <t>P01019</t>
  </si>
  <si>
    <t>P01023</t>
  </si>
  <si>
    <t>P01024</t>
  </si>
  <si>
    <t>P01040</t>
  </si>
  <si>
    <t>P01042-2</t>
  </si>
  <si>
    <t>P01111</t>
  </si>
  <si>
    <t>P01116-2</t>
  </si>
  <si>
    <t>P01743</t>
  </si>
  <si>
    <t>P01765</t>
  </si>
  <si>
    <t>P01834</t>
  </si>
  <si>
    <t>P01857</t>
  </si>
  <si>
    <t>P01859</t>
  </si>
  <si>
    <t>P01860</t>
  </si>
  <si>
    <t>P01871</t>
  </si>
  <si>
    <t>P01876</t>
  </si>
  <si>
    <t>P01877</t>
  </si>
  <si>
    <t>P02462-2</t>
  </si>
  <si>
    <t>P02533</t>
  </si>
  <si>
    <t>P02538</t>
  </si>
  <si>
    <t>P02545</t>
  </si>
  <si>
    <t>P02647</t>
  </si>
  <si>
    <t>P02649</t>
  </si>
  <si>
    <t>P02652</t>
  </si>
  <si>
    <t>P02656</t>
  </si>
  <si>
    <t>P02671-2</t>
  </si>
  <si>
    <t>P02675</t>
  </si>
  <si>
    <t>P02679-2</t>
  </si>
  <si>
    <t>P02743</t>
  </si>
  <si>
    <t>P02748</t>
  </si>
  <si>
    <t>P02749</t>
  </si>
  <si>
    <t>P02750</t>
  </si>
  <si>
    <t>P02751-12</t>
  </si>
  <si>
    <t>P02760</t>
  </si>
  <si>
    <t>P02763</t>
  </si>
  <si>
    <t>P02765</t>
  </si>
  <si>
    <t>P02766</t>
  </si>
  <si>
    <t>P02771</t>
  </si>
  <si>
    <t>P02774</t>
  </si>
  <si>
    <t>P02790</t>
  </si>
  <si>
    <t>P02792</t>
  </si>
  <si>
    <t>P02794</t>
  </si>
  <si>
    <t>P02795</t>
  </si>
  <si>
    <t>P03950</t>
  </si>
  <si>
    <t>P04003</t>
  </si>
  <si>
    <t>P04004</t>
  </si>
  <si>
    <t>P04066</t>
  </si>
  <si>
    <t>P04080</t>
  </si>
  <si>
    <t>P04083</t>
  </si>
  <si>
    <t>P04114</t>
  </si>
  <si>
    <t>P04150-7</t>
  </si>
  <si>
    <t>P04179</t>
  </si>
  <si>
    <t>P04181</t>
  </si>
  <si>
    <t>P04196</t>
  </si>
  <si>
    <t>P04206</t>
  </si>
  <si>
    <t>P04217-2</t>
  </si>
  <si>
    <t>P04217</t>
  </si>
  <si>
    <t>P04264</t>
  </si>
  <si>
    <t>P04406-2</t>
  </si>
  <si>
    <t>P04406</t>
  </si>
  <si>
    <t>P04424</t>
  </si>
  <si>
    <t>P04632</t>
  </si>
  <si>
    <t>P04731</t>
  </si>
  <si>
    <t>P04732</t>
  </si>
  <si>
    <t>P04733</t>
  </si>
  <si>
    <t>P04792</t>
  </si>
  <si>
    <t>P04899</t>
  </si>
  <si>
    <t>P05062</t>
  </si>
  <si>
    <t>P05089</t>
  </si>
  <si>
    <t>P05090</t>
  </si>
  <si>
    <t>P05091</t>
  </si>
  <si>
    <t>P05109</t>
  </si>
  <si>
    <t>P05114</t>
  </si>
  <si>
    <t>P05141</t>
  </si>
  <si>
    <t>P05154</t>
  </si>
  <si>
    <t>P05155</t>
  </si>
  <si>
    <t>P05161</t>
  </si>
  <si>
    <t>P05164-2</t>
  </si>
  <si>
    <t>P05165</t>
  </si>
  <si>
    <t>P05166</t>
  </si>
  <si>
    <t>P05177</t>
  </si>
  <si>
    <t>P05181</t>
  </si>
  <si>
    <t>P05198</t>
  </si>
  <si>
    <t>P05204</t>
  </si>
  <si>
    <t>P05386</t>
  </si>
  <si>
    <t>P05387</t>
  </si>
  <si>
    <t>P05455</t>
  </si>
  <si>
    <t>P05543</t>
  </si>
  <si>
    <t>P05546</t>
  </si>
  <si>
    <t>P05783</t>
  </si>
  <si>
    <t>P05787</t>
  </si>
  <si>
    <t>P05976-2</t>
  </si>
  <si>
    <t>P06132</t>
  </si>
  <si>
    <t>P06280</t>
  </si>
  <si>
    <t>P06576</t>
  </si>
  <si>
    <t>P06702</t>
  </si>
  <si>
    <t>P06727</t>
  </si>
  <si>
    <t>P06730</t>
  </si>
  <si>
    <t>P06733</t>
  </si>
  <si>
    <t>P06737-2</t>
  </si>
  <si>
    <t>P06744</t>
  </si>
  <si>
    <t>P06748</t>
  </si>
  <si>
    <t>P06753-2</t>
  </si>
  <si>
    <t>P06753-5</t>
  </si>
  <si>
    <t>P07099</t>
  </si>
  <si>
    <t>P07108</t>
  </si>
  <si>
    <t>P07148</t>
  </si>
  <si>
    <t>P07195</t>
  </si>
  <si>
    <t>P07203</t>
  </si>
  <si>
    <t>P07237</t>
  </si>
  <si>
    <t>P07305-2</t>
  </si>
  <si>
    <t>P07307-3</t>
  </si>
  <si>
    <t>P07311</t>
  </si>
  <si>
    <t>P07327</t>
  </si>
  <si>
    <t>P07357</t>
  </si>
  <si>
    <t>P07360</t>
  </si>
  <si>
    <t>P07384</t>
  </si>
  <si>
    <t>P07438</t>
  </si>
  <si>
    <t>P07602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</si>
  <si>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</si>
  <si>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</si>
  <si>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</si>
  <si>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</si>
  <si>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</si>
  <si>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</si>
  <si>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</si>
  <si>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</si>
  <si>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P07902</t>
  </si>
  <si>
    <t>P07947</t>
  </si>
  <si>
    <t>P07954-2</t>
  </si>
  <si>
    <t>P07996</t>
  </si>
  <si>
    <t>P08107</t>
  </si>
  <si>
    <t>P08123</t>
  </si>
  <si>
    <t>P08133-2</t>
  </si>
  <si>
    <t>P08185</t>
  </si>
  <si>
    <t>P08236</t>
  </si>
  <si>
    <t>P08238</t>
  </si>
  <si>
    <t>P08240-2</t>
  </si>
  <si>
    <t>P08319</t>
  </si>
  <si>
    <t>P08519</t>
  </si>
  <si>
    <t>P08559-3</t>
  </si>
  <si>
    <t>P08571</t>
  </si>
  <si>
    <t>P08579</t>
  </si>
  <si>
    <t>P08603</t>
  </si>
  <si>
    <t>P08621-2</t>
  </si>
  <si>
    <t>P08651-2</t>
  </si>
  <si>
    <t>P08670</t>
  </si>
  <si>
    <t>P08684</t>
  </si>
  <si>
    <t>P08697</t>
  </si>
  <si>
    <t>P08727</t>
  </si>
  <si>
    <t>P08729</t>
  </si>
  <si>
    <t>P09012</t>
  </si>
  <si>
    <t>P09110</t>
  </si>
  <si>
    <t>P09132</t>
  </si>
  <si>
    <t>P09210</t>
  </si>
  <si>
    <t>P09234</t>
  </si>
  <si>
    <t>P09327</t>
  </si>
  <si>
    <t>P09382</t>
  </si>
  <si>
    <t>P09417</t>
  </si>
  <si>
    <t>P09429</t>
  </si>
  <si>
    <t>P09467</t>
  </si>
  <si>
    <t>P09493-3</t>
  </si>
  <si>
    <t>P09496-2</t>
  </si>
  <si>
    <t>P09497-2</t>
  </si>
  <si>
    <t>P09525</t>
  </si>
  <si>
    <t>P09543-2</t>
  </si>
  <si>
    <t>P09601</t>
  </si>
  <si>
    <t>P09622</t>
  </si>
  <si>
    <t>P09651-3</t>
  </si>
  <si>
    <t>P09661</t>
  </si>
  <si>
    <t>P09668</t>
  </si>
  <si>
    <t>P09871</t>
  </si>
  <si>
    <t>P09874</t>
  </si>
  <si>
    <t>P09913</t>
  </si>
  <si>
    <t>P09960</t>
  </si>
  <si>
    <t>P09972</t>
  </si>
  <si>
    <t>P0C024</t>
  </si>
  <si>
    <t>P0C0L5</t>
  </si>
  <si>
    <t>P0C7P0</t>
  </si>
  <si>
    <t>P0C7U0</t>
  </si>
  <si>
    <t>P0CG05</t>
  </si>
  <si>
    <t>P0CG12</t>
  </si>
  <si>
    <t>P0CW22</t>
  </si>
  <si>
    <t>P0DJI8</t>
  </si>
  <si>
    <t>P10109</t>
  </si>
  <si>
    <t>P10153</t>
  </si>
  <si>
    <t>P10155-3</t>
  </si>
  <si>
    <t>P10253</t>
  </si>
  <si>
    <t>P10412</t>
  </si>
  <si>
    <t>P10515</t>
  </si>
  <si>
    <t>P10586-2</t>
  </si>
  <si>
    <t>P10606</t>
  </si>
  <si>
    <t>P10619</t>
  </si>
  <si>
    <t>P10632-2</t>
  </si>
  <si>
    <t>P10644</t>
  </si>
  <si>
    <t>P10746</t>
  </si>
  <si>
    <t>P10768</t>
  </si>
  <si>
    <t>P10809</t>
  </si>
  <si>
    <t>P10909-4</t>
  </si>
  <si>
    <t>P11021</t>
  </si>
  <si>
    <t>P11047</t>
  </si>
  <si>
    <t>P11142</t>
  </si>
  <si>
    <t>P11171-4</t>
  </si>
  <si>
    <t>P11172</t>
  </si>
  <si>
    <t>P11177-3</t>
  </si>
  <si>
    <t>P11182</t>
  </si>
  <si>
    <t>P11216</t>
  </si>
  <si>
    <t>P11226</t>
  </si>
  <si>
    <t>P11245</t>
  </si>
  <si>
    <t>P11277-3</t>
  </si>
  <si>
    <t>P11310</t>
  </si>
  <si>
    <t>P11441</t>
  </si>
  <si>
    <t>P11498</t>
  </si>
  <si>
    <t>P11532-3</t>
  </si>
  <si>
    <t>P11586</t>
  </si>
  <si>
    <t>P11712</t>
  </si>
  <si>
    <t>P11717</t>
  </si>
  <si>
    <t>P11766</t>
  </si>
  <si>
    <t>P11908</t>
  </si>
  <si>
    <t>P11940-2</t>
  </si>
  <si>
    <t>P12004</t>
  </si>
  <si>
    <t>P12270</t>
  </si>
  <si>
    <t>P12694</t>
  </si>
  <si>
    <t>P12724</t>
  </si>
  <si>
    <t>P12814</t>
  </si>
  <si>
    <t>P12955</t>
  </si>
  <si>
    <t>P12956</t>
  </si>
  <si>
    <t>P13010</t>
  </si>
  <si>
    <t>P13073</t>
  </si>
  <si>
    <t>P13196</t>
  </si>
  <si>
    <t>P13284</t>
  </si>
  <si>
    <t>P13489</t>
  </si>
  <si>
    <t>P13639</t>
  </si>
  <si>
    <t>P13640-2</t>
  </si>
  <si>
    <t>P13640</t>
  </si>
  <si>
    <t>P13647</t>
  </si>
  <si>
    <t>P13667</t>
  </si>
  <si>
    <t>P13671</t>
  </si>
  <si>
    <t>P13674</t>
  </si>
  <si>
    <t>P13693</t>
  </si>
  <si>
    <t>P13796</t>
  </si>
  <si>
    <t>P13797</t>
  </si>
  <si>
    <t>P13798</t>
  </si>
  <si>
    <t>P13804</t>
  </si>
  <si>
    <t>P13861</t>
  </si>
  <si>
    <t>P13929</t>
  </si>
  <si>
    <t>P13984</t>
  </si>
  <si>
    <t>P14174</t>
  </si>
  <si>
    <t>P14314-2</t>
  </si>
  <si>
    <t>P14317</t>
  </si>
  <si>
    <t>P14324-2</t>
  </si>
  <si>
    <t>P14550</t>
  </si>
  <si>
    <t>P14618</t>
  </si>
  <si>
    <t>P14621</t>
  </si>
  <si>
    <t>P14625</t>
  </si>
  <si>
    <t>P14735</t>
  </si>
  <si>
    <t>P14854</t>
  </si>
  <si>
    <t>P14866</t>
  </si>
  <si>
    <t>P14868</t>
  </si>
  <si>
    <t>P14920</t>
  </si>
  <si>
    <t>P14923</t>
  </si>
  <si>
    <t>P15104</t>
  </si>
  <si>
    <t>P15121</t>
  </si>
  <si>
    <t>P15144</t>
  </si>
  <si>
    <t>P15170-2</t>
  </si>
  <si>
    <t>P15289-2</t>
  </si>
  <si>
    <t>P15289</t>
  </si>
  <si>
    <t>P15311</t>
  </si>
  <si>
    <t>P15374</t>
  </si>
  <si>
    <t>P15428</t>
  </si>
  <si>
    <t>P15531</t>
  </si>
  <si>
    <t>P15735-2</t>
  </si>
  <si>
    <t>P15848</t>
  </si>
  <si>
    <t>P15924</t>
  </si>
  <si>
    <t>P15927</t>
  </si>
  <si>
    <t>P16118</t>
  </si>
  <si>
    <t>P16152</t>
  </si>
  <si>
    <t>P16219</t>
  </si>
  <si>
    <t>P16220-3</t>
  </si>
  <si>
    <t>P16278-3</t>
  </si>
  <si>
    <t>P16298-3</t>
  </si>
  <si>
    <t>P16333</t>
  </si>
  <si>
    <t>P16383-2</t>
  </si>
  <si>
    <t>P16401</t>
  </si>
  <si>
    <t>P16435</t>
  </si>
  <si>
    <t>P16455</t>
  </si>
  <si>
    <t>P16662</t>
  </si>
  <si>
    <t>P16885</t>
  </si>
  <si>
    <t>P16930</t>
  </si>
  <si>
    <t>P16949</t>
  </si>
  <si>
    <t>P16989-2</t>
  </si>
  <si>
    <t>P17029</t>
  </si>
  <si>
    <t>P17050</t>
  </si>
  <si>
    <t>P17066</t>
  </si>
  <si>
    <t>P17174</t>
  </si>
  <si>
    <t>P17516</t>
  </si>
  <si>
    <t>P17544-5</t>
  </si>
  <si>
    <t>P17612</t>
  </si>
  <si>
    <t>P17655</t>
  </si>
  <si>
    <t>P17735</t>
  </si>
  <si>
    <t>P17812</t>
  </si>
  <si>
    <t>P17858</t>
  </si>
  <si>
    <t>P17900</t>
  </si>
  <si>
    <t>P17931</t>
  </si>
  <si>
    <t>P17987</t>
  </si>
  <si>
    <t>P18065</t>
  </si>
  <si>
    <t>P18206-2</t>
  </si>
  <si>
    <t>P18283</t>
  </si>
  <si>
    <t>P18440</t>
  </si>
  <si>
    <t>P18510-4</t>
  </si>
  <si>
    <t>P18583-2</t>
  </si>
  <si>
    <t>P18621-2</t>
  </si>
  <si>
    <t>P18669</t>
  </si>
  <si>
    <t>P18827</t>
  </si>
  <si>
    <t>P18859</t>
  </si>
  <si>
    <t>P19105</t>
  </si>
  <si>
    <t>P19174</t>
  </si>
  <si>
    <t>P19338</t>
  </si>
  <si>
    <t>P19388</t>
  </si>
  <si>
    <t>P19404</t>
  </si>
  <si>
    <t>P19525-2</t>
  </si>
  <si>
    <t>P19623</t>
  </si>
  <si>
    <t>P19652</t>
  </si>
  <si>
    <t>P19784</t>
  </si>
  <si>
    <t>P19827</t>
  </si>
  <si>
    <t>P19838</t>
  </si>
  <si>
    <t>P19971</t>
  </si>
  <si>
    <t>P20042</t>
  </si>
  <si>
    <t>P20132</t>
  </si>
  <si>
    <t>P20290</t>
  </si>
  <si>
    <t>P20338</t>
  </si>
  <si>
    <t>P20340-2</t>
  </si>
  <si>
    <t>P20585</t>
  </si>
  <si>
    <t>P20591</t>
  </si>
  <si>
    <t>P20618</t>
  </si>
  <si>
    <t>P20674</t>
  </si>
  <si>
    <t>P20700</t>
  </si>
  <si>
    <t>P20711-3</t>
  </si>
  <si>
    <t>P20810-5</t>
  </si>
  <si>
    <t>P20810-6</t>
  </si>
  <si>
    <t>P20823-3</t>
  </si>
  <si>
    <t>P20930</t>
  </si>
  <si>
    <t>P20933</t>
  </si>
  <si>
    <t>P20936-2</t>
  </si>
  <si>
    <t>P20962</t>
  </si>
  <si>
    <t>P21266</t>
  </si>
  <si>
    <t>P21281</t>
  </si>
  <si>
    <t>P21283</t>
  </si>
  <si>
    <t>P21291</t>
  </si>
  <si>
    <t>P21399</t>
  </si>
  <si>
    <t>P21549</t>
  </si>
  <si>
    <t>P21695-2</t>
  </si>
  <si>
    <t>P21912</t>
  </si>
  <si>
    <t>P21953</t>
  </si>
  <si>
    <t>P21964-2</t>
  </si>
  <si>
    <t>P22033</t>
  </si>
  <si>
    <t>P22059</t>
  </si>
  <si>
    <t>P22061</t>
  </si>
  <si>
    <t>P22102</t>
  </si>
  <si>
    <t>P22234</t>
  </si>
  <si>
    <t>P22307-2</t>
  </si>
  <si>
    <t>P22307</t>
  </si>
  <si>
    <t>P22314</t>
  </si>
  <si>
    <t>P22392-2</t>
  </si>
  <si>
    <t>P22570</t>
  </si>
  <si>
    <t>P22626</t>
  </si>
  <si>
    <t>P22670</t>
  </si>
  <si>
    <t>P22694-4</t>
  </si>
  <si>
    <t>P22830</t>
  </si>
  <si>
    <t>P23141-3</t>
  </si>
  <si>
    <t>P23142-3</t>
  </si>
  <si>
    <t>P23193</t>
  </si>
  <si>
    <t>P23246</t>
  </si>
  <si>
    <t>P23284</t>
  </si>
  <si>
    <t>P23368</t>
  </si>
  <si>
    <t>P23378</t>
  </si>
  <si>
    <t>P23381</t>
  </si>
  <si>
    <t>P23396</t>
  </si>
  <si>
    <t>P23409</t>
  </si>
  <si>
    <t>P23434</t>
  </si>
  <si>
    <t>P23497</t>
  </si>
  <si>
    <t>P23508</t>
  </si>
  <si>
    <t>P23526</t>
  </si>
  <si>
    <t>P23528</t>
  </si>
  <si>
    <t>P23588</t>
  </si>
  <si>
    <t>P23786</t>
  </si>
  <si>
    <t>P23919</t>
  </si>
  <si>
    <t>P23921</t>
  </si>
  <si>
    <t>P24158</t>
  </si>
  <si>
    <t>P24298</t>
  </si>
  <si>
    <t>P24534</t>
  </si>
  <si>
    <t>P24666</t>
  </si>
  <si>
    <t>P24752</t>
  </si>
  <si>
    <t>P24941</t>
  </si>
  <si>
    <t>P25054-2</t>
  </si>
  <si>
    <t>P25311</t>
  </si>
  <si>
    <t>P25398</t>
  </si>
  <si>
    <t>P25685</t>
  </si>
  <si>
    <t>P25705</t>
  </si>
  <si>
    <t>P25774</t>
  </si>
  <si>
    <t>P25786</t>
  </si>
  <si>
    <t>P25787</t>
  </si>
  <si>
    <t>P25788-2</t>
  </si>
  <si>
    <t>P25789</t>
  </si>
  <si>
    <t>P26038</t>
  </si>
  <si>
    <t>P26196</t>
  </si>
  <si>
    <t>P26358</t>
  </si>
  <si>
    <t>P26368-2</t>
  </si>
  <si>
    <t>P26440</t>
  </si>
  <si>
    <t>P26447</t>
  </si>
  <si>
    <t>P26583</t>
  </si>
  <si>
    <t>P26599</t>
  </si>
  <si>
    <t>P26639</t>
  </si>
  <si>
    <t>P26640</t>
  </si>
  <si>
    <t>P26641</t>
  </si>
  <si>
    <t>P26885</t>
  </si>
  <si>
    <t>P26927</t>
  </si>
  <si>
    <t>P27144</t>
  </si>
  <si>
    <t>P27348</t>
  </si>
  <si>
    <t>P27540-2</t>
  </si>
  <si>
    <t>P27694</t>
  </si>
  <si>
    <t>P27695</t>
  </si>
  <si>
    <t>P27797</t>
  </si>
  <si>
    <t>P27816-6</t>
  </si>
  <si>
    <t>P27986</t>
  </si>
  <si>
    <t>P28062-2</t>
  </si>
  <si>
    <t>P28066</t>
  </si>
  <si>
    <t>P28070</t>
  </si>
  <si>
    <t>P28072</t>
  </si>
  <si>
    <t>P28074</t>
  </si>
  <si>
    <t>P28289</t>
  </si>
  <si>
    <t>P28330</t>
  </si>
  <si>
    <t>P28331</t>
  </si>
  <si>
    <t>P28332</t>
  </si>
  <si>
    <t>P28340</t>
  </si>
  <si>
    <t>P28482</t>
  </si>
  <si>
    <t>P28715</t>
  </si>
  <si>
    <t>P28799</t>
  </si>
  <si>
    <t>P28838</t>
  </si>
  <si>
    <t>P29144</t>
  </si>
  <si>
    <t>P29350</t>
  </si>
  <si>
    <t>P29353-7</t>
  </si>
  <si>
    <t>P29372-5</t>
  </si>
  <si>
    <t>P29401</t>
  </si>
  <si>
    <t>P29590</t>
  </si>
  <si>
    <t>P29622</t>
  </si>
  <si>
    <t>P29966</t>
  </si>
  <si>
    <t>P30038</t>
  </si>
  <si>
    <t>P30039</t>
  </si>
  <si>
    <t>P30040</t>
  </si>
  <si>
    <t>P30041</t>
  </si>
  <si>
    <t>P30042</t>
  </si>
  <si>
    <t>P30043</t>
  </si>
  <si>
    <t>P30044-2</t>
  </si>
  <si>
    <t>P30046</t>
  </si>
  <si>
    <t>P30047</t>
  </si>
  <si>
    <t>P30049</t>
  </si>
  <si>
    <t>P30084</t>
  </si>
  <si>
    <t>P30085</t>
  </si>
  <si>
    <t>P30086</t>
  </si>
  <si>
    <t>P30153</t>
  </si>
  <si>
    <t>P30154-4</t>
  </si>
  <si>
    <t>P30405</t>
  </si>
  <si>
    <t>P30414</t>
  </si>
  <si>
    <t>P30419</t>
  </si>
  <si>
    <t>P30520</t>
  </si>
  <si>
    <t>P30533</t>
  </si>
  <si>
    <t>P30566</t>
  </si>
  <si>
    <t>P30613-2</t>
  </si>
  <si>
    <t>P30622-2</t>
  </si>
  <si>
    <t>P30711</t>
  </si>
  <si>
    <t>P30740</t>
  </si>
  <si>
    <t>P30793</t>
  </si>
  <si>
    <t>P30837</t>
  </si>
  <si>
    <t>P31040</t>
  </si>
  <si>
    <t>P31146</t>
  </si>
  <si>
    <t>P31150</t>
  </si>
  <si>
    <t>P31153</t>
  </si>
  <si>
    <t>P31321</t>
  </si>
  <si>
    <t>P31327</t>
  </si>
  <si>
    <t>P31350</t>
  </si>
  <si>
    <t>P31689</t>
  </si>
  <si>
    <t>P31749</t>
  </si>
  <si>
    <t>P31751</t>
  </si>
  <si>
    <t>P31930</t>
  </si>
  <si>
    <t>P31937</t>
  </si>
  <si>
    <t>P31939</t>
  </si>
  <si>
    <t>P31942-2</t>
  </si>
  <si>
    <t>P31946-2</t>
  </si>
  <si>
    <t>P31947-2</t>
  </si>
  <si>
    <t>P31948</t>
  </si>
  <si>
    <t>P31949</t>
  </si>
  <si>
    <t>P32119</t>
  </si>
  <si>
    <t>P32189-1</t>
  </si>
  <si>
    <t>P32320</t>
  </si>
  <si>
    <t>P32321</t>
  </si>
  <si>
    <t>P32455</t>
  </si>
  <si>
    <t>P32456</t>
  </si>
  <si>
    <t>P32519-2</t>
  </si>
  <si>
    <t>P32754-2</t>
  </si>
  <si>
    <t>P32754</t>
  </si>
  <si>
    <t>P32929</t>
  </si>
  <si>
    <t>P33121</t>
  </si>
  <si>
    <t>P33176</t>
  </si>
  <si>
    <t>P33240-2</t>
  </si>
  <si>
    <t>P33241</t>
  </si>
  <si>
    <t>P33316-2</t>
  </si>
  <si>
    <t>P33316</t>
  </si>
  <si>
    <t>P33908</t>
  </si>
  <si>
    <t>P33991</t>
  </si>
  <si>
    <t>P33992</t>
  </si>
  <si>
    <t>P33993</t>
  </si>
  <si>
    <t>P34059</t>
  </si>
  <si>
    <t>P34896-2</t>
  </si>
  <si>
    <t>P34897-3</t>
  </si>
  <si>
    <t>P34913</t>
  </si>
  <si>
    <t>P34932</t>
  </si>
  <si>
    <t>P35030-2</t>
  </si>
  <si>
    <t>P35218</t>
  </si>
  <si>
    <t>P35221</t>
  </si>
  <si>
    <t>P35237</t>
  </si>
  <si>
    <t>P35240-4</t>
  </si>
  <si>
    <t>P35241</t>
  </si>
  <si>
    <t>P35251-2</t>
  </si>
  <si>
    <t>P35268</t>
  </si>
  <si>
    <t>P35270</t>
  </si>
  <si>
    <t>P35520</t>
  </si>
  <si>
    <t>P35558</t>
  </si>
  <si>
    <t>P35568</t>
  </si>
  <si>
    <t>P35573</t>
  </si>
  <si>
    <t>P35579</t>
  </si>
  <si>
    <t>P35580</t>
  </si>
  <si>
    <t>P35606</t>
  </si>
  <si>
    <t>P35611-2</t>
  </si>
  <si>
    <t>P35637-2</t>
  </si>
  <si>
    <t>P35658-2</t>
  </si>
  <si>
    <t>P35659</t>
  </si>
  <si>
    <t>P35754</t>
  </si>
  <si>
    <t>P35813</t>
  </si>
  <si>
    <t>P35914</t>
  </si>
  <si>
    <t>P35998</t>
  </si>
  <si>
    <t>P36405</t>
  </si>
  <si>
    <t>P36507</t>
  </si>
  <si>
    <t>P36543</t>
  </si>
  <si>
    <t>P36551</t>
  </si>
  <si>
    <t>P36871</t>
  </si>
  <si>
    <t>P36873</t>
  </si>
  <si>
    <t>P36915</t>
  </si>
  <si>
    <t>P36955</t>
  </si>
  <si>
    <t>P36957</t>
  </si>
  <si>
    <t>P36969-2</t>
  </si>
  <si>
    <t>P36980-2</t>
  </si>
  <si>
    <t>P37108</t>
  </si>
  <si>
    <t>P37198</t>
  </si>
  <si>
    <t>P37235</t>
  </si>
  <si>
    <t>P37802</t>
  </si>
  <si>
    <t>P37837</t>
  </si>
  <si>
    <t>P38117</t>
  </si>
  <si>
    <t>P38159</t>
  </si>
  <si>
    <t>P38432</t>
  </si>
  <si>
    <t>P38646</t>
  </si>
  <si>
    <t>P38919</t>
  </si>
  <si>
    <t>P39019</t>
  </si>
  <si>
    <t>P39748</t>
  </si>
  <si>
    <t>P40222</t>
  </si>
  <si>
    <t>P40227</t>
  </si>
  <si>
    <t>P40261</t>
  </si>
  <si>
    <t>P40306</t>
  </si>
  <si>
    <t>P40394</t>
  </si>
  <si>
    <t>P40763-2</t>
  </si>
  <si>
    <t>P40763</t>
  </si>
  <si>
    <t>P40818</t>
  </si>
  <si>
    <t>P40925</t>
  </si>
  <si>
    <t>P40926</t>
  </si>
  <si>
    <t>P40939</t>
  </si>
  <si>
    <t>P41091</t>
  </si>
  <si>
    <t>P41208</t>
  </si>
  <si>
    <t>P41226</t>
  </si>
  <si>
    <t>P41236</t>
  </si>
  <si>
    <t>P41240</t>
  </si>
  <si>
    <t>P41250</t>
  </si>
  <si>
    <t>P41252</t>
  </si>
  <si>
    <t>P41567</t>
  </si>
  <si>
    <t>P41743</t>
  </si>
  <si>
    <t>P42025</t>
  </si>
  <si>
    <t>P42126-2</t>
  </si>
  <si>
    <t>P42166</t>
  </si>
  <si>
    <t>P42167</t>
  </si>
  <si>
    <t>P42224-2</t>
  </si>
  <si>
    <t>P42226-3</t>
  </si>
  <si>
    <t>P42285</t>
  </si>
  <si>
    <t>P42330</t>
  </si>
  <si>
    <t>P42336</t>
  </si>
  <si>
    <t>P42338</t>
  </si>
  <si>
    <t>P42357</t>
  </si>
  <si>
    <t>P42566</t>
  </si>
  <si>
    <t>P42574</t>
  </si>
  <si>
    <t>P42704</t>
  </si>
  <si>
    <t>P42765</t>
  </si>
  <si>
    <t>P42768</t>
  </si>
  <si>
    <t>P42773</t>
  </si>
  <si>
    <t>P42785</t>
  </si>
  <si>
    <t>P42858</t>
  </si>
  <si>
    <t>P42898</t>
  </si>
  <si>
    <t>P43034</t>
  </si>
  <si>
    <t>P43155-2</t>
  </si>
  <si>
    <t>P43243</t>
  </si>
  <si>
    <t>P43246</t>
  </si>
  <si>
    <t>P43487</t>
  </si>
  <si>
    <t>P43490</t>
  </si>
  <si>
    <t>P43652</t>
  </si>
  <si>
    <t>P43686</t>
  </si>
  <si>
    <t>P43694</t>
  </si>
  <si>
    <t>P43897</t>
  </si>
  <si>
    <t>P45381</t>
  </si>
  <si>
    <t>P45954</t>
  </si>
  <si>
    <t>P45973</t>
  </si>
  <si>
    <t>P45974-2</t>
  </si>
  <si>
    <t>P45984-2</t>
  </si>
  <si>
    <t>P45985</t>
  </si>
  <si>
    <t>P46019</t>
  </si>
  <si>
    <t>P46060</t>
  </si>
  <si>
    <t>P46063</t>
  </si>
  <si>
    <t>P46087-2</t>
  </si>
  <si>
    <t>P46100-2</t>
  </si>
  <si>
    <t>P46108</t>
  </si>
  <si>
    <t>P46109</t>
  </si>
  <si>
    <t>P46199</t>
  </si>
  <si>
    <t>P46527</t>
  </si>
  <si>
    <t>P46734-2</t>
  </si>
  <si>
    <t>P46736-2</t>
  </si>
  <si>
    <t>P46777</t>
  </si>
  <si>
    <t>P46781</t>
  </si>
  <si>
    <t>P46783</t>
  </si>
  <si>
    <t>P46926</t>
  </si>
  <si>
    <t>P46937</t>
  </si>
  <si>
    <t>P46939</t>
  </si>
  <si>
    <t>P46940</t>
  </si>
  <si>
    <t>P46952</t>
  </si>
  <si>
    <t>P46976-2</t>
  </si>
  <si>
    <t>P47224</t>
  </si>
  <si>
    <t>P47755</t>
  </si>
  <si>
    <t>P47813</t>
  </si>
  <si>
    <t>P47897</t>
  </si>
  <si>
    <t>P47914</t>
  </si>
  <si>
    <t>P47985</t>
  </si>
  <si>
    <t>P47989</t>
  </si>
  <si>
    <t>P48059</t>
  </si>
  <si>
    <t>P48147</t>
  </si>
  <si>
    <t>P48163</t>
  </si>
  <si>
    <t>P48200</t>
  </si>
  <si>
    <t>P48444</t>
  </si>
  <si>
    <t>P48449-3</t>
  </si>
  <si>
    <t>P48506</t>
  </si>
  <si>
    <t>P48507</t>
  </si>
  <si>
    <t>P48634</t>
  </si>
  <si>
    <t>P48637</t>
  </si>
  <si>
    <t>P48643</t>
  </si>
  <si>
    <t>P48728</t>
  </si>
  <si>
    <t>P48730-2</t>
  </si>
  <si>
    <t>P48735</t>
  </si>
  <si>
    <t>P48739</t>
  </si>
  <si>
    <t>P49006</t>
  </si>
  <si>
    <t>P49189</t>
  </si>
  <si>
    <t>P49321</t>
  </si>
  <si>
    <t>P49326</t>
  </si>
  <si>
    <t>P49327</t>
  </si>
  <si>
    <t>P49354</t>
  </si>
  <si>
    <t>P49366</t>
  </si>
  <si>
    <t>P49368</t>
  </si>
  <si>
    <t>P49407-2</t>
  </si>
  <si>
    <t>P49411</t>
  </si>
  <si>
    <t>P49419-2</t>
  </si>
  <si>
    <t>P49427</t>
  </si>
  <si>
    <t>P49441</t>
  </si>
  <si>
    <t>P49448</t>
  </si>
  <si>
    <t>P49458</t>
  </si>
  <si>
    <t>P49459</t>
  </si>
  <si>
    <t>P49588</t>
  </si>
  <si>
    <t>P49589-3</t>
  </si>
  <si>
    <t>P49591</t>
  </si>
  <si>
    <t>P49638</t>
  </si>
  <si>
    <t>P49662</t>
  </si>
  <si>
    <t>P49720</t>
  </si>
  <si>
    <t>P49721</t>
  </si>
  <si>
    <t>P49736</t>
  </si>
  <si>
    <t>P49748</t>
  </si>
  <si>
    <t>P49750-4</t>
  </si>
  <si>
    <t>P49756</t>
  </si>
  <si>
    <t>P49757-4</t>
  </si>
  <si>
    <t>P49770</t>
  </si>
  <si>
    <t>P49773</t>
  </si>
  <si>
    <t>P49789</t>
  </si>
  <si>
    <t>P49790</t>
  </si>
  <si>
    <t>P49792</t>
  </si>
  <si>
    <t>P49821-2</t>
  </si>
  <si>
    <t>P49840</t>
  </si>
  <si>
    <t>P49841</t>
  </si>
  <si>
    <t>P49888</t>
  </si>
  <si>
    <t>P49902</t>
  </si>
  <si>
    <t>P49903</t>
  </si>
  <si>
    <t>P49914</t>
  </si>
  <si>
    <t>P49959</t>
  </si>
  <si>
    <t>P50053-2</t>
  </si>
  <si>
    <t>P50053</t>
  </si>
  <si>
    <t>P50135</t>
  </si>
  <si>
    <t>P50225</t>
  </si>
  <si>
    <t>P50226</t>
  </si>
  <si>
    <t>P50395</t>
  </si>
  <si>
    <t>P50402</t>
  </si>
  <si>
    <t>P50440</t>
  </si>
  <si>
    <t>P50452</t>
  </si>
  <si>
    <t>P50453</t>
  </si>
  <si>
    <t>P50454</t>
  </si>
  <si>
    <t>P50502</t>
  </si>
  <si>
    <t>P50542-2</t>
  </si>
  <si>
    <t>P50552</t>
  </si>
  <si>
    <t>P50570-2</t>
  </si>
  <si>
    <t>P50583</t>
  </si>
  <si>
    <t>P50747</t>
  </si>
  <si>
    <t>P50748</t>
  </si>
  <si>
    <t>P50897</t>
  </si>
  <si>
    <t>P50990</t>
  </si>
  <si>
    <t>P50991</t>
  </si>
  <si>
    <t>P51114-3</t>
  </si>
  <si>
    <t>P51116</t>
  </si>
  <si>
    <t>P51148</t>
  </si>
  <si>
    <t>P51149</t>
  </si>
  <si>
    <t>P51151</t>
  </si>
  <si>
    <t>P51153</t>
  </si>
  <si>
    <t>P51398-2</t>
  </si>
  <si>
    <t>P51452</t>
  </si>
  <si>
    <t>P51532-5</t>
  </si>
  <si>
    <t>P51553</t>
  </si>
  <si>
    <t>P51570</t>
  </si>
  <si>
    <t>P51580</t>
  </si>
  <si>
    <t>P51608</t>
  </si>
  <si>
    <t>P51610-4</t>
  </si>
  <si>
    <t>P51649</t>
  </si>
  <si>
    <t>P51659</t>
  </si>
  <si>
    <t>P51665</t>
  </si>
  <si>
    <t>P51687</t>
  </si>
  <si>
    <t>P51688</t>
  </si>
  <si>
    <t>P51692</t>
  </si>
  <si>
    <t>P51857</t>
  </si>
  <si>
    <t>P51858</t>
  </si>
  <si>
    <t>P51991</t>
  </si>
  <si>
    <t>P52272-2</t>
  </si>
  <si>
    <t>P52294</t>
  </si>
  <si>
    <t>P52306</t>
  </si>
  <si>
    <t>P52594-2</t>
  </si>
  <si>
    <t>P52597</t>
  </si>
  <si>
    <t>P52630-4</t>
  </si>
  <si>
    <t>P52735-3</t>
  </si>
  <si>
    <t>P52758</t>
  </si>
  <si>
    <t>P52788</t>
  </si>
  <si>
    <t>P52790</t>
  </si>
  <si>
    <t>P52815</t>
  </si>
  <si>
    <t>P52888</t>
  </si>
  <si>
    <t>P52907</t>
  </si>
  <si>
    <t>P52943</t>
  </si>
  <si>
    <t>P53004</t>
  </si>
  <si>
    <t>P53367</t>
  </si>
  <si>
    <t>P53370</t>
  </si>
  <si>
    <t>P53384-2</t>
  </si>
  <si>
    <t>P53396</t>
  </si>
  <si>
    <t>P53597</t>
  </si>
  <si>
    <t>P53602</t>
  </si>
  <si>
    <t>P53609</t>
  </si>
  <si>
    <t>P53611</t>
  </si>
  <si>
    <t>P53618</t>
  </si>
  <si>
    <t>P53621</t>
  </si>
  <si>
    <t>P53634</t>
  </si>
  <si>
    <t>P53675-2</t>
  </si>
  <si>
    <t>P53680</t>
  </si>
  <si>
    <t>P53999</t>
  </si>
  <si>
    <t>P54136</t>
  </si>
  <si>
    <t>P54278-4</t>
  </si>
  <si>
    <t>P54577</t>
  </si>
  <si>
    <t>P54578-2</t>
  </si>
  <si>
    <t>P54619-2</t>
  </si>
  <si>
    <t>P54727</t>
  </si>
  <si>
    <t>P54802</t>
  </si>
  <si>
    <t>P54819-5</t>
  </si>
  <si>
    <t>P54840</t>
  </si>
  <si>
    <t>P54868</t>
  </si>
  <si>
    <t>P54886-2</t>
  </si>
  <si>
    <t>P54920</t>
  </si>
  <si>
    <t>P55008</t>
  </si>
  <si>
    <t>P55010</t>
  </si>
  <si>
    <t>P55036</t>
  </si>
  <si>
    <t>P55039</t>
  </si>
  <si>
    <t>P55058</t>
  </si>
  <si>
    <t>P55060-3</t>
  </si>
  <si>
    <t>P55072</t>
  </si>
  <si>
    <t>P55081</t>
  </si>
  <si>
    <t>P55145</t>
  </si>
  <si>
    <t>P55157</t>
  </si>
  <si>
    <t>P55196</t>
  </si>
  <si>
    <t>P55210</t>
  </si>
  <si>
    <t>P55212</t>
  </si>
  <si>
    <t>P55263</t>
  </si>
  <si>
    <t>P55265-5</t>
  </si>
  <si>
    <t>P55268</t>
  </si>
  <si>
    <t>P55735</t>
  </si>
  <si>
    <t>P55769</t>
  </si>
  <si>
    <t>P55795</t>
  </si>
  <si>
    <t>P55854</t>
  </si>
  <si>
    <t>P55884</t>
  </si>
  <si>
    <t>P56181-2</t>
  </si>
  <si>
    <t>P56192</t>
  </si>
  <si>
    <t>P56199</t>
  </si>
  <si>
    <t>P56211-2</t>
  </si>
  <si>
    <t>P56277</t>
  </si>
  <si>
    <t>P56470</t>
  </si>
  <si>
    <t>P56537</t>
  </si>
  <si>
    <t>P57076</t>
  </si>
  <si>
    <t>P57737-2</t>
  </si>
  <si>
    <t>P57740</t>
  </si>
  <si>
    <t>P57764</t>
  </si>
  <si>
    <t>P57772</t>
  </si>
  <si>
    <t>P58546</t>
  </si>
  <si>
    <t>P59666</t>
  </si>
  <si>
    <t>P59998</t>
  </si>
  <si>
    <t>P60174-1</t>
  </si>
  <si>
    <t>P60228</t>
  </si>
  <si>
    <t>P60468</t>
  </si>
  <si>
    <t>P60510</t>
  </si>
  <si>
    <t>P60763</t>
  </si>
  <si>
    <t>P60842</t>
  </si>
  <si>
    <t>P60866</t>
  </si>
  <si>
    <t>P60891</t>
  </si>
  <si>
    <t>P60900</t>
  </si>
  <si>
    <t>P60953</t>
  </si>
  <si>
    <t>P60981</t>
  </si>
  <si>
    <t>P60983</t>
  </si>
  <si>
    <t>P61006</t>
  </si>
  <si>
    <t>P61011-2</t>
  </si>
  <si>
    <t>P61019</t>
  </si>
  <si>
    <t>P61020</t>
  </si>
  <si>
    <t>P61026</t>
  </si>
  <si>
    <t>P61077</t>
  </si>
  <si>
    <t>P61081</t>
  </si>
  <si>
    <t>P61086</t>
  </si>
  <si>
    <t>P61088</t>
  </si>
  <si>
    <t>P61106</t>
  </si>
  <si>
    <t>P61158</t>
  </si>
  <si>
    <t>P61160</t>
  </si>
  <si>
    <t>P61163</t>
  </si>
  <si>
    <t>P61201</t>
  </si>
  <si>
    <t>P61221</t>
  </si>
  <si>
    <t>P61224-3</t>
  </si>
  <si>
    <t>P61247</t>
  </si>
  <si>
    <t>P61289</t>
  </si>
  <si>
    <t>P61326</t>
  </si>
  <si>
    <t>P61353</t>
  </si>
  <si>
    <t>P61457</t>
  </si>
  <si>
    <t>P61586</t>
  </si>
  <si>
    <t>P61604</t>
  </si>
  <si>
    <t>P61758</t>
  </si>
  <si>
    <t>P61923</t>
  </si>
  <si>
    <t>P61956-2</t>
  </si>
  <si>
    <t>P61964</t>
  </si>
  <si>
    <t>P61966</t>
  </si>
  <si>
    <t>P61970</t>
  </si>
  <si>
    <t>P61978-3</t>
  </si>
  <si>
    <t>P61981</t>
  </si>
  <si>
    <t>P62070</t>
  </si>
  <si>
    <t>P62072</t>
  </si>
  <si>
    <t>P62136</t>
  </si>
  <si>
    <t>P62140</t>
  </si>
  <si>
    <t>P62158</t>
  </si>
  <si>
    <t>P62191</t>
  </si>
  <si>
    <t>P62195-2</t>
  </si>
  <si>
    <t>P62241</t>
  </si>
  <si>
    <t>P62258</t>
  </si>
  <si>
    <t>P62263</t>
  </si>
  <si>
    <t>P62269</t>
  </si>
  <si>
    <t>P62277</t>
  </si>
  <si>
    <t>P62280</t>
  </si>
  <si>
    <t>P62304</t>
  </si>
  <si>
    <t>P62308</t>
  </si>
  <si>
    <t>P62310</t>
  </si>
  <si>
    <t>P62312</t>
  </si>
  <si>
    <t>P62316</t>
  </si>
  <si>
    <t>P62328</t>
  </si>
  <si>
    <t>P62330</t>
  </si>
  <si>
    <t>P62333</t>
  </si>
  <si>
    <t>P62633-2</t>
  </si>
  <si>
    <t>P62701</t>
  </si>
  <si>
    <t>P62714</t>
  </si>
  <si>
    <t>P62750</t>
  </si>
  <si>
    <t>P62753</t>
  </si>
  <si>
    <t>P62760</t>
  </si>
  <si>
    <t>P62805</t>
  </si>
  <si>
    <t>P62820</t>
  </si>
  <si>
    <t>P62826</t>
  </si>
  <si>
    <t>P62837</t>
  </si>
  <si>
    <t>P62857</t>
  </si>
  <si>
    <t>P62942</t>
  </si>
  <si>
    <t>P62993</t>
  </si>
  <si>
    <t>P62995-3</t>
  </si>
  <si>
    <t>P63000</t>
  </si>
  <si>
    <t>P63010</t>
  </si>
  <si>
    <t>P63104</t>
  </si>
  <si>
    <t>P63151</t>
  </si>
  <si>
    <t>P63167</t>
  </si>
  <si>
    <t>P63173</t>
  </si>
  <si>
    <t>P63244</t>
  </si>
  <si>
    <t>P63261</t>
  </si>
  <si>
    <t>P63302</t>
  </si>
  <si>
    <t>P63313</t>
  </si>
  <si>
    <t>P67775</t>
  </si>
  <si>
    <t>P67809</t>
  </si>
  <si>
    <t>P67870</t>
  </si>
  <si>
    <t>P67936</t>
  </si>
  <si>
    <t>P68036</t>
  </si>
  <si>
    <t>P68133</t>
  </si>
  <si>
    <t>P68363</t>
  </si>
  <si>
    <t>P68371</t>
  </si>
  <si>
    <t>P68402</t>
  </si>
  <si>
    <t>P78314</t>
  </si>
  <si>
    <t>P78318</t>
  </si>
  <si>
    <t>P78329</t>
  </si>
  <si>
    <t>P78347-2</t>
  </si>
  <si>
    <t>P78371</t>
  </si>
  <si>
    <t>P78406</t>
  </si>
  <si>
    <t>P78417</t>
  </si>
  <si>
    <t>P78524</t>
  </si>
  <si>
    <t>P78527</t>
  </si>
  <si>
    <t>P78560</t>
  </si>
  <si>
    <t>P80188-2</t>
  </si>
  <si>
    <t>P80217</t>
  </si>
  <si>
    <t>P80294</t>
  </si>
  <si>
    <t>P80303-2</t>
  </si>
  <si>
    <t>P80404</t>
  </si>
  <si>
    <t>P80723</t>
  </si>
  <si>
    <t>P81605</t>
  </si>
  <si>
    <t>P82094</t>
  </si>
  <si>
    <t>P82673-2</t>
  </si>
  <si>
    <t>P82675</t>
  </si>
  <si>
    <t>P82909</t>
  </si>
  <si>
    <t>P82912-3</t>
  </si>
  <si>
    <t>P82914</t>
  </si>
  <si>
    <t>P82930</t>
  </si>
  <si>
    <t>P82933</t>
  </si>
  <si>
    <t>P82979</t>
  </si>
  <si>
    <t>P82980</t>
  </si>
  <si>
    <t>P83436</t>
  </si>
  <si>
    <t>P83876</t>
  </si>
  <si>
    <t>P84077</t>
  </si>
  <si>
    <t>P84090</t>
  </si>
  <si>
    <t>P84101-4</t>
  </si>
  <si>
    <t>P86791</t>
  </si>
  <si>
    <t>P98160</t>
  </si>
  <si>
    <t>P98170</t>
  </si>
  <si>
    <t>P98175-4</t>
  </si>
  <si>
    <t>P98179</t>
  </si>
  <si>
    <t>Q00059</t>
  </si>
  <si>
    <t>Q00169</t>
  </si>
  <si>
    <t>Q00266</t>
  </si>
  <si>
    <t>Q00341</t>
  </si>
  <si>
    <t>Q00403</t>
  </si>
  <si>
    <t>Q00535</t>
  </si>
  <si>
    <t>Q00577</t>
  </si>
  <si>
    <t>Q00610-2</t>
  </si>
  <si>
    <t>Q00653</t>
  </si>
  <si>
    <t>Q00688</t>
  </si>
  <si>
    <t>Q00765</t>
  </si>
  <si>
    <t>Q00796</t>
  </si>
  <si>
    <t>Q00839</t>
  </si>
  <si>
    <t>Q00G26</t>
  </si>
  <si>
    <t>Q01081</t>
  </si>
  <si>
    <t>Q01082-3</t>
  </si>
  <si>
    <t>Q01082</t>
  </si>
  <si>
    <t>Q01085-2</t>
  </si>
  <si>
    <t>Q01105</t>
  </si>
  <si>
    <t>Q01415</t>
  </si>
  <si>
    <t>Q01433-2</t>
  </si>
  <si>
    <t>Q01459</t>
  </si>
  <si>
    <t>Q01469</t>
  </si>
  <si>
    <t>Q01518-2</t>
  </si>
  <si>
    <t>Q01581</t>
  </si>
  <si>
    <t>Q01658</t>
  </si>
  <si>
    <t>Q01804</t>
  </si>
  <si>
    <t>Q01844-6</t>
  </si>
  <si>
    <t>Q01968-2</t>
  </si>
  <si>
    <t>Q01970-2</t>
  </si>
  <si>
    <t>Q01995</t>
  </si>
  <si>
    <t>Q02083-2</t>
  </si>
  <si>
    <t>Q02252</t>
  </si>
  <si>
    <t>Q02318</t>
  </si>
  <si>
    <t>Q02325</t>
  </si>
  <si>
    <t>Q02410</t>
  </si>
  <si>
    <t>Q02487</t>
  </si>
  <si>
    <t>Q02750</t>
  </si>
  <si>
    <t>Q02790</t>
  </si>
  <si>
    <t>Q02818</t>
  </si>
  <si>
    <t>Q02928</t>
  </si>
  <si>
    <t>Q03001-8</t>
  </si>
  <si>
    <t>Q03013-2</t>
  </si>
  <si>
    <t>Q03154</t>
  </si>
  <si>
    <t>Q03169</t>
  </si>
  <si>
    <t>Q03393</t>
  </si>
  <si>
    <t>Q04446</t>
  </si>
  <si>
    <t>Q04637-5</t>
  </si>
  <si>
    <t>Q04724</t>
  </si>
  <si>
    <t>Q04760</t>
  </si>
  <si>
    <t>Q04828</t>
  </si>
  <si>
    <t>Q04837</t>
  </si>
  <si>
    <t>Q04917</t>
  </si>
  <si>
    <t>Q05048</t>
  </si>
  <si>
    <t>Q05086-2</t>
  </si>
  <si>
    <t>Q05682-5</t>
  </si>
  <si>
    <t>Q06033-2</t>
  </si>
  <si>
    <t>Q06124-2</t>
  </si>
  <si>
    <t>Q06203</t>
  </si>
  <si>
    <t>Q06210-2</t>
  </si>
  <si>
    <t>Q06278</t>
  </si>
  <si>
    <t>Q06323</t>
  </si>
  <si>
    <t>Q06520</t>
  </si>
  <si>
    <t>Q06787-8</t>
  </si>
  <si>
    <t>Q07021</t>
  </si>
  <si>
    <t>Q07065</t>
  </si>
  <si>
    <t>Q07157</t>
  </si>
  <si>
    <t>Q07283</t>
  </si>
  <si>
    <t>Q07666</t>
  </si>
  <si>
    <t>Q07812-5</t>
  </si>
  <si>
    <t>Q07954</t>
  </si>
  <si>
    <t>Q07955</t>
  </si>
  <si>
    <t>Q07960</t>
  </si>
  <si>
    <t>Q08170</t>
  </si>
  <si>
    <t>Q08209-2</t>
  </si>
  <si>
    <t>Q08211</t>
  </si>
  <si>
    <t>Q08257</t>
  </si>
  <si>
    <t>Q08378</t>
  </si>
  <si>
    <t>Q08379</t>
  </si>
  <si>
    <t>Q08380</t>
  </si>
  <si>
    <t>Q08426-2</t>
  </si>
  <si>
    <t>Q08426</t>
  </si>
  <si>
    <t>Q08554-2</t>
  </si>
  <si>
    <t>Q08752</t>
  </si>
  <si>
    <t>Q08830</t>
  </si>
  <si>
    <t>Q08AG7</t>
  </si>
  <si>
    <t>Q08AH3</t>
  </si>
  <si>
    <t>Q08AM6</t>
  </si>
  <si>
    <t>Q08J23-2</t>
  </si>
  <si>
    <t>Q09028-3</t>
  </si>
  <si>
    <t>Q09161</t>
  </si>
  <si>
    <t>Q09472</t>
  </si>
  <si>
    <t>Q09666</t>
  </si>
  <si>
    <t>Q0JRZ9</t>
  </si>
  <si>
    <t>Q0PNE2</t>
  </si>
  <si>
    <t>Q0VDF9</t>
  </si>
  <si>
    <t>Q0VDG4-2</t>
  </si>
  <si>
    <t>Q0VF96</t>
  </si>
  <si>
    <t>Q10567-2</t>
  </si>
  <si>
    <t>Q10567-3</t>
  </si>
  <si>
    <t>Q10713</t>
  </si>
  <si>
    <t>Q12769</t>
  </si>
  <si>
    <t>Q12774</t>
  </si>
  <si>
    <t>Q12792</t>
  </si>
  <si>
    <t>Q12794-3</t>
  </si>
  <si>
    <t>Q12802-4</t>
  </si>
  <si>
    <t>Q12846</t>
  </si>
  <si>
    <t>Q12874</t>
  </si>
  <si>
    <t>Q12882</t>
  </si>
  <si>
    <t>Q12904</t>
  </si>
  <si>
    <t>Q12905</t>
  </si>
  <si>
    <t>Q12906-4</t>
  </si>
  <si>
    <t>Q12959-5</t>
  </si>
  <si>
    <t>Q12965</t>
  </si>
  <si>
    <t>Q12972</t>
  </si>
  <si>
    <t>Q12974</t>
  </si>
  <si>
    <t>Q12986-2</t>
  </si>
  <si>
    <t>Q12996</t>
  </si>
  <si>
    <t>Q13011</t>
  </si>
  <si>
    <t>Q13017-2</t>
  </si>
  <si>
    <t>Q13033-2</t>
  </si>
  <si>
    <t>Q13045-2</t>
  </si>
  <si>
    <t>Q13045</t>
  </si>
  <si>
    <t>Q13057</t>
  </si>
  <si>
    <t>Q13085-3</t>
  </si>
  <si>
    <t>Q13107-2</t>
  </si>
  <si>
    <t>Q13123</t>
  </si>
  <si>
    <t>Q13126</t>
  </si>
  <si>
    <t>Q13131-2</t>
  </si>
  <si>
    <t>Q13136-2</t>
  </si>
  <si>
    <t>Q13148</t>
  </si>
  <si>
    <t>Q13151</t>
  </si>
  <si>
    <t>Q13153</t>
  </si>
  <si>
    <t>Q13155</t>
  </si>
  <si>
    <t>Q13158</t>
  </si>
  <si>
    <t>Q13162</t>
  </si>
  <si>
    <t>Q13177</t>
  </si>
  <si>
    <t>Q13185</t>
  </si>
  <si>
    <t>Q13188</t>
  </si>
  <si>
    <t>Q13200</t>
  </si>
  <si>
    <t>Q13206</t>
  </si>
  <si>
    <t>Q13217</t>
  </si>
  <si>
    <t>Q13228</t>
  </si>
  <si>
    <t>Q13232</t>
  </si>
  <si>
    <t>Q13243-3</t>
  </si>
  <si>
    <t>Q13247-3</t>
  </si>
  <si>
    <t>Q13263</t>
  </si>
  <si>
    <t>Q13283</t>
  </si>
  <si>
    <t>Q13287</t>
  </si>
  <si>
    <t>Q13310-3</t>
  </si>
  <si>
    <t>Q13315</t>
  </si>
  <si>
    <t>Q13325</t>
  </si>
  <si>
    <t>Q13330-3</t>
  </si>
  <si>
    <t>Q13347</t>
  </si>
  <si>
    <t>Q13363-2</t>
  </si>
  <si>
    <t>Q13404</t>
  </si>
  <si>
    <t>Q13409-6</t>
  </si>
  <si>
    <t>Q13418</t>
  </si>
  <si>
    <t>Q13423</t>
  </si>
  <si>
    <t>Q13426-2</t>
  </si>
  <si>
    <t>Q13428</t>
  </si>
  <si>
    <t>Q13435</t>
  </si>
  <si>
    <t>Q13442</t>
  </si>
  <si>
    <t>Q13451</t>
  </si>
  <si>
    <t>Q13464</t>
  </si>
  <si>
    <t>Q13492-3</t>
  </si>
  <si>
    <t>Q13496</t>
  </si>
  <si>
    <t>Q13501-2</t>
  </si>
  <si>
    <t>Q13509</t>
  </si>
  <si>
    <t>Q13522</t>
  </si>
  <si>
    <t>Q13526</t>
  </si>
  <si>
    <t>Q13541</t>
  </si>
  <si>
    <t>Q13546</t>
  </si>
  <si>
    <t>Q13547</t>
  </si>
  <si>
    <t>Q13557-8</t>
  </si>
  <si>
    <t>Q13561</t>
  </si>
  <si>
    <t>Q13573</t>
  </si>
  <si>
    <t>Q13576</t>
  </si>
  <si>
    <t>Q13596</t>
  </si>
  <si>
    <t>Q13608</t>
  </si>
  <si>
    <t>Q13610</t>
  </si>
  <si>
    <t>Q13616</t>
  </si>
  <si>
    <t>Q13617</t>
  </si>
  <si>
    <t>Q13618-2</t>
  </si>
  <si>
    <t>Q13619</t>
  </si>
  <si>
    <t>Q13620-1</t>
  </si>
  <si>
    <t>Q13630</t>
  </si>
  <si>
    <t>Q13642-1</t>
  </si>
  <si>
    <t>Q13796</t>
  </si>
  <si>
    <t>Q13813-2</t>
  </si>
  <si>
    <t>Q13813</t>
  </si>
  <si>
    <t>Q13825</t>
  </si>
  <si>
    <t>Q13838</t>
  </si>
  <si>
    <t>Q13867</t>
  </si>
  <si>
    <t>Q13884</t>
  </si>
  <si>
    <t>Q13885</t>
  </si>
  <si>
    <t>Q13907</t>
  </si>
  <si>
    <t>Q13951-2</t>
  </si>
  <si>
    <t>Q14008-2</t>
  </si>
  <si>
    <t>Q14012</t>
  </si>
  <si>
    <t>Q14019</t>
  </si>
  <si>
    <t>Q14032</t>
  </si>
  <si>
    <t>Q14061</t>
  </si>
  <si>
    <t>Q14103-3</t>
  </si>
  <si>
    <t>Q14116-2</t>
  </si>
  <si>
    <t>Q14117</t>
  </si>
  <si>
    <t>Q14118</t>
  </si>
  <si>
    <t>Q14126</t>
  </si>
  <si>
    <t>Q14137</t>
  </si>
  <si>
    <t>Q14139</t>
  </si>
  <si>
    <t>Q14141-2</t>
  </si>
  <si>
    <t>Q14151</t>
  </si>
  <si>
    <t>Q14152</t>
  </si>
  <si>
    <t>Q14157</t>
  </si>
  <si>
    <t>Q14160-2</t>
  </si>
  <si>
    <t>Q14161-3</t>
  </si>
  <si>
    <t>Q14166</t>
  </si>
  <si>
    <t>Q14192</t>
  </si>
  <si>
    <t>Q14203-3</t>
  </si>
  <si>
    <t>Q14204</t>
  </si>
  <si>
    <t>Q14232</t>
  </si>
  <si>
    <t>Q14240</t>
  </si>
  <si>
    <t>Q14241</t>
  </si>
  <si>
    <t>Q14244-3</t>
  </si>
  <si>
    <t>Q14247</t>
  </si>
  <si>
    <t>Q14258</t>
  </si>
  <si>
    <t>Q14318-2</t>
  </si>
  <si>
    <t>Q14320</t>
  </si>
  <si>
    <t>Q14353</t>
  </si>
  <si>
    <t>Q14376</t>
  </si>
  <si>
    <t>Q14397</t>
  </si>
  <si>
    <t>Q14410</t>
  </si>
  <si>
    <t>Q14444-2</t>
  </si>
  <si>
    <t>Q14498-2</t>
  </si>
  <si>
    <t>Q14520-2</t>
  </si>
  <si>
    <t>Q14554</t>
  </si>
  <si>
    <t>Q14558</t>
  </si>
  <si>
    <t>Q14566</t>
  </si>
  <si>
    <t>Q14624</t>
  </si>
  <si>
    <t>Q14651</t>
  </si>
  <si>
    <t>Q14653</t>
  </si>
  <si>
    <t>Q14657</t>
  </si>
  <si>
    <t>Q14669</t>
  </si>
  <si>
    <t>Q14676-4</t>
  </si>
  <si>
    <t>Q14677</t>
  </si>
  <si>
    <t>Q14678-2</t>
  </si>
  <si>
    <t>Q14683</t>
  </si>
  <si>
    <t>Q14689-6</t>
  </si>
  <si>
    <t>Q14694</t>
  </si>
  <si>
    <t>Q14696</t>
  </si>
  <si>
    <t>Q14697</t>
  </si>
  <si>
    <t>Q14749</t>
  </si>
  <si>
    <t>Q14789</t>
  </si>
  <si>
    <t>Q14790-8</t>
  </si>
  <si>
    <t>Q147X3</t>
  </si>
  <si>
    <t>Q14847</t>
  </si>
  <si>
    <t>Q14894</t>
  </si>
  <si>
    <t>Q14914-2</t>
  </si>
  <si>
    <t>Q14966</t>
  </si>
  <si>
    <t>Q14974</t>
  </si>
  <si>
    <t>Q14978</t>
  </si>
  <si>
    <t>Q14980-2</t>
  </si>
  <si>
    <t>Q14997</t>
  </si>
  <si>
    <t>Q14CX7-2</t>
  </si>
  <si>
    <t>Q15007</t>
  </si>
  <si>
    <t>Q15008</t>
  </si>
  <si>
    <t>Q15018</t>
  </si>
  <si>
    <t>Q15020</t>
  </si>
  <si>
    <t>Q15024</t>
  </si>
  <si>
    <t>Q15029-2</t>
  </si>
  <si>
    <t>Q15036-2</t>
  </si>
  <si>
    <t>Q15046</t>
  </si>
  <si>
    <t>Q15056-2</t>
  </si>
  <si>
    <t>Q15057</t>
  </si>
  <si>
    <t>Q15059</t>
  </si>
  <si>
    <t>Q15067-2</t>
  </si>
  <si>
    <t>Q15075</t>
  </si>
  <si>
    <t>Q15102</t>
  </si>
  <si>
    <t>Q15118</t>
  </si>
  <si>
    <t>Q15119</t>
  </si>
  <si>
    <t>Q15120</t>
  </si>
  <si>
    <t>Q15126</t>
  </si>
  <si>
    <t>Q15149-8</t>
  </si>
  <si>
    <t>Q15170-2</t>
  </si>
  <si>
    <t>Q15172</t>
  </si>
  <si>
    <t>Q15181</t>
  </si>
  <si>
    <t>Q15208</t>
  </si>
  <si>
    <t>Q15233-2</t>
  </si>
  <si>
    <t>Q15257-2</t>
  </si>
  <si>
    <t>Q15257</t>
  </si>
  <si>
    <t>Q15262</t>
  </si>
  <si>
    <t>Q15274</t>
  </si>
  <si>
    <t>Q15276</t>
  </si>
  <si>
    <t>Q15291</t>
  </si>
  <si>
    <t>Q15293</t>
  </si>
  <si>
    <t>Q15311</t>
  </si>
  <si>
    <t>Q15345</t>
  </si>
  <si>
    <t>Q15365</t>
  </si>
  <si>
    <t>Q15382</t>
  </si>
  <si>
    <t>Q15386</t>
  </si>
  <si>
    <t>Q15393</t>
  </si>
  <si>
    <t>Q15404</t>
  </si>
  <si>
    <t>Q15417</t>
  </si>
  <si>
    <t>Q15424</t>
  </si>
  <si>
    <t>Q15435</t>
  </si>
  <si>
    <t>Q15437</t>
  </si>
  <si>
    <t>Q15459</t>
  </si>
  <si>
    <t>Q15477</t>
  </si>
  <si>
    <t>Q15493</t>
  </si>
  <si>
    <t>Q15526-2</t>
  </si>
  <si>
    <t>Q15554</t>
  </si>
  <si>
    <t>Q15555-4</t>
  </si>
  <si>
    <t>Q15596</t>
  </si>
  <si>
    <t>Q15599</t>
  </si>
  <si>
    <t>Q15633-2</t>
  </si>
  <si>
    <t>Q15637-5</t>
  </si>
  <si>
    <t>Q15642</t>
  </si>
  <si>
    <t>Q15643</t>
  </si>
  <si>
    <t>Q15652-2</t>
  </si>
  <si>
    <t>Q15654</t>
  </si>
  <si>
    <t>Q15691</t>
  </si>
  <si>
    <t>Q15714-2</t>
  </si>
  <si>
    <t>Q15717</t>
  </si>
  <si>
    <t>Q15746-6</t>
  </si>
  <si>
    <t>Q15750-2</t>
  </si>
  <si>
    <t>Q15813</t>
  </si>
  <si>
    <t>Q15814</t>
  </si>
  <si>
    <t>Q15819</t>
  </si>
  <si>
    <t>Q15833</t>
  </si>
  <si>
    <t>Q15847</t>
  </si>
  <si>
    <t>Q15907</t>
  </si>
  <si>
    <t>Q15942</t>
  </si>
  <si>
    <t>Q16181</t>
  </si>
  <si>
    <t>Q16186</t>
  </si>
  <si>
    <t>Q16204</t>
  </si>
  <si>
    <t>Q16222-3</t>
  </si>
  <si>
    <t>Q16270-2</t>
  </si>
  <si>
    <t>Q16401-2</t>
  </si>
  <si>
    <t>Q16513-3</t>
  </si>
  <si>
    <t>Q16531</t>
  </si>
  <si>
    <t>Q16539</t>
  </si>
  <si>
    <t>Q16543</t>
  </si>
  <si>
    <t>Q16555-2</t>
  </si>
  <si>
    <t>Q16576</t>
  </si>
  <si>
    <t>Q16625-5</t>
  </si>
  <si>
    <t>Q16626</t>
  </si>
  <si>
    <t>Q16629-3</t>
  </si>
  <si>
    <t>Q16658</t>
  </si>
  <si>
    <t>Q16719</t>
  </si>
  <si>
    <t>Q16740</t>
  </si>
  <si>
    <t>Q16762</t>
  </si>
  <si>
    <t>Q16773</t>
  </si>
  <si>
    <t>Q16775</t>
  </si>
  <si>
    <t>Q16787-4</t>
  </si>
  <si>
    <t>Q16822</t>
  </si>
  <si>
    <t>Q16831</t>
  </si>
  <si>
    <t>Q16836</t>
  </si>
  <si>
    <t>Q16851-2</t>
  </si>
  <si>
    <t>Q16851</t>
  </si>
  <si>
    <t>Q16854</t>
  </si>
  <si>
    <t>Q16878</t>
  </si>
  <si>
    <t>Q17R31-5</t>
  </si>
  <si>
    <t>Q17RC7</t>
  </si>
  <si>
    <t>Q17RN3</t>
  </si>
  <si>
    <t>Q27J81</t>
  </si>
  <si>
    <t>Q29RF7</t>
  </si>
  <si>
    <t>Q2M389</t>
  </si>
  <si>
    <t>Q2PPJ7-3</t>
  </si>
  <si>
    <t>Q2T9J0</t>
  </si>
  <si>
    <t>Q2TAY7</t>
  </si>
  <si>
    <t>Q2TAZ0</t>
  </si>
  <si>
    <t>Q32MZ4-2</t>
  </si>
  <si>
    <t>Q32MZ4-4</t>
  </si>
  <si>
    <t>Q32P44</t>
  </si>
  <si>
    <t>Q3B7J2</t>
  </si>
  <si>
    <t>Q3LXA3</t>
  </si>
  <si>
    <t>Q3MHD2</t>
  </si>
  <si>
    <t>Q3MIT2</t>
  </si>
  <si>
    <t>Q3ZCW2</t>
  </si>
  <si>
    <t>Q49A26-5</t>
  </si>
  <si>
    <t>Q49AH0</t>
  </si>
  <si>
    <t>Q49AR2-3</t>
  </si>
  <si>
    <t>Q49B96</t>
  </si>
  <si>
    <t>Q4G0F5</t>
  </si>
  <si>
    <t>Q4G0J3</t>
  </si>
  <si>
    <t>Q4G0N4</t>
  </si>
  <si>
    <t>Q4G0X4</t>
  </si>
  <si>
    <t>Q4G176</t>
  </si>
  <si>
    <t>Q4KMP7</t>
  </si>
  <si>
    <t>Q4KWH8-3</t>
  </si>
  <si>
    <t>Q4V328</t>
  </si>
  <si>
    <t>Q504Q3-2</t>
  </si>
  <si>
    <t>Q52LJ0-2</t>
  </si>
  <si>
    <t>Q52LW3</t>
  </si>
  <si>
    <t>Q53FA7</t>
  </si>
  <si>
    <t>Q53FZ2</t>
  </si>
  <si>
    <t>Q53GS9-3</t>
  </si>
  <si>
    <t>Q53H82</t>
  </si>
  <si>
    <t>Q53HC9</t>
  </si>
  <si>
    <t>Q53LP3</t>
  </si>
  <si>
    <t>Q53S33</t>
  </si>
  <si>
    <t>Q58FF8</t>
  </si>
  <si>
    <t>Q58FG1</t>
  </si>
  <si>
    <t>Q58WW2-4</t>
  </si>
  <si>
    <t>Q5BKU9</t>
  </si>
  <si>
    <t>Q5EBL8</t>
  </si>
  <si>
    <t>Q5EBM0</t>
  </si>
  <si>
    <t>Q5GLZ8-6</t>
  </si>
  <si>
    <t>Q5HYK7-3</t>
  </si>
  <si>
    <t>Q5JR59-4</t>
  </si>
  <si>
    <t>Q5JRX3</t>
  </si>
  <si>
    <t>Q5JS37</t>
  </si>
  <si>
    <t>Q5JSH3-2</t>
  </si>
  <si>
    <t>Q5JTD0-4</t>
  </si>
  <si>
    <t>Q5JTJ3-3</t>
  </si>
  <si>
    <t>Q5JTV8-2</t>
  </si>
  <si>
    <t>Q5JTZ9</t>
  </si>
  <si>
    <t>Q5JVF3-3</t>
  </si>
  <si>
    <t>Q5JVS0</t>
  </si>
  <si>
    <t>Q5MIZ7-3</t>
  </si>
  <si>
    <t>Q5MNZ6</t>
  </si>
  <si>
    <t>Q5QJ74</t>
  </si>
  <si>
    <t>Q5R3I4</t>
  </si>
  <si>
    <t>Q5RHP9</t>
  </si>
  <si>
    <t>Q5RKV6</t>
  </si>
  <si>
    <t>Q5SRE5-2</t>
  </si>
  <si>
    <t>Q5SRE7-2</t>
  </si>
  <si>
    <t>Q5SSJ5</t>
  </si>
  <si>
    <t>Q5ST30</t>
  </si>
  <si>
    <t>Q5SW79-2</t>
  </si>
  <si>
    <t>Q5SXM8</t>
  </si>
  <si>
    <t>Q5SYE7-2</t>
  </si>
  <si>
    <t>Q5T0N5-3</t>
  </si>
  <si>
    <t>Q5T160</t>
  </si>
  <si>
    <t>Q5T1M5</t>
  </si>
  <si>
    <t>Q5T2E6</t>
  </si>
  <si>
    <t>Q5T2W1</t>
  </si>
  <si>
    <t>Q5T440</t>
  </si>
  <si>
    <t>Q5T4F4-6</t>
  </si>
  <si>
    <t>Q5T4S7-3</t>
  </si>
  <si>
    <t>Q5T5P2</t>
  </si>
  <si>
    <t>Q5T5U3-3</t>
  </si>
  <si>
    <t>Q5T6F2</t>
  </si>
  <si>
    <t>Q5T6J7</t>
  </si>
  <si>
    <t>Q5T6V5</t>
  </si>
  <si>
    <t>Q5T7V8</t>
  </si>
  <si>
    <t>Q5T8D3-2</t>
  </si>
  <si>
    <t>Q5T8D3</t>
  </si>
  <si>
    <t>Q5T8P6-2</t>
  </si>
  <si>
    <t>Q5TA50</t>
  </si>
  <si>
    <t>Q5TC12</t>
  </si>
  <si>
    <t>Q5TCQ9-4</t>
  </si>
  <si>
    <t>Q5TDH0</t>
  </si>
  <si>
    <t>Q5TEU4</t>
  </si>
  <si>
    <t>Q5TFE4</t>
  </si>
  <si>
    <t>Q5TFQ8</t>
  </si>
  <si>
    <t>Q5U5X0</t>
  </si>
  <si>
    <t>Q5UIP0-2</t>
  </si>
  <si>
    <t>Q5VIR6-4</t>
  </si>
  <si>
    <t>Q5VSL9</t>
  </si>
  <si>
    <t>Q5VT06</t>
  </si>
  <si>
    <t>Q5VT52-2</t>
  </si>
  <si>
    <t>Q5VTB9</t>
  </si>
  <si>
    <t>Q5VTE0</t>
  </si>
  <si>
    <t>Q5VTR2</t>
  </si>
  <si>
    <t>Q5VUA4</t>
  </si>
  <si>
    <t>Q5VUE5</t>
  </si>
  <si>
    <t>Q5VVQ6-2</t>
  </si>
  <si>
    <t>Q5VW32</t>
  </si>
  <si>
    <t>Q5VW36</t>
  </si>
  <si>
    <t>Q5VWP3</t>
  </si>
  <si>
    <t>Q5VWQ8-3</t>
  </si>
  <si>
    <t>Q5VWZ2</t>
  </si>
  <si>
    <t>Q5VYK3</t>
  </si>
  <si>
    <t>Q5VYS8-6</t>
  </si>
  <si>
    <t>Q5VYX0-2</t>
  </si>
  <si>
    <t>Q5VZL5-4</t>
  </si>
  <si>
    <t>Q5W0V3</t>
  </si>
  <si>
    <t>Q5W111-2</t>
  </si>
  <si>
    <t>Q63HM1</t>
  </si>
  <si>
    <t>Q63HN8</t>
  </si>
  <si>
    <t>Q63HR2-2</t>
  </si>
  <si>
    <t>Q63ZY3-3</t>
  </si>
  <si>
    <t>Q63ZY6-4</t>
  </si>
  <si>
    <t>Q66K14-2</t>
  </si>
  <si>
    <t>Q66PJ3</t>
  </si>
  <si>
    <t>Q676U5-2</t>
  </si>
  <si>
    <t>Q68CK6</t>
  </si>
  <si>
    <t>Q68CQ4</t>
  </si>
  <si>
    <t>Q68CZ2</t>
  </si>
  <si>
    <t>Q68EM7-6</t>
  </si>
  <si>
    <t>Q69YN2</t>
  </si>
  <si>
    <t>Q69YQ0-2</t>
  </si>
  <si>
    <t>Q6A1A2</t>
  </si>
  <si>
    <t>Q6DD88</t>
  </si>
  <si>
    <t>Q6DN90-2</t>
  </si>
  <si>
    <t>Q6EEV4-2</t>
  </si>
  <si>
    <t>Q6EMK4</t>
  </si>
  <si>
    <t>Q6FI81-3</t>
  </si>
  <si>
    <t>Q6FIF0-2</t>
  </si>
  <si>
    <t>Q6GMR7</t>
  </si>
  <si>
    <t>Q6GMV2</t>
  </si>
  <si>
    <t>Q6GMV3</t>
  </si>
  <si>
    <t>Q6GQQ9-2</t>
  </si>
  <si>
    <t>Q6IA69</t>
  </si>
  <si>
    <t>Q6IA86-4</t>
  </si>
  <si>
    <t>Q6IB77</t>
  </si>
  <si>
    <t>Q6IBS0</t>
  </si>
  <si>
    <t>Q6IC98</t>
  </si>
  <si>
    <t>Q6IN85-2</t>
  </si>
  <si>
    <t>Q6IPR1</t>
  </si>
  <si>
    <t>Q6IQ22</t>
  </si>
  <si>
    <t>Q6IQ23</t>
  </si>
  <si>
    <t>Q6JQN1</t>
  </si>
  <si>
    <t>Q6KC79-3</t>
  </si>
  <si>
    <t>Q6N043-2</t>
  </si>
  <si>
    <t>Q6N063</t>
  </si>
  <si>
    <t>Q6NUN0</t>
  </si>
  <si>
    <t>Q6NUQ4-2</t>
  </si>
  <si>
    <t>Q6NVY1</t>
  </si>
  <si>
    <t>Q6NYC8</t>
  </si>
  <si>
    <t>Q6NZY4</t>
  </si>
  <si>
    <t>Q6P1J9</t>
  </si>
  <si>
    <t>Q6P1N0-2</t>
  </si>
  <si>
    <t>Q6P1N9</t>
  </si>
  <si>
    <t>Q6P1X6</t>
  </si>
  <si>
    <t>Q6P2E9</t>
  </si>
  <si>
    <t>Q6P2P2</t>
  </si>
  <si>
    <t>Q6P2Q9</t>
  </si>
  <si>
    <t>Q6P3X3</t>
  </si>
  <si>
    <t>Q6P4A8</t>
  </si>
  <si>
    <t>Q6P4F2</t>
  </si>
  <si>
    <t>Q6P587</t>
  </si>
  <si>
    <t>Q6P6B1</t>
  </si>
  <si>
    <t>Q6PD74</t>
  </si>
  <si>
    <t>Q6PGP7</t>
  </si>
  <si>
    <t>Q6PI48</t>
  </si>
  <si>
    <t>Q6PJT7-5</t>
  </si>
  <si>
    <t>Q6PKG0</t>
  </si>
  <si>
    <t>Q6QHF9-4</t>
  </si>
  <si>
    <t>Q6QNY0</t>
  </si>
  <si>
    <t>Q6UB28</t>
  </si>
  <si>
    <t>Q6ULP2-5</t>
  </si>
  <si>
    <t>Q6UN15-4</t>
  </si>
  <si>
    <t>Q6UWE0-2</t>
  </si>
  <si>
    <t>Q6UWP2</t>
  </si>
  <si>
    <t>Q6UX53</t>
  </si>
  <si>
    <t>Q6UXH1-4</t>
  </si>
  <si>
    <t>Q6UXN9</t>
  </si>
  <si>
    <t>Q6UXV4</t>
  </si>
  <si>
    <t>Q6VY07</t>
  </si>
  <si>
    <t>Q6XQN6</t>
  </si>
  <si>
    <t>Q6XZF7</t>
  </si>
  <si>
    <t>Q6Y7W6-4</t>
  </si>
  <si>
    <t>Q6YN16</t>
  </si>
  <si>
    <t>Q6YP21-3</t>
  </si>
  <si>
    <t>Q6ZMI0</t>
  </si>
  <si>
    <t>Q6ZNW5</t>
  </si>
  <si>
    <t>Q6ZSJ8</t>
  </si>
  <si>
    <t>Q6ZT12</t>
  </si>
  <si>
    <t>Q6ZUJ8</t>
  </si>
  <si>
    <t>Q709C8-3</t>
  </si>
  <si>
    <t>Q709F0</t>
  </si>
  <si>
    <t>Q70E73</t>
  </si>
  <si>
    <t>Q712K3</t>
  </si>
  <si>
    <t>Q71RC2-6</t>
  </si>
  <si>
    <t>Q71U36-2</t>
  </si>
  <si>
    <t>Q765P7</t>
  </si>
  <si>
    <t>Q7KZ85</t>
  </si>
  <si>
    <t>Q7KZF4</t>
  </si>
  <si>
    <t>Q7KZI7-12</t>
  </si>
  <si>
    <t>Q7L014</t>
  </si>
  <si>
    <t>Q7L099-4</t>
  </si>
  <si>
    <t>Q7L0Y3</t>
  </si>
  <si>
    <t>Q7L1Q6</t>
  </si>
  <si>
    <t>Q7L1W4</t>
  </si>
  <si>
    <t>Q7L2J0</t>
  </si>
  <si>
    <t>Q7L576</t>
  </si>
  <si>
    <t>Q7L5D6</t>
  </si>
  <si>
    <t>Q7L5Y1</t>
  </si>
  <si>
    <t>Q7L775</t>
  </si>
  <si>
    <t>Q7L7X3-3</t>
  </si>
  <si>
    <t>Q7L8L6</t>
  </si>
  <si>
    <t>Q7LBC6</t>
  </si>
  <si>
    <t>Q7LBR1</t>
  </si>
  <si>
    <t>Q7LG56</t>
  </si>
  <si>
    <t>Q7RTP6</t>
  </si>
  <si>
    <t>Q7RTV0</t>
  </si>
  <si>
    <t>Q7Z2W4</t>
  </si>
  <si>
    <t>Q7Z2Z2</t>
  </si>
  <si>
    <t>Q7Z3J2</t>
  </si>
  <si>
    <t>Q7Z3T8</t>
  </si>
  <si>
    <t>Q7Z406-6</t>
  </si>
  <si>
    <t>Q7Z417</t>
  </si>
  <si>
    <t>Q7Z422-2</t>
  </si>
  <si>
    <t>Q7Z434</t>
  </si>
  <si>
    <t>Q7Z460-2</t>
  </si>
  <si>
    <t>Q7Z478</t>
  </si>
  <si>
    <t>Q7Z4G1</t>
  </si>
  <si>
    <t>Q7Z4G4-2</t>
  </si>
  <si>
    <t>Q7Z4H3-2</t>
  </si>
  <si>
    <t>Q7Z4H8</t>
  </si>
  <si>
    <t>Q7Z4I7-3</t>
  </si>
  <si>
    <t>Q7Z4S6-3</t>
  </si>
  <si>
    <t>Q7Z4V5</t>
  </si>
  <si>
    <t>Q7Z4W1</t>
  </si>
  <si>
    <t>Q7Z5K2-3</t>
  </si>
  <si>
    <t>Q7Z5L9-2</t>
  </si>
  <si>
    <t>Q7Z5P4</t>
  </si>
  <si>
    <t>Q7Z5R6</t>
  </si>
  <si>
    <t>Q7Z6B0-2</t>
  </si>
  <si>
    <t>Q7Z6E9-2</t>
  </si>
  <si>
    <t>Q7Z6K3</t>
  </si>
  <si>
    <t>Q7Z6M1</t>
  </si>
  <si>
    <t>Q7Z6Z7-2</t>
  </si>
  <si>
    <t>Q7Z7E8</t>
  </si>
  <si>
    <t>Q7Z7K0</t>
  </si>
  <si>
    <t>Q86SQ0-3</t>
  </si>
  <si>
    <t>Q86SQ0</t>
  </si>
  <si>
    <t>Q86SX6</t>
  </si>
  <si>
    <t>Q86SZ2-2</t>
  </si>
  <si>
    <t>Q86TB9-4</t>
  </si>
  <si>
    <t>Q86TI2</t>
  </si>
  <si>
    <t>Q86TP1</t>
  </si>
  <si>
    <t>Q86TU7</t>
  </si>
  <si>
    <t>Q86TX2</t>
  </si>
  <si>
    <t>Q86U17</t>
  </si>
  <si>
    <t>Q86U28</t>
  </si>
  <si>
    <t>Q86U42-2</t>
  </si>
  <si>
    <t>Q86U44</t>
  </si>
  <si>
    <t>Q86U90</t>
  </si>
  <si>
    <t>Q86UA1</t>
  </si>
  <si>
    <t>Q86UK7-2</t>
  </si>
  <si>
    <t>Q86UP2</t>
  </si>
  <si>
    <t>Q86UR1-3</t>
  </si>
  <si>
    <t>Q86UU0-4</t>
  </si>
  <si>
    <t>Q86UX7-2</t>
  </si>
  <si>
    <t>Q86UY8-2</t>
  </si>
  <si>
    <t>Q86V81</t>
  </si>
  <si>
    <t>Q86VM9-2</t>
  </si>
  <si>
    <t>Q86VN1-2</t>
  </si>
  <si>
    <t>Q86VP6</t>
  </si>
  <si>
    <t>Q86VQ6</t>
  </si>
  <si>
    <t>Q86VR2</t>
  </si>
  <si>
    <t>Q86VS8</t>
  </si>
  <si>
    <t>Q86VX2-2</t>
  </si>
  <si>
    <t>Q86W92-4</t>
  </si>
  <si>
    <t>Q86WA6</t>
  </si>
  <si>
    <t>Q86WR0</t>
  </si>
  <si>
    <t>Q86WR7</t>
  </si>
  <si>
    <t>Q86WU2-2</t>
  </si>
  <si>
    <t>Q86X10-3</t>
  </si>
  <si>
    <t>Q86X55-1</t>
  </si>
  <si>
    <t>Q86X76-2</t>
  </si>
  <si>
    <t>Q86X83</t>
  </si>
  <si>
    <t>Q86XE5</t>
  </si>
  <si>
    <t>Q86XP3</t>
  </si>
  <si>
    <t>Q86Y07-4</t>
  </si>
  <si>
    <t>Q86Y56-2</t>
  </si>
  <si>
    <t>Q86Y82</t>
  </si>
  <si>
    <t>Q86YB7</t>
  </si>
  <si>
    <t>Q86YH6</t>
  </si>
  <si>
    <t>Q86YJ6-4</t>
  </si>
  <si>
    <t>Q86YL5</t>
  </si>
  <si>
    <t>Q86YP4-2</t>
  </si>
  <si>
    <t>Q86YS7</t>
  </si>
  <si>
    <t>Q8IUC4</t>
  </si>
  <si>
    <t>Q8IUD2</t>
  </si>
  <si>
    <t>Q8IUZ5</t>
  </si>
  <si>
    <t>Q8IV08</t>
  </si>
  <si>
    <t>Q8IV38</t>
  </si>
  <si>
    <t>Q8IV50</t>
  </si>
  <si>
    <t>Q8IVD9</t>
  </si>
  <si>
    <t>Q8IVF2-3</t>
  </si>
  <si>
    <t>Q8IVH4</t>
  </si>
  <si>
    <t>Q8IVM0</t>
  </si>
  <si>
    <t>Q8IVS2</t>
  </si>
  <si>
    <t>Q8IVS8</t>
  </si>
  <si>
    <t>Q8IW45</t>
  </si>
  <si>
    <t>Q8IWB9</t>
  </si>
  <si>
    <t>Q8IWE2</t>
  </si>
  <si>
    <t>Q8IWJ2</t>
  </si>
  <si>
    <t>Q8IWL3</t>
  </si>
  <si>
    <t>Q8IWU2</t>
  </si>
  <si>
    <t>Q8IWV7</t>
  </si>
  <si>
    <t>Q8IWW6-2</t>
  </si>
  <si>
    <t>Q8IWW8</t>
  </si>
  <si>
    <t>Q8IWX8</t>
  </si>
  <si>
    <t>Q8IWZ3</t>
  </si>
  <si>
    <t>Q8IWZ8</t>
  </si>
  <si>
    <t>Q8IX04-6</t>
  </si>
  <si>
    <t>Q8IX12-2</t>
  </si>
  <si>
    <t>Q8IXH7-4</t>
  </si>
  <si>
    <t>Q8IXJ6-2</t>
  </si>
  <si>
    <t>Q8IXQ4</t>
  </si>
  <si>
    <t>Q8IXQ6-2</t>
  </si>
  <si>
    <t>Q8IY50-2</t>
  </si>
  <si>
    <t>Q8IYA8-2</t>
  </si>
  <si>
    <t>Q8IYB5-3</t>
  </si>
  <si>
    <t>Q8IYB7</t>
  </si>
  <si>
    <t>Q8IYB8</t>
  </si>
  <si>
    <t>Q8IYD1</t>
  </si>
  <si>
    <t>Q8IYI6</t>
  </si>
  <si>
    <t>Q8IYL3</t>
  </si>
  <si>
    <t>Q8IYQ7</t>
  </si>
  <si>
    <t>Q8IYS1</t>
  </si>
  <si>
    <t>Q8IYT4</t>
  </si>
  <si>
    <t>Q8IZ07</t>
  </si>
  <si>
    <t>Q8IZ21-3</t>
  </si>
  <si>
    <t>Q8IZ69</t>
  </si>
  <si>
    <t>Q8IZ83</t>
  </si>
  <si>
    <t>Q8IZP0-10</t>
  </si>
  <si>
    <t>Q8N0U4</t>
  </si>
  <si>
    <t>Q8N0W3</t>
  </si>
  <si>
    <t>Q8N0X4</t>
  </si>
  <si>
    <t>Q8N0X7</t>
  </si>
  <si>
    <t>Q8N129</t>
  </si>
  <si>
    <t>Q8N142</t>
  </si>
  <si>
    <t>Q8N163</t>
  </si>
  <si>
    <t>Q8N1B4</t>
  </si>
  <si>
    <t>Q8N1F7</t>
  </si>
  <si>
    <t>Q8N1G2</t>
  </si>
  <si>
    <t>Q8N1G4</t>
  </si>
  <si>
    <t>Q8N1I0</t>
  </si>
  <si>
    <t>Q8N1Q1</t>
  </si>
  <si>
    <t>Q8N201</t>
  </si>
  <si>
    <t>Q8N283</t>
  </si>
  <si>
    <t>Q8N2H3</t>
  </si>
  <si>
    <t>Q8N3D4</t>
  </si>
  <si>
    <t>Q8N3F8</t>
  </si>
  <si>
    <t>Q8N3P4-2</t>
  </si>
  <si>
    <t>Q8N3V7-2</t>
  </si>
  <si>
    <t>Q8N3X1</t>
  </si>
  <si>
    <t>Q8N465</t>
  </si>
  <si>
    <t>Q8N488</t>
  </si>
  <si>
    <t>Q8N490-4</t>
  </si>
  <si>
    <t>Q8N4C8-2</t>
  </si>
  <si>
    <t>Q8N4J0</t>
  </si>
  <si>
    <t>Q8N4P3</t>
  </si>
  <si>
    <t>Q8N4Q0</t>
  </si>
  <si>
    <t>Q8N4Q1</t>
  </si>
  <si>
    <t>Q8N4T8</t>
  </si>
  <si>
    <t>Q8N573-2</t>
  </si>
  <si>
    <t>Q8N5C6</t>
  </si>
  <si>
    <t>Q8N5G2</t>
  </si>
  <si>
    <t>Q8N5I9</t>
  </si>
  <si>
    <t>Q8N5L8</t>
  </si>
  <si>
    <t>Q8N5M1</t>
  </si>
  <si>
    <t>Q8N5N7</t>
  </si>
  <si>
    <t>Q8N5V2</t>
  </si>
  <si>
    <t>Q8N5Z0</t>
  </si>
  <si>
    <t>Q8N684-2</t>
  </si>
  <si>
    <t>Q8N6H7</t>
  </si>
  <si>
    <t>Q8N6N3-2</t>
  </si>
  <si>
    <t>Q8N8N7</t>
  </si>
  <si>
    <t>Q8N8S7</t>
  </si>
  <si>
    <t>Q8N8V2</t>
  </si>
  <si>
    <t>Q8N999-3</t>
  </si>
  <si>
    <t>Q8N9L9</t>
  </si>
  <si>
    <t>Q8N9V3-2</t>
  </si>
  <si>
    <t>Q8NBF2</t>
  </si>
  <si>
    <t>Q8NBJ7</t>
  </si>
  <si>
    <t>Q8NBX0</t>
  </si>
  <si>
    <t>Q8NC06</t>
  </si>
  <si>
    <t>Q8NC51-4</t>
  </si>
  <si>
    <t>Q8NC96</t>
  </si>
  <si>
    <t>Q8NCA5-2</t>
  </si>
  <si>
    <t>Q8NCC3</t>
  </si>
  <si>
    <t>Q8NCN5</t>
  </si>
  <si>
    <t>Q8NCW5-2</t>
  </si>
  <si>
    <t>Q8NCW5</t>
  </si>
  <si>
    <t>Q8ND24</t>
  </si>
  <si>
    <t>Q8ND30</t>
  </si>
  <si>
    <t>Q8ND76-3</t>
  </si>
  <si>
    <t>Q8NDH3-2</t>
  </si>
  <si>
    <t>Q8NDI1-3</t>
  </si>
  <si>
    <t>Q8NE62</t>
  </si>
  <si>
    <t>Q8NE71-2</t>
  </si>
  <si>
    <t>Q8NEB9</t>
  </si>
  <si>
    <t>Q8NEF9</t>
  </si>
  <si>
    <t>Q8NEU8-2</t>
  </si>
  <si>
    <t>Q8NEZ5</t>
  </si>
  <si>
    <t>Q8NFC6</t>
  </si>
  <si>
    <t>Q8NFH3</t>
  </si>
  <si>
    <t>Q8NFH4</t>
  </si>
  <si>
    <t>Q8NFH8-4</t>
  </si>
  <si>
    <t>Q8NFI3</t>
  </si>
  <si>
    <t>Q8NFQ8</t>
  </si>
  <si>
    <t>Q8NFU3-4</t>
  </si>
  <si>
    <t>Q8NFU3</t>
  </si>
  <si>
    <t>Q8NFV4</t>
  </si>
  <si>
    <t>Q8NFW8</t>
  </si>
  <si>
    <t>Q8NHG8</t>
  </si>
  <si>
    <t>Q8NHH9-2</t>
  </si>
  <si>
    <t>Q8NHM4</t>
  </si>
  <si>
    <t>Q8NI08-2</t>
  </si>
  <si>
    <t>Q8NI27</t>
  </si>
  <si>
    <t>Q8NI60</t>
  </si>
  <si>
    <t>Q8TAE8</t>
  </si>
  <si>
    <t>Q8TAQ2-2</t>
  </si>
  <si>
    <t>Q8TAT6</t>
  </si>
  <si>
    <t>Q8TB03</t>
  </si>
  <si>
    <t>Q8TB22</t>
  </si>
  <si>
    <t>Q8TB45</t>
  </si>
  <si>
    <t>Q8TBA6-2</t>
  </si>
  <si>
    <t>Q8TBC4</t>
  </si>
  <si>
    <t>Q8TBG4-2</t>
  </si>
  <si>
    <t>Q8TBX8</t>
  </si>
  <si>
    <t>Q8TC07-2</t>
  </si>
  <si>
    <t>Q8TCA0</t>
  </si>
  <si>
    <t>Q8TCD5</t>
  </si>
  <si>
    <t>Q8TCE6-2</t>
  </si>
  <si>
    <t>Q8TCS8</t>
  </si>
  <si>
    <t>Q8TD19</t>
  </si>
  <si>
    <t>Q8TD30</t>
  </si>
  <si>
    <t>Q8TDB6</t>
  </si>
  <si>
    <t>Q8TDH9-2</t>
  </si>
  <si>
    <t>Q8TDI8</t>
  </si>
  <si>
    <t>Q8TDX5</t>
  </si>
  <si>
    <t>Q8TE04</t>
  </si>
  <si>
    <t>Q8TE77</t>
  </si>
  <si>
    <t>Q8TEA1</t>
  </si>
  <si>
    <t>Q8TEA8</t>
  </si>
  <si>
    <t>Q8TEB1-2</t>
  </si>
  <si>
    <t>Q8TEH3</t>
  </si>
  <si>
    <t>Q8TEQ6</t>
  </si>
  <si>
    <t>Q8TER5-4</t>
  </si>
  <si>
    <t>Q8TEW0-5</t>
  </si>
  <si>
    <t>Q8TEX9</t>
  </si>
  <si>
    <t>Q8TF05-2</t>
  </si>
  <si>
    <t>Q8TF65</t>
  </si>
  <si>
    <t>Q8TF72</t>
  </si>
  <si>
    <t>Q8TF74</t>
  </si>
  <si>
    <t>Q8WTS6</t>
  </si>
  <si>
    <t>Q8WU79-3</t>
  </si>
  <si>
    <t>Q8WU90</t>
  </si>
  <si>
    <t>Q8WUA2</t>
  </si>
  <si>
    <t>Q8WUA7-3</t>
  </si>
  <si>
    <t>Q8WUH6</t>
  </si>
  <si>
    <t>Q8WUM4</t>
  </si>
  <si>
    <t>Q8WUN7</t>
  </si>
  <si>
    <t>Q8WUR7</t>
  </si>
  <si>
    <t>Q8WUW1</t>
  </si>
  <si>
    <t>Q8WUX9</t>
  </si>
  <si>
    <t>Q8WV28</t>
  </si>
  <si>
    <t>Q8WV41</t>
  </si>
  <si>
    <t>Q8WV74</t>
  </si>
  <si>
    <t>Q8WV99-2</t>
  </si>
  <si>
    <t>Q8WVB3</t>
  </si>
  <si>
    <t>Q8WVC0</t>
  </si>
  <si>
    <t>Q8WVJ2</t>
  </si>
  <si>
    <t>Q8WVM8</t>
  </si>
  <si>
    <t>Q8WVT3</t>
  </si>
  <si>
    <t>Q8WVY7</t>
  </si>
  <si>
    <t>Q8WW12</t>
  </si>
  <si>
    <t>Q8WW59</t>
  </si>
  <si>
    <t>Q8WWH5</t>
  </si>
  <si>
    <t>Q8WWI1-3</t>
  </si>
  <si>
    <t>Q8WWM7</t>
  </si>
  <si>
    <t>Q8WWV3-2</t>
  </si>
  <si>
    <t>Q8WWY3</t>
  </si>
  <si>
    <t>Q8WX92</t>
  </si>
  <si>
    <t>Q8WXA9-2</t>
  </si>
  <si>
    <t>Q8WXD5</t>
  </si>
  <si>
    <t>Q8WXE0</t>
  </si>
  <si>
    <t>Q8WXF1</t>
  </si>
  <si>
    <t>Q8WXG6-6</t>
  </si>
  <si>
    <t>Q8WXH0</t>
  </si>
  <si>
    <t>Q8WXI9</t>
  </si>
  <si>
    <t>Q8WY91-2</t>
  </si>
  <si>
    <t>Q8WYK0</t>
  </si>
  <si>
    <t>Q8WYP5</t>
  </si>
  <si>
    <t>Q8WZ42-5</t>
  </si>
  <si>
    <t>Q8WZ82</t>
  </si>
  <si>
    <t>Q8WZA0</t>
  </si>
  <si>
    <t>Q8WZA9</t>
  </si>
  <si>
    <t>Q92499</t>
  </si>
  <si>
    <t>Q92506</t>
  </si>
  <si>
    <t>Q92526</t>
  </si>
  <si>
    <t>Q92538</t>
  </si>
  <si>
    <t>Q92541</t>
  </si>
  <si>
    <t>Q92545</t>
  </si>
  <si>
    <t>Q92552</t>
  </si>
  <si>
    <t>Q92556</t>
  </si>
  <si>
    <t>Q92572</t>
  </si>
  <si>
    <t>Q92575</t>
  </si>
  <si>
    <t>Q92576-2</t>
  </si>
  <si>
    <t>Q92597</t>
  </si>
  <si>
    <t>Q92598-2</t>
  </si>
  <si>
    <t>Q92599-2</t>
  </si>
  <si>
    <t>Q92609</t>
  </si>
  <si>
    <t>Q92614-4</t>
  </si>
  <si>
    <t>Q92615</t>
  </si>
  <si>
    <t>Q92616</t>
  </si>
  <si>
    <t>Q92621</t>
  </si>
  <si>
    <t>Q92665</t>
  </si>
  <si>
    <t>Q92667</t>
  </si>
  <si>
    <t>Q92688-2</t>
  </si>
  <si>
    <t>Q92696</t>
  </si>
  <si>
    <t>Q92734-2</t>
  </si>
  <si>
    <t>Q92738</t>
  </si>
  <si>
    <t>Q92747</t>
  </si>
  <si>
    <t>Q92748</t>
  </si>
  <si>
    <t>Q92766-3</t>
  </si>
  <si>
    <t>Q92783-2</t>
  </si>
  <si>
    <t>Q92784-2</t>
  </si>
  <si>
    <t>Q92804-2</t>
  </si>
  <si>
    <t>Q92805</t>
  </si>
  <si>
    <t>Q92820</t>
  </si>
  <si>
    <t>Q92841</t>
  </si>
  <si>
    <t>Q92878</t>
  </si>
  <si>
    <t>Q92879-5</t>
  </si>
  <si>
    <t>Q92882</t>
  </si>
  <si>
    <t>Q92888-2</t>
  </si>
  <si>
    <t>Q92890-3</t>
  </si>
  <si>
    <t>Q92900-2</t>
  </si>
  <si>
    <t>Q92905</t>
  </si>
  <si>
    <t>Q92917</t>
  </si>
  <si>
    <t>Q92922</t>
  </si>
  <si>
    <t>Q92934</t>
  </si>
  <si>
    <t>Q92945</t>
  </si>
  <si>
    <t>Q92947</t>
  </si>
  <si>
    <t>Q92973-2</t>
  </si>
  <si>
    <t>Q92979</t>
  </si>
  <si>
    <t>Q93008-1</t>
  </si>
  <si>
    <t>Q93034</t>
  </si>
  <si>
    <t>Q93052</t>
  </si>
  <si>
    <t>Q93062-4</t>
  </si>
  <si>
    <t>Q93077</t>
  </si>
  <si>
    <t>Q93088</t>
  </si>
  <si>
    <t>Q93096</t>
  </si>
  <si>
    <t>Q93099</t>
  </si>
  <si>
    <t>Q93100-4</t>
  </si>
  <si>
    <t>Q969G6</t>
  </si>
  <si>
    <t>Q969H8</t>
  </si>
  <si>
    <t>Q969I3</t>
  </si>
  <si>
    <t>Q969Q0</t>
  </si>
  <si>
    <t>Q969T7-2</t>
  </si>
  <si>
    <t>Q969Z0</t>
  </si>
  <si>
    <t>Q96A49</t>
  </si>
  <si>
    <t>Q96A65</t>
  </si>
  <si>
    <t>Q96AB3</t>
  </si>
  <si>
    <t>Q96AC1</t>
  </si>
  <si>
    <t>Q96AE4-2</t>
  </si>
  <si>
    <t>Q96AG4</t>
  </si>
  <si>
    <t>Q96AT1</t>
  </si>
  <si>
    <t>Q96B26</t>
  </si>
  <si>
    <t>Q96B36</t>
  </si>
  <si>
    <t>Q96B45</t>
  </si>
  <si>
    <t>Q96B54</t>
  </si>
  <si>
    <t>Q96B97</t>
  </si>
  <si>
    <t>Q96BH1</t>
  </si>
  <si>
    <t>Q96BM9</t>
  </si>
  <si>
    <t>Q96BN8</t>
  </si>
  <si>
    <t>Q96BP3</t>
  </si>
  <si>
    <t>Q96BR5</t>
  </si>
  <si>
    <t>Q96BW5-2</t>
  </si>
  <si>
    <t>Q96BY7</t>
  </si>
  <si>
    <t>Q96C01</t>
  </si>
  <si>
    <t>Q96C11</t>
  </si>
  <si>
    <t>Q96C19</t>
  </si>
  <si>
    <t>Q96C23</t>
  </si>
  <si>
    <t>Q96C24</t>
  </si>
  <si>
    <t>Q96C86</t>
  </si>
  <si>
    <t>Q96CB8</t>
  </si>
  <si>
    <t>Q96CD0</t>
  </si>
  <si>
    <t>Q96CN7</t>
  </si>
  <si>
    <t>Q96CN9</t>
  </si>
  <si>
    <t>Q96CP2</t>
  </si>
  <si>
    <t>Q96CT7</t>
  </si>
  <si>
    <t>Q96CV9</t>
  </si>
  <si>
    <t>Q96CW1-2</t>
  </si>
  <si>
    <t>Q96CX2</t>
  </si>
  <si>
    <t>Q96D46</t>
  </si>
  <si>
    <t>Q96D71-2</t>
  </si>
  <si>
    <t>Q96DC8</t>
  </si>
  <si>
    <t>Q96DE0</t>
  </si>
  <si>
    <t>Q96DG6</t>
  </si>
  <si>
    <t>Q96DR7</t>
  </si>
  <si>
    <t>Q96DX5</t>
  </si>
  <si>
    <t>Q96E11-3</t>
  </si>
  <si>
    <t>Q96E39</t>
  </si>
  <si>
    <t>Q96EB1</t>
  </si>
  <si>
    <t>Q96EB6</t>
  </si>
  <si>
    <t>Q96ED9-2</t>
  </si>
  <si>
    <t>Q96EI5</t>
  </si>
  <si>
    <t>Q96EK5</t>
  </si>
  <si>
    <t>Q96EK6</t>
  </si>
  <si>
    <t>Q96EL3</t>
  </si>
  <si>
    <t>Q96EM0</t>
  </si>
  <si>
    <t>Q96EN8</t>
  </si>
  <si>
    <t>Q96EP0</t>
  </si>
  <si>
    <t>Q96EP5-2</t>
  </si>
  <si>
    <t>Q96EV2</t>
  </si>
  <si>
    <t>Q96EV8</t>
  </si>
  <si>
    <t>Q96EY7</t>
  </si>
  <si>
    <t>Q96EY8</t>
  </si>
  <si>
    <t>Q96F10</t>
  </si>
  <si>
    <t>Q96F24-2</t>
  </si>
  <si>
    <t>Q96FJ2</t>
  </si>
  <si>
    <t>Q96FV2</t>
  </si>
  <si>
    <t>Q96G03</t>
  </si>
  <si>
    <t>Q96G46</t>
  </si>
  <si>
    <t>Q96GA7</t>
  </si>
  <si>
    <t>Q96GD0</t>
  </si>
  <si>
    <t>Q96GE6</t>
  </si>
  <si>
    <t>Q96GF1</t>
  </si>
  <si>
    <t>Q96GG9</t>
  </si>
  <si>
    <t>Q96GK7</t>
  </si>
  <si>
    <t>Q96GS4</t>
  </si>
  <si>
    <t>Q96GW9</t>
  </si>
  <si>
    <t>Q96GX2</t>
  </si>
  <si>
    <t>Q96GX9</t>
  </si>
  <si>
    <t>Q96H20</t>
  </si>
  <si>
    <t>Q96HC4</t>
  </si>
  <si>
    <t>Q96HD9</t>
  </si>
  <si>
    <t>Q96HE7</t>
  </si>
  <si>
    <t>Q96HJ9-2</t>
  </si>
  <si>
    <t>Q96HJ9</t>
  </si>
  <si>
    <t>Q96HN2-4</t>
  </si>
  <si>
    <t>Q96HP4</t>
  </si>
  <si>
    <t>Q96HQ2-2</t>
  </si>
  <si>
    <t>Q96HR9</t>
  </si>
  <si>
    <t>Q96HS1</t>
  </si>
  <si>
    <t>Q96HY6-2</t>
  </si>
  <si>
    <t>Q96HY7</t>
  </si>
  <si>
    <t>Q96I15</t>
  </si>
  <si>
    <t>Q96I23</t>
  </si>
  <si>
    <t>Q96I24</t>
  </si>
  <si>
    <t>Q96I25</t>
  </si>
  <si>
    <t>Q96I51</t>
  </si>
  <si>
    <t>Q96I59</t>
  </si>
  <si>
    <t>Q96I99</t>
  </si>
  <si>
    <t>Q96IF1</t>
  </si>
  <si>
    <t>Q96IJ6</t>
  </si>
  <si>
    <t>Q96IU4</t>
  </si>
  <si>
    <t>Q96IV0-3</t>
  </si>
  <si>
    <t>Q96IZ0</t>
  </si>
  <si>
    <t>Q96J02-2</t>
  </si>
  <si>
    <t>Q96JB2</t>
  </si>
  <si>
    <t>Q96JB5-2</t>
  </si>
  <si>
    <t>Q96JE7</t>
  </si>
  <si>
    <t>Q96JG6-3</t>
  </si>
  <si>
    <t>Q96JH7</t>
  </si>
  <si>
    <t>Q96JM3</t>
  </si>
  <si>
    <t>Q96JP5-2</t>
  </si>
  <si>
    <t>Q96JQ2</t>
  </si>
  <si>
    <t>Q96JY6</t>
  </si>
  <si>
    <t>Q96KC8</t>
  </si>
  <si>
    <t>Q96KG9-3</t>
  </si>
  <si>
    <t>Q96KM6</t>
  </si>
  <si>
    <t>Q96KP1</t>
  </si>
  <si>
    <t>Q96KP4</t>
  </si>
  <si>
    <t>Q96KR1</t>
  </si>
  <si>
    <t>Q96L92</t>
  </si>
  <si>
    <t>Q96LJ7</t>
  </si>
  <si>
    <t>Q96M20-2</t>
  </si>
  <si>
    <t>Q96M27</t>
  </si>
  <si>
    <t>Q96ME1-4</t>
  </si>
  <si>
    <t>Q96MH2</t>
  </si>
  <si>
    <t>Q96MU7-2</t>
  </si>
  <si>
    <t>Q96MW1</t>
  </si>
  <si>
    <t>Q96N76</t>
  </si>
  <si>
    <t>Q96NC0</t>
  </si>
  <si>
    <t>Q96NL8</t>
  </si>
  <si>
    <t>Q96NU7</t>
  </si>
  <si>
    <t>Q96P47</t>
  </si>
  <si>
    <t>Q96P48-7</t>
  </si>
  <si>
    <t>Q96P70</t>
  </si>
  <si>
    <t>Q96PD5</t>
  </si>
  <si>
    <t>Q96PE7</t>
  </si>
  <si>
    <t>Q96PK6</t>
  </si>
  <si>
    <t>Q96PM5-3</t>
  </si>
  <si>
    <t>Q96PU5-2</t>
  </si>
  <si>
    <t>Q96PU8-5</t>
  </si>
  <si>
    <t>Q96PZ0</t>
  </si>
  <si>
    <t>Q96Q05-3</t>
  </si>
  <si>
    <t>Q96Q06-2</t>
  </si>
  <si>
    <t>Q96Q11-2</t>
  </si>
  <si>
    <t>Q96QC0</t>
  </si>
  <si>
    <t>Q96QG7</t>
  </si>
  <si>
    <t>Q96QK1</t>
  </si>
  <si>
    <t>Q96QR8</t>
  </si>
  <si>
    <t>Q96QU8</t>
  </si>
  <si>
    <t>Q96QZ7-7</t>
  </si>
  <si>
    <t>Q96RE7</t>
  </si>
  <si>
    <t>Q96RF0-2</t>
  </si>
  <si>
    <t>Q96RP9</t>
  </si>
  <si>
    <t>Q96RQ3</t>
  </si>
  <si>
    <t>Q96RS6-3</t>
  </si>
  <si>
    <t>Q96RT1-7</t>
  </si>
  <si>
    <t>Q96RW7-2</t>
  </si>
  <si>
    <t>Q96S19</t>
  </si>
  <si>
    <t>Q96S44</t>
  </si>
  <si>
    <t>Q96S59-2</t>
  </si>
  <si>
    <t>Q96S66-4</t>
  </si>
  <si>
    <t>Q96ST2-2</t>
  </si>
  <si>
    <t>Q96ST3</t>
  </si>
  <si>
    <t>Q96SU4-7</t>
  </si>
  <si>
    <t>Q96SZ5</t>
  </si>
  <si>
    <t>Q96T37-2</t>
  </si>
  <si>
    <t>Q96T51</t>
  </si>
  <si>
    <t>Q96T58</t>
  </si>
  <si>
    <t>Q96T76</t>
  </si>
  <si>
    <t>Q99417</t>
  </si>
  <si>
    <t>Q99424</t>
  </si>
  <si>
    <t>Q99426</t>
  </si>
  <si>
    <t>Q99436</t>
  </si>
  <si>
    <t>Q99447-3</t>
  </si>
  <si>
    <t>Q99459</t>
  </si>
  <si>
    <t>Q99460</t>
  </si>
  <si>
    <t>Q99471</t>
  </si>
  <si>
    <t>Q99487</t>
  </si>
  <si>
    <t>Q99489</t>
  </si>
  <si>
    <t>Q99497</t>
  </si>
  <si>
    <t>Q99519</t>
  </si>
  <si>
    <t>Q99536</t>
  </si>
  <si>
    <t>Q99543</t>
  </si>
  <si>
    <t>Q99567</t>
  </si>
  <si>
    <t>Q99569-2</t>
  </si>
  <si>
    <t>Q99570</t>
  </si>
  <si>
    <t>Q99575</t>
  </si>
  <si>
    <t>Q99576-4</t>
  </si>
  <si>
    <t>Q99584</t>
  </si>
  <si>
    <t>Q99590-2</t>
  </si>
  <si>
    <t>Q99598</t>
  </si>
  <si>
    <t>Q99611</t>
  </si>
  <si>
    <t>Q99614</t>
  </si>
  <si>
    <t>Q99615</t>
  </si>
  <si>
    <t>Q99622</t>
  </si>
  <si>
    <t>Q99624</t>
  </si>
  <si>
    <t>Q99627-2</t>
  </si>
  <si>
    <t>Q99707</t>
  </si>
  <si>
    <t>Q99714</t>
  </si>
  <si>
    <t>Q99733</t>
  </si>
  <si>
    <t>Q99747</t>
  </si>
  <si>
    <t>Q99757</t>
  </si>
  <si>
    <t>Q99766</t>
  </si>
  <si>
    <t>Q99797</t>
  </si>
  <si>
    <t>Q99798</t>
  </si>
  <si>
    <t>Q99807-2</t>
  </si>
  <si>
    <t>Q99832</t>
  </si>
  <si>
    <t>Q99836</t>
  </si>
  <si>
    <t>Q99880</t>
  </si>
  <si>
    <t>Q99933-4</t>
  </si>
  <si>
    <t>Q99952</t>
  </si>
  <si>
    <t>Q99959-2</t>
  </si>
  <si>
    <t>Q99961</t>
  </si>
  <si>
    <t>Q99996-5</t>
  </si>
  <si>
    <t>Q9BPW8</t>
  </si>
  <si>
    <t>Q9BPX5</t>
  </si>
  <si>
    <t>Q9BQ52</t>
  </si>
  <si>
    <t>Q9BQ61</t>
  </si>
  <si>
    <t>Q9BQ67</t>
  </si>
  <si>
    <t>Q9BQ69</t>
  </si>
  <si>
    <t>Q9BQC3-2</t>
  </si>
  <si>
    <t>Q9BQE5</t>
  </si>
  <si>
    <t>Q9BQG0</t>
  </si>
  <si>
    <t>Q9BQG2</t>
  </si>
  <si>
    <t>Q9BQK8</t>
  </si>
  <si>
    <t>Q9BQP7</t>
  </si>
  <si>
    <t>Q9BQS8</t>
  </si>
  <si>
    <t>Q9BR76</t>
  </si>
  <si>
    <t>Q9BRA2</t>
  </si>
  <si>
    <t>Q9BRF8</t>
  </si>
  <si>
    <t>Q9BRG1</t>
  </si>
  <si>
    <t>Q9BRK5</t>
  </si>
  <si>
    <t>Q9BRP4</t>
  </si>
  <si>
    <t>Q9BRP8-2</t>
  </si>
  <si>
    <t>Q9BRT3</t>
  </si>
  <si>
    <t>Q9BRV8</t>
  </si>
  <si>
    <t>Q9BRZ2</t>
  </si>
  <si>
    <t>Q9BS26</t>
  </si>
  <si>
    <t>Q9BSE5</t>
  </si>
  <si>
    <t>Q9BSH4</t>
  </si>
  <si>
    <t>Q9BSH5</t>
  </si>
  <si>
    <t>Q9BSJ5-3</t>
  </si>
  <si>
    <t>Q9BSJ8</t>
  </si>
  <si>
    <t>Q9BSL1</t>
  </si>
  <si>
    <t>Q9BST9-3</t>
  </si>
  <si>
    <t>Q9BSU1</t>
  </si>
  <si>
    <t>Q9BSY4</t>
  </si>
  <si>
    <t>Q9BT09</t>
  </si>
  <si>
    <t>Q9BT30</t>
  </si>
  <si>
    <t>Q9BT73</t>
  </si>
  <si>
    <t>Q9BT78</t>
  </si>
  <si>
    <t>Q9BTC0</t>
  </si>
  <si>
    <t>Q9BTE1-2</t>
  </si>
  <si>
    <t>Q9BTE3-2</t>
  </si>
  <si>
    <t>Q9BTE6</t>
  </si>
  <si>
    <t>Q9BTM9</t>
  </si>
  <si>
    <t>Q9BTT0-3</t>
  </si>
  <si>
    <t>Q9BTW9</t>
  </si>
  <si>
    <t>Q9BTX7</t>
  </si>
  <si>
    <t>Q9BTY2</t>
  </si>
  <si>
    <t>Q9BTY7</t>
  </si>
  <si>
    <t>Q9BTZ2</t>
  </si>
  <si>
    <t>Q9BU02</t>
  </si>
  <si>
    <t>Q9BU89</t>
  </si>
  <si>
    <t>Q9BUE0</t>
  </si>
  <si>
    <t>Q9BUE6</t>
  </si>
  <si>
    <t>Q9BUH6</t>
  </si>
  <si>
    <t>Q9BUJ2-2</t>
  </si>
  <si>
    <t>Q9BUP0</t>
  </si>
  <si>
    <t>Q9BUQ8</t>
  </si>
  <si>
    <t>Q9BUT1</t>
  </si>
  <si>
    <t>Q9BUT9</t>
  </si>
  <si>
    <t>Q9BV19</t>
  </si>
  <si>
    <t>Q9BV20</t>
  </si>
  <si>
    <t>Q9BV44</t>
  </si>
  <si>
    <t>Q9BV57</t>
  </si>
  <si>
    <t>Q9BV79</t>
  </si>
  <si>
    <t>Q9BV86</t>
  </si>
  <si>
    <t>Q9BVG4</t>
  </si>
  <si>
    <t>Q9BVJ7</t>
  </si>
  <si>
    <t>Q9BVL4</t>
  </si>
  <si>
    <t>Q9BVM4</t>
  </si>
  <si>
    <t>Q9BVS5</t>
  </si>
  <si>
    <t>Q9BW61</t>
  </si>
  <si>
    <t>Q9BW71-2</t>
  </si>
  <si>
    <t>Q9BW83</t>
  </si>
  <si>
    <t>Q9BW91-2</t>
  </si>
  <si>
    <t>Q9BW92</t>
  </si>
  <si>
    <t>Q9BWD1</t>
  </si>
  <si>
    <t>Q9BWE0</t>
  </si>
  <si>
    <t>Q9BWF3-4</t>
  </si>
  <si>
    <t>Q9BWH6</t>
  </si>
  <si>
    <t>Q9BWU0</t>
  </si>
  <si>
    <t>Q9BX66-9</t>
  </si>
  <si>
    <t>Q9BX68</t>
  </si>
  <si>
    <t>Q9BX95</t>
  </si>
  <si>
    <t>Q9BXI6</t>
  </si>
  <si>
    <t>Q9BXJ9</t>
  </si>
  <si>
    <t>Q9BXK5</t>
  </si>
  <si>
    <t>Q9BXP5-5</t>
  </si>
  <si>
    <t>Q9BXR0</t>
  </si>
  <si>
    <t>Q9BXS6-7</t>
  </si>
  <si>
    <t>Q9BXV9</t>
  </si>
  <si>
    <t>Q9BXW6-2</t>
  </si>
  <si>
    <t>Q9BXW7-2</t>
  </si>
  <si>
    <t>Q9BY32</t>
  </si>
  <si>
    <t>Q9BY42</t>
  </si>
  <si>
    <t>Q9BY43</t>
  </si>
  <si>
    <t>Q9BY49</t>
  </si>
  <si>
    <t>Q9BY77</t>
  </si>
  <si>
    <t>Q9BY89</t>
  </si>
  <si>
    <t>Q9BYE9</t>
  </si>
  <si>
    <t>Q9BYM8</t>
  </si>
  <si>
    <t>Q9BYN0</t>
  </si>
  <si>
    <t>Q9BYP7-3</t>
  </si>
  <si>
    <t>Q9BYT8</t>
  </si>
  <si>
    <t>Q9BYV1</t>
  </si>
  <si>
    <t>Q9BYV7-4</t>
  </si>
  <si>
    <t>Q9BYX4</t>
  </si>
  <si>
    <t>Q9BZ23-3</t>
  </si>
  <si>
    <t>Q9BZE2</t>
  </si>
  <si>
    <t>Q9BZE9</t>
  </si>
  <si>
    <t>Q9BZH6</t>
  </si>
  <si>
    <t>Q9BZI7-2</t>
  </si>
  <si>
    <t>Q9BZK7</t>
  </si>
  <si>
    <t>Q9BZL1</t>
  </si>
  <si>
    <t>Q9BZL4</t>
  </si>
  <si>
    <t>Q9BZZ5-2</t>
  </si>
  <si>
    <t>Q9C005</t>
  </si>
  <si>
    <t>Q9C040</t>
  </si>
  <si>
    <t>Q9C0B0</t>
  </si>
  <si>
    <t>Q9C0B1</t>
  </si>
  <si>
    <t>Q9C0B5-2</t>
  </si>
  <si>
    <t>Q9C0C2</t>
  </si>
  <si>
    <t>Q9C0C9</t>
  </si>
  <si>
    <t>Q9C0G6</t>
  </si>
  <si>
    <t>Q9C0H9-5</t>
  </si>
  <si>
    <t>Q9C0I1</t>
  </si>
  <si>
    <t>Q9C0J8</t>
  </si>
  <si>
    <t>Q9GZN8</t>
  </si>
  <si>
    <t>Q9GZP4</t>
  </si>
  <si>
    <t>Q9GZQ3</t>
  </si>
  <si>
    <t>Q9GZT3-2</t>
  </si>
  <si>
    <t>Q9GZT8-2</t>
  </si>
  <si>
    <t>Q9GZT9-2</t>
  </si>
  <si>
    <t>Q9GZU8</t>
  </si>
  <si>
    <t>Q9GZZ9</t>
  </si>
  <si>
    <t>Q9H008</t>
  </si>
  <si>
    <t>Q9H074</t>
  </si>
  <si>
    <t>Q9H098</t>
  </si>
  <si>
    <t>Q9H0C8</t>
  </si>
  <si>
    <t>Q9H0D6</t>
  </si>
  <si>
    <t>Q9H0E2</t>
  </si>
  <si>
    <t>Q9H0F6</t>
  </si>
  <si>
    <t>Q9H0G5</t>
  </si>
  <si>
    <t>Q9H0K1</t>
  </si>
  <si>
    <t>Q9H0L4</t>
  </si>
  <si>
    <t>Q9H0P0-1</t>
  </si>
  <si>
    <t>Q9H0R6</t>
  </si>
  <si>
    <t>Q9H0U4</t>
  </si>
  <si>
    <t>Q9H0W9</t>
  </si>
  <si>
    <t>Q9H1B7</t>
  </si>
  <si>
    <t>Q9H1E3</t>
  </si>
  <si>
    <t>Q9H1H9-3</t>
  </si>
  <si>
    <t>Q9H1J1-2</t>
  </si>
  <si>
    <t>Q9H1K0</t>
  </si>
  <si>
    <t>Q9H1K1</t>
  </si>
  <si>
    <t>Q9H1P3-2</t>
  </si>
  <si>
    <t>Q9H1Y0</t>
  </si>
  <si>
    <t>Q9H1Z4</t>
  </si>
  <si>
    <t>Q9H223</t>
  </si>
  <si>
    <t>Q9H227</t>
  </si>
  <si>
    <t>Q9H267</t>
  </si>
  <si>
    <t>Q9H270</t>
  </si>
  <si>
    <t>Q9H2A2</t>
  </si>
  <si>
    <t>Q9H2D6-5</t>
  </si>
  <si>
    <t>Q9H2G2-2</t>
  </si>
  <si>
    <t>Q9H2H8</t>
  </si>
  <si>
    <t>Q9H2M3</t>
  </si>
  <si>
    <t>Q9H2M9</t>
  </si>
  <si>
    <t>Q9H2P0</t>
  </si>
  <si>
    <t>Q9H2P9-3</t>
  </si>
  <si>
    <t>Q9H2U1-3</t>
  </si>
  <si>
    <t>Q9H2U2</t>
  </si>
  <si>
    <t>Q9H2W6</t>
  </si>
  <si>
    <t>Q9H307</t>
  </si>
  <si>
    <t>Q9H3G5</t>
  </si>
  <si>
    <t>Q9H3H3</t>
  </si>
  <si>
    <t>Q9H3K6</t>
  </si>
  <si>
    <t>Q9H3P2</t>
  </si>
  <si>
    <t>Q9H3P7</t>
  </si>
  <si>
    <t>Q9H3Q1</t>
  </si>
  <si>
    <t>Q9H3S7</t>
  </si>
  <si>
    <t>Q9H3U1-2</t>
  </si>
  <si>
    <t>Q9H400-2</t>
  </si>
  <si>
    <t>Q9H444</t>
  </si>
  <si>
    <t>Q9H479</t>
  </si>
  <si>
    <t>Q9H488</t>
  </si>
  <si>
    <t>Q9H4A4</t>
  </si>
  <si>
    <t>Q9H4A6</t>
  </si>
  <si>
    <t>Q9H4B0</t>
  </si>
  <si>
    <t>Q9H4I2</t>
  </si>
  <si>
    <t>Q9H4M9</t>
  </si>
  <si>
    <t>Q9H5N1</t>
  </si>
  <si>
    <t>Q9H5Q4</t>
  </si>
  <si>
    <t>Q9H5X1</t>
  </si>
  <si>
    <t>Q9H6Q4-3</t>
  </si>
  <si>
    <t>Q9H6R3</t>
  </si>
  <si>
    <t>Q9H6S0</t>
  </si>
  <si>
    <t>Q9H6S3</t>
  </si>
  <si>
    <t>Q9H6T0-2</t>
  </si>
  <si>
    <t>Q9H6T3-2</t>
  </si>
  <si>
    <t>Q9H773</t>
  </si>
  <si>
    <t>Q9H777</t>
  </si>
  <si>
    <t>Q9H788</t>
  </si>
  <si>
    <t>Q9H7C9</t>
  </si>
  <si>
    <t>Q9H7D0</t>
  </si>
  <si>
    <t>Q9H7E2-3</t>
  </si>
  <si>
    <t>Q9H7N4</t>
  </si>
  <si>
    <t>Q9H7Z6</t>
  </si>
  <si>
    <t>Q9H7Z7</t>
  </si>
  <si>
    <t>Q9H814</t>
  </si>
  <si>
    <t>Q9H832</t>
  </si>
  <si>
    <t>Q9H845</t>
  </si>
  <si>
    <t>Q9H8S9</t>
  </si>
  <si>
    <t>Q9H8U3</t>
  </si>
  <si>
    <t>Q9H8W4</t>
  </si>
  <si>
    <t>Q9H8Y8</t>
  </si>
  <si>
    <t>Q9H939</t>
  </si>
  <si>
    <t>Q9H974</t>
  </si>
  <si>
    <t>Q9H993</t>
  </si>
  <si>
    <t>Q9H999</t>
  </si>
  <si>
    <t>Q9H9A6</t>
  </si>
  <si>
    <t>Q9H9B1-4</t>
  </si>
  <si>
    <t>Q9H9C1-2</t>
  </si>
  <si>
    <t>Q9H9E3</t>
  </si>
  <si>
    <t>Q9H9G7-2</t>
  </si>
  <si>
    <t>Q9H9J2</t>
  </si>
  <si>
    <t>Q9H9S4</t>
  </si>
  <si>
    <t>Q9H9T3-2</t>
  </si>
  <si>
    <t>Q9HA64</t>
  </si>
  <si>
    <t>Q9HA65</t>
  </si>
  <si>
    <t>Q9HA77</t>
  </si>
  <si>
    <t>Q9HAB8</t>
  </si>
  <si>
    <t>Q9HAC7-4</t>
  </si>
  <si>
    <t>Q9HAN9</t>
  </si>
  <si>
    <t>Q9HAP2</t>
  </si>
  <si>
    <t>Q9HAT2</t>
  </si>
  <si>
    <t>Q9HAU0</t>
  </si>
  <si>
    <t>Q9HAU5</t>
  </si>
  <si>
    <t>Q9HAV4</t>
  </si>
  <si>
    <t>Q9HAV7</t>
  </si>
  <si>
    <t>Q9HB07</t>
  </si>
  <si>
    <t>Q9HB21</t>
  </si>
  <si>
    <t>Q9HB40</t>
  </si>
  <si>
    <t>Q9HB71</t>
  </si>
  <si>
    <t>Q9HB90</t>
  </si>
  <si>
    <t>Q9HBF4-2</t>
  </si>
  <si>
    <t>Q9HBH1</t>
  </si>
  <si>
    <t>Q9HBI1</t>
  </si>
  <si>
    <t>Q9HBK9</t>
  </si>
  <si>
    <t>Q9HBL8</t>
  </si>
  <si>
    <t>Q9HBR0</t>
  </si>
  <si>
    <t>Q9HC35</t>
  </si>
  <si>
    <t>Q9HC38-2</t>
  </si>
  <si>
    <t>Q9HCB6</t>
  </si>
  <si>
    <t>Q9HCC0</t>
  </si>
  <si>
    <t>Q9HCC9-5</t>
  </si>
  <si>
    <t>Q9HCE5</t>
  </si>
  <si>
    <t>Q9HCE6-3</t>
  </si>
  <si>
    <t>Q9HCM4-2</t>
  </si>
  <si>
    <t>Q9HCN4-3</t>
  </si>
  <si>
    <t>Q9HCN8</t>
  </si>
  <si>
    <t>Q9HD15</t>
  </si>
  <si>
    <t>Q9HD26-2</t>
  </si>
  <si>
    <t>Q9HD33-2</t>
  </si>
  <si>
    <t>Q9HD40</t>
  </si>
  <si>
    <t>Q9HD42</t>
  </si>
  <si>
    <t>Q9HD89</t>
  </si>
  <si>
    <t>Q9HDC5</t>
  </si>
  <si>
    <t>Q9NP61</t>
  </si>
  <si>
    <t>Q9NP71-4</t>
  </si>
  <si>
    <t>Q9NP72</t>
  </si>
  <si>
    <t>Q9NP74</t>
  </si>
  <si>
    <t>Q9NP77</t>
  </si>
  <si>
    <t>Q9NP79</t>
  </si>
  <si>
    <t>Q9NP97</t>
  </si>
  <si>
    <t>Q9NPA8-2</t>
  </si>
  <si>
    <t>Q9NPD3</t>
  </si>
  <si>
    <t>Q9NPF4</t>
  </si>
  <si>
    <t>Q9NPH0</t>
  </si>
  <si>
    <t>Q9NPJ3</t>
  </si>
  <si>
    <t>Q9NPQ8-2</t>
  </si>
  <si>
    <t>Q9NQ88</t>
  </si>
  <si>
    <t>Q9NQ94-2</t>
  </si>
  <si>
    <t>Q9NQG5</t>
  </si>
  <si>
    <t>Q9NQH7-2</t>
  </si>
  <si>
    <t>Q9NQP4</t>
  </si>
  <si>
    <t>Q9NQR4</t>
  </si>
  <si>
    <t>Q9NQS1</t>
  </si>
  <si>
    <t>Q9NQT8</t>
  </si>
  <si>
    <t>Q9NQW7-3</t>
  </si>
  <si>
    <t>Q9NQX3</t>
  </si>
  <si>
    <t>Q9NR19</t>
  </si>
  <si>
    <t>Q9NR28-2</t>
  </si>
  <si>
    <t>Q9NR30</t>
  </si>
  <si>
    <t>Q9NR45</t>
  </si>
  <si>
    <t>Q9NR46</t>
  </si>
  <si>
    <t>Q9NR50</t>
  </si>
  <si>
    <t>Q9NRF8</t>
  </si>
  <si>
    <t>Q9NRF9</t>
  </si>
  <si>
    <t>Q9NRG7-2</t>
  </si>
  <si>
    <t>Q9NRN7</t>
  </si>
  <si>
    <t>Q9NRP4</t>
  </si>
  <si>
    <t>Q9NRR5</t>
  </si>
  <si>
    <t>Q9NRV9</t>
  </si>
  <si>
    <t>Q9NRW7</t>
  </si>
  <si>
    <t>Q9NRX4</t>
  </si>
  <si>
    <t>Q9NRY4</t>
  </si>
  <si>
    <t>Q9NRY5</t>
  </si>
  <si>
    <t>Q9NS86</t>
  </si>
  <si>
    <t>Q9NSA3</t>
  </si>
  <si>
    <t>Q9NSE4</t>
  </si>
  <si>
    <t>Q9NSK0</t>
  </si>
  <si>
    <t>Q9NSY0</t>
  </si>
  <si>
    <t>Q9NSY1-2</t>
  </si>
  <si>
    <t>Q9NSY2</t>
  </si>
  <si>
    <t>Q9NT62</t>
  </si>
  <si>
    <t>Q9NTG7-2</t>
  </si>
  <si>
    <t>Q9NTG7</t>
  </si>
  <si>
    <t>Q9NTI5-2</t>
  </si>
  <si>
    <t>Q9NTJ4-3</t>
  </si>
  <si>
    <t>Q9NTK5-2</t>
  </si>
  <si>
    <t>Q9NTK5</t>
  </si>
  <si>
    <t>Q9NTX5-6</t>
  </si>
  <si>
    <t>Q9NTZ6</t>
  </si>
  <si>
    <t>Q9NU23</t>
  </si>
  <si>
    <t>Q9NUI1</t>
  </si>
  <si>
    <t>Q9NUJ1</t>
  </si>
  <si>
    <t>Q9NUL5-4</t>
  </si>
  <si>
    <t>Q9NUP1</t>
  </si>
  <si>
    <t>Q9NUQ6</t>
  </si>
  <si>
    <t>Q9NUQ8-2</t>
  </si>
  <si>
    <t>Q9NUQ9</t>
  </si>
  <si>
    <t>Q9NUV9</t>
  </si>
  <si>
    <t>Q9NUY8-2</t>
  </si>
  <si>
    <t>Q9NV35</t>
  </si>
  <si>
    <t>Q9NV56</t>
  </si>
  <si>
    <t>Q9NV70-2</t>
  </si>
  <si>
    <t>Q9NVD7</t>
  </si>
  <si>
    <t>Q9NVE7</t>
  </si>
  <si>
    <t>Q9NVF9</t>
  </si>
  <si>
    <t>Q9NVG8</t>
  </si>
  <si>
    <t>Q9NVH6</t>
  </si>
  <si>
    <t>Q9NVM6</t>
  </si>
  <si>
    <t>Q9NVR5</t>
  </si>
  <si>
    <t>Q9NVS9</t>
  </si>
  <si>
    <t>Q9NVT9</t>
  </si>
  <si>
    <t>Q9NVX2</t>
  </si>
  <si>
    <t>Q9NVZ3</t>
  </si>
  <si>
    <t>Q9NW64</t>
  </si>
  <si>
    <t>Q9NW68-4</t>
  </si>
  <si>
    <t>Q9NW82</t>
  </si>
  <si>
    <t>Q9NWB6-2</t>
  </si>
  <si>
    <t>Q9NWH9</t>
  </si>
  <si>
    <t>Q9NWT8</t>
  </si>
  <si>
    <t>Q9NWU1</t>
  </si>
  <si>
    <t>Q9NWU2</t>
  </si>
  <si>
    <t>Q9NWV4</t>
  </si>
  <si>
    <t>Q9NWW6</t>
  </si>
  <si>
    <t>Q9NWX6</t>
  </si>
  <si>
    <t>Q9NWY4</t>
  </si>
  <si>
    <t>Q9NWZ3</t>
  </si>
  <si>
    <t>Q9NX08</t>
  </si>
  <si>
    <t>Q9NX38</t>
  </si>
  <si>
    <t>Q9NX46</t>
  </si>
  <si>
    <t>Q9NX55</t>
  </si>
  <si>
    <t>Q9NXA8</t>
  </si>
  <si>
    <t>Q9NXD2</t>
  </si>
  <si>
    <t>Q9NXG2</t>
  </si>
  <si>
    <t>Q9NXH9-2</t>
  </si>
  <si>
    <t>Q9NXR7-4</t>
  </si>
  <si>
    <t>Q9NXU5</t>
  </si>
  <si>
    <t>Q9NXV6</t>
  </si>
  <si>
    <t>Q9NXW2</t>
  </si>
  <si>
    <t>Q9NY27</t>
  </si>
  <si>
    <t>Q9NY33-4</t>
  </si>
  <si>
    <t>Q9NYB0</t>
  </si>
  <si>
    <t>Q9NYF8-2</t>
  </si>
  <si>
    <t>Q9NYJ1</t>
  </si>
  <si>
    <t>Q9NYJ8-2</t>
  </si>
  <si>
    <t>Q9NYL2-2</t>
  </si>
  <si>
    <t>Q9NYL2</t>
  </si>
  <si>
    <t>Q9NYL9</t>
  </si>
  <si>
    <t>Q9NYQ3</t>
  </si>
  <si>
    <t>Q9NYU2-2</t>
  </si>
  <si>
    <t>Q9NYY8-2</t>
  </si>
  <si>
    <t>Q9NZ08</t>
  </si>
  <si>
    <t>Q9NZ09-2</t>
  </si>
  <si>
    <t>Q9NZ32</t>
  </si>
  <si>
    <t>Q9NZ45</t>
  </si>
  <si>
    <t>Q9NZ63</t>
  </si>
  <si>
    <t>Q9NZB2</t>
  </si>
  <si>
    <t>Q9NZB8-2</t>
  </si>
  <si>
    <t>Q9NZJ6</t>
  </si>
  <si>
    <t>Q9NZJ9</t>
  </si>
  <si>
    <t>Q9NZL4</t>
  </si>
  <si>
    <t>Q9NZL9</t>
  </si>
  <si>
    <t>Q9NZM3-2</t>
  </si>
  <si>
    <t>Q9NZN5-2</t>
  </si>
  <si>
    <t>Q9NZN8-4</t>
  </si>
  <si>
    <t>Q9NZN9-3</t>
  </si>
  <si>
    <t>Q9NZP8</t>
  </si>
  <si>
    <t>Q9NZT2-2</t>
  </si>
  <si>
    <t>Q9NZU5</t>
  </si>
  <si>
    <t>Q9NZZ3</t>
  </si>
  <si>
    <t>Q9P000</t>
  </si>
  <si>
    <t>Q9P013</t>
  </si>
  <si>
    <t>Q9P016</t>
  </si>
  <si>
    <t>Q9P0J1</t>
  </si>
  <si>
    <t>Q9P0K7-3</t>
  </si>
  <si>
    <t>Q9P0L0</t>
  </si>
  <si>
    <t>Q9P0P8</t>
  </si>
  <si>
    <t>Q9P0R6</t>
  </si>
  <si>
    <t>Q9P0Z9</t>
  </si>
  <si>
    <t>Q9P1F3</t>
  </si>
  <si>
    <t>Q9P1U1</t>
  </si>
  <si>
    <t>Q9P1Y5</t>
  </si>
  <si>
    <t>Q9P1Z2-2</t>
  </si>
  <si>
    <t>Q9P206-2</t>
  </si>
  <si>
    <t>Q9P258</t>
  </si>
  <si>
    <t>Q9P260</t>
  </si>
  <si>
    <t>Q9P265</t>
  </si>
  <si>
    <t>Q9P270</t>
  </si>
  <si>
    <t>Q9P287</t>
  </si>
  <si>
    <t>Q9P299</t>
  </si>
  <si>
    <t>Q9P2D3-3</t>
  </si>
  <si>
    <t>Q9P2E9-2</t>
  </si>
  <si>
    <t>Q9P2E9</t>
  </si>
  <si>
    <t>Q9P2K8-2</t>
  </si>
  <si>
    <t>Q9P2M7</t>
  </si>
  <si>
    <t>Q9P2N5</t>
  </si>
  <si>
    <t>Q9P2R3</t>
  </si>
  <si>
    <t>Q9P2X3</t>
  </si>
  <si>
    <t>Q9UBB4</t>
  </si>
  <si>
    <t>Q9UBC2-3</t>
  </si>
  <si>
    <t>Q9UBE0</t>
  </si>
  <si>
    <t>Q9UBF2</t>
  </si>
  <si>
    <t>Q9UBF6</t>
  </si>
  <si>
    <t>Q9UBK8-2</t>
  </si>
  <si>
    <t>Q9UBK9</t>
  </si>
  <si>
    <t>Q9UBL3-2</t>
  </si>
  <si>
    <t>Q9UBN7</t>
  </si>
  <si>
    <t>Q9UBP0-3</t>
  </si>
  <si>
    <t>Q9UBP6</t>
  </si>
  <si>
    <t>Q9UBQ0</t>
  </si>
  <si>
    <t>Q9UBQ7</t>
  </si>
  <si>
    <t>Q9UBR1</t>
  </si>
  <si>
    <t>Q9UBR2</t>
  </si>
  <si>
    <t>Q9UBS4</t>
  </si>
  <si>
    <t>Q9UBS8</t>
  </si>
  <si>
    <t>Q9UBT2</t>
  </si>
  <si>
    <t>Q9UBV8</t>
  </si>
  <si>
    <t>Q9UBW8</t>
  </si>
  <si>
    <t>Q9UDR5</t>
  </si>
  <si>
    <t>Q9UDX3-2</t>
  </si>
  <si>
    <t>Q9UDY2-3</t>
  </si>
  <si>
    <t>Q9UDY4</t>
  </si>
  <si>
    <t>Q9UEY8-2</t>
  </si>
  <si>
    <t>Q9UFG5</t>
  </si>
  <si>
    <t>Q9UFN0</t>
  </si>
  <si>
    <t>Q9UFW8</t>
  </si>
  <si>
    <t>Q9UGC7</t>
  </si>
  <si>
    <t>Q9UGI8</t>
  </si>
  <si>
    <t>Q9UGP4</t>
  </si>
  <si>
    <t>Q9UH62</t>
  </si>
  <si>
    <t>Q9UH65</t>
  </si>
  <si>
    <t>Q9UH92-2</t>
  </si>
  <si>
    <t>Q9UHA4</t>
  </si>
  <si>
    <t>Q9UHB6</t>
  </si>
  <si>
    <t>Q9UHB9</t>
  </si>
  <si>
    <t>Q9UHD1</t>
  </si>
  <si>
    <t>Q9UHD8</t>
  </si>
  <si>
    <t>Q9UHD9</t>
  </si>
  <si>
    <t>Q9UHJ6</t>
  </si>
  <si>
    <t>Q9UHL4</t>
  </si>
  <si>
    <t>Q9UHR4</t>
  </si>
  <si>
    <t>Q9UHR5-2</t>
  </si>
  <si>
    <t>Q9UHV9</t>
  </si>
  <si>
    <t>Q9UHX1-4</t>
  </si>
  <si>
    <t>Q9UHY7</t>
  </si>
  <si>
    <t>Q9UI08</t>
  </si>
  <si>
    <t>Q9UI10-3</t>
  </si>
  <si>
    <t>Q9UI10</t>
  </si>
  <si>
    <t>Q9UI12-2</t>
  </si>
  <si>
    <t>Q9UI17</t>
  </si>
  <si>
    <t>Q9UI32</t>
  </si>
  <si>
    <t>Q9UIA9</t>
  </si>
  <si>
    <t>Q9UID3-2</t>
  </si>
  <si>
    <t>Q9UII2</t>
  </si>
  <si>
    <t>Q9UIJ7</t>
  </si>
  <si>
    <t>Q9UIX4</t>
  </si>
  <si>
    <t>Q9UJ41-2</t>
  </si>
  <si>
    <t>Q9UJ68-5</t>
  </si>
  <si>
    <t>Q9UJ70</t>
  </si>
  <si>
    <t>Q9UJA5-2</t>
  </si>
  <si>
    <t>Q9UJC5</t>
  </si>
  <si>
    <t>Q9UJM3</t>
  </si>
  <si>
    <t>Q9UJM8</t>
  </si>
  <si>
    <t>Q9UJU6</t>
  </si>
  <si>
    <t>Q9UJW0</t>
  </si>
  <si>
    <t>Q9UJY5-4</t>
  </si>
  <si>
    <t>Q9UK22</t>
  </si>
  <si>
    <t>Q9UK41</t>
  </si>
  <si>
    <t>Q9UK45</t>
  </si>
  <si>
    <t>Q9UK59</t>
  </si>
  <si>
    <t>Q9UK99-2</t>
  </si>
  <si>
    <t>Q9UKB3-2</t>
  </si>
  <si>
    <t>Q9UKG1</t>
  </si>
  <si>
    <t>Q9UKG9</t>
  </si>
  <si>
    <t>Q9UKK9</t>
  </si>
  <si>
    <t>Q9UKL6</t>
  </si>
  <si>
    <t>Q9UKS6</t>
  </si>
  <si>
    <t>Q9UKT5</t>
  </si>
  <si>
    <t>Q9UKU7</t>
  </si>
  <si>
    <t>Q9UKV8</t>
  </si>
  <si>
    <t>Q9UKX7</t>
  </si>
  <si>
    <t>Q9UKY7</t>
  </si>
  <si>
    <t>Q9UL12</t>
  </si>
  <si>
    <t>Q9UL25</t>
  </si>
  <si>
    <t>Q9UL42</t>
  </si>
  <si>
    <t>Q9UL46</t>
  </si>
  <si>
    <t>Q9ULA0</t>
  </si>
  <si>
    <t>Q9ULC4</t>
  </si>
  <si>
    <t>Q9ULC5</t>
  </si>
  <si>
    <t>Q9ULD0</t>
  </si>
  <si>
    <t>Q9ULD2-2</t>
  </si>
  <si>
    <t>Q9ULH7-4</t>
  </si>
  <si>
    <t>Q9ULP9-2</t>
  </si>
  <si>
    <t>Q9ULT8</t>
  </si>
  <si>
    <t>Q9ULV4</t>
  </si>
  <si>
    <t>Q9ULZ3-2</t>
  </si>
  <si>
    <t>Q9UM22-2</t>
  </si>
  <si>
    <t>Q9UMR2-2</t>
  </si>
  <si>
    <t>Q9UMS0-3</t>
  </si>
  <si>
    <t>Q9UMS4</t>
  </si>
  <si>
    <t>Q9UMX0-2</t>
  </si>
  <si>
    <t>Q9UMX5</t>
  </si>
  <si>
    <t>Q9UMY4-2</t>
  </si>
  <si>
    <t>Q9UMZ2-6</t>
  </si>
  <si>
    <t>Q9UN36</t>
  </si>
  <si>
    <t>Q9UN37</t>
  </si>
  <si>
    <t>Q9UN86</t>
  </si>
  <si>
    <t>Q9UNE7</t>
  </si>
  <si>
    <t>Q9UNF0-2</t>
  </si>
  <si>
    <t>Q9UNF1</t>
  </si>
  <si>
    <t>Q9UNH7</t>
  </si>
  <si>
    <t>Q9UNM6</t>
  </si>
  <si>
    <t>Q9UNN5</t>
  </si>
  <si>
    <t>Q9UNS2</t>
  </si>
  <si>
    <t>Q9UNZ2</t>
  </si>
  <si>
    <t>Q9UP83</t>
  </si>
  <si>
    <t>Q9UPN6</t>
  </si>
  <si>
    <t>Q9UPN7</t>
  </si>
  <si>
    <t>Q9UPN9-2</t>
  </si>
  <si>
    <t>Q9UPQ9-1</t>
  </si>
  <si>
    <t>Q9UPT5-2</t>
  </si>
  <si>
    <t>Q9UPU5</t>
  </si>
  <si>
    <t>Q9UPU7-2</t>
  </si>
  <si>
    <t>Q9UPY3-2</t>
  </si>
  <si>
    <t>Q9UPY8-2</t>
  </si>
  <si>
    <t>Q9UPY8</t>
  </si>
  <si>
    <t>Q9UQ35</t>
  </si>
  <si>
    <t>Q9UQ80</t>
  </si>
  <si>
    <t>Q9UQ88-4</t>
  </si>
  <si>
    <t>Q9UQB8-5</t>
  </si>
  <si>
    <t>Q9UQE7</t>
  </si>
  <si>
    <t>Q9UQN3</t>
  </si>
  <si>
    <t>Q9Y217</t>
  </si>
  <si>
    <t>Q9Y223</t>
  </si>
  <si>
    <t>Q9Y224</t>
  </si>
  <si>
    <t>Q9Y230</t>
  </si>
  <si>
    <t>Q9Y237</t>
  </si>
  <si>
    <t>Q9Y259</t>
  </si>
  <si>
    <t>Q9Y262-2</t>
  </si>
  <si>
    <t>Q9Y263</t>
  </si>
  <si>
    <t>Q9Y265</t>
  </si>
  <si>
    <t>Q9Y266</t>
  </si>
  <si>
    <t>Q9Y281</t>
  </si>
  <si>
    <t>Q9Y295</t>
  </si>
  <si>
    <t>Q9Y2A7</t>
  </si>
  <si>
    <t>Q9Y2B0</t>
  </si>
  <si>
    <t>Q9Y2D4</t>
  </si>
  <si>
    <t>Q9Y2D5-6</t>
  </si>
  <si>
    <t>Q9Y2E4</t>
  </si>
  <si>
    <t>Q9Y2H5</t>
  </si>
  <si>
    <t>Q9Y2I1-4</t>
  </si>
  <si>
    <t>Q9Y2L5-2</t>
  </si>
  <si>
    <t>Q9Y2P5</t>
  </si>
  <si>
    <t>Q9Y2Q3</t>
  </si>
  <si>
    <t>Q9Y2Q5</t>
  </si>
  <si>
    <t>Q9Y2Q9</t>
  </si>
  <si>
    <t>Q9Y2R0</t>
  </si>
  <si>
    <t>Q9Y2S2</t>
  </si>
  <si>
    <t>Q9Y2S6</t>
  </si>
  <si>
    <t>Q9Y2S7</t>
  </si>
  <si>
    <t>Q9Y2T2</t>
  </si>
  <si>
    <t>Q9Y2T3-3</t>
  </si>
  <si>
    <t>Q9Y2U8</t>
  </si>
  <si>
    <t>Q9Y2V2</t>
  </si>
  <si>
    <t>Q9Y2W1</t>
  </si>
  <si>
    <t>Q9Y2X3</t>
  </si>
  <si>
    <t>Q9Y2Z0</t>
  </si>
  <si>
    <t>Q9Y2Z2-4</t>
  </si>
  <si>
    <t>Q9Y2Z4</t>
  </si>
  <si>
    <t>Q9Y2Z9-3</t>
  </si>
  <si>
    <t>Q9Y303</t>
  </si>
  <si>
    <t>Q9Y305</t>
  </si>
  <si>
    <t>Q9Y312</t>
  </si>
  <si>
    <t>Q9Y314</t>
  </si>
  <si>
    <t>Q9Y315</t>
  </si>
  <si>
    <t>Q9Y316</t>
  </si>
  <si>
    <t>Q9Y376</t>
  </si>
  <si>
    <t>Q9Y383</t>
  </si>
  <si>
    <t>Q9Y385</t>
  </si>
  <si>
    <t>Q9Y399</t>
  </si>
  <si>
    <t>Q9Y3A5</t>
  </si>
  <si>
    <t>Q9Y3B9</t>
  </si>
  <si>
    <t>Q9Y3C1</t>
  </si>
  <si>
    <t>Q9Y3C4-2</t>
  </si>
  <si>
    <t>Q9Y3C6</t>
  </si>
  <si>
    <t>Q9Y3C8</t>
  </si>
  <si>
    <t>Q9Y3D0</t>
  </si>
  <si>
    <t>Q9Y3D2</t>
  </si>
  <si>
    <t>Q9Y3D6</t>
  </si>
  <si>
    <t>Q9Y3E2</t>
  </si>
  <si>
    <t>Q9Y3E7-4</t>
  </si>
  <si>
    <t>Q9Y3F4</t>
  </si>
  <si>
    <t>Q9Y3I0</t>
  </si>
  <si>
    <t>Q9Y3I1-3</t>
  </si>
  <si>
    <t>Q9Y3L5</t>
  </si>
  <si>
    <t>Q9Y3P9</t>
  </si>
  <si>
    <t>Q9Y3S2</t>
  </si>
  <si>
    <t>Q9Y3X0</t>
  </si>
  <si>
    <t>Q9Y3Y2-4</t>
  </si>
  <si>
    <t>Q9Y3Z3-4</t>
  </si>
  <si>
    <t>Q9Y450-4</t>
  </si>
  <si>
    <t>Q9Y490</t>
  </si>
  <si>
    <t>Q9Y4B6-3</t>
  </si>
  <si>
    <t>Q9Y4C2-2</t>
  </si>
  <si>
    <t>Q9Y4E8</t>
  </si>
  <si>
    <t>Q9Y4F1</t>
  </si>
  <si>
    <t>Q9Y4G6</t>
  </si>
  <si>
    <t>Q9Y4H2</t>
  </si>
  <si>
    <t>Q9Y4K1</t>
  </si>
  <si>
    <t>Q9Y4K3</t>
  </si>
  <si>
    <t>Q9Y4P8-3</t>
  </si>
  <si>
    <t>Q9Y4U1</t>
  </si>
  <si>
    <t>Q9Y4W6</t>
  </si>
  <si>
    <t>Q9Y4X5</t>
  </si>
  <si>
    <t>Q9Y4Z0</t>
  </si>
  <si>
    <t>Q9Y508</t>
  </si>
  <si>
    <t>Q9Y520-4</t>
  </si>
  <si>
    <t>Q9Y570</t>
  </si>
  <si>
    <t>Q9Y5A9-2</t>
  </si>
  <si>
    <t>Q9Y5B0</t>
  </si>
  <si>
    <t>Q9Y5B9</t>
  </si>
  <si>
    <t>Q9Y5J7</t>
  </si>
  <si>
    <t>Q9Y5J9</t>
  </si>
  <si>
    <t>Q9Y5K5-2</t>
  </si>
  <si>
    <t>Q9Y5K6</t>
  </si>
  <si>
    <t>Q9Y5K8</t>
  </si>
  <si>
    <t>Q9Y5L0</t>
  </si>
  <si>
    <t>Q9Y5L4</t>
  </si>
  <si>
    <t>Q9Y5P4-2</t>
  </si>
  <si>
    <t>Q9Y5P6</t>
  </si>
  <si>
    <t>Q9Y5R8</t>
  </si>
  <si>
    <t>Q9Y5S2</t>
  </si>
  <si>
    <t>Q9Y5S9</t>
  </si>
  <si>
    <t>Q9Y5X1</t>
  </si>
  <si>
    <t>Q9Y5X3</t>
  </si>
  <si>
    <t>Q9Y5Z4</t>
  </si>
  <si>
    <t>Q9Y608-4</t>
  </si>
  <si>
    <t>Q9Y617</t>
  </si>
  <si>
    <t>Q9Y646</t>
  </si>
  <si>
    <t>Q9Y678</t>
  </si>
  <si>
    <t>Q9Y696</t>
  </si>
  <si>
    <t>Q9Y697-2</t>
  </si>
  <si>
    <t>Q9Y6A4</t>
  </si>
  <si>
    <t>Q9Y6B6</t>
  </si>
  <si>
    <t>Q9Y6D5</t>
  </si>
  <si>
    <t>Q9Y6D6</t>
  </si>
  <si>
    <t>Q9Y6D9</t>
  </si>
  <si>
    <t>Q9Y6G5</t>
  </si>
  <si>
    <t>Q9Y6G9</t>
  </si>
  <si>
    <t>Q9Y6H1</t>
  </si>
  <si>
    <t>Q9Y6I3-3</t>
  </si>
  <si>
    <t>Q9Y6I9</t>
  </si>
  <si>
    <t>Q9Y6K5</t>
  </si>
  <si>
    <t>Q9Y6K9</t>
  </si>
  <si>
    <t>Q9Y6N5</t>
  </si>
  <si>
    <t>Q9Y6V0-2</t>
  </si>
  <si>
    <t>Q9Y6W3</t>
  </si>
  <si>
    <t>Q9Y6W5</t>
  </si>
  <si>
    <t>Q9Y6X5</t>
  </si>
  <si>
    <t>A1A528</t>
  </si>
  <si>
    <t>A2ABK1</t>
  </si>
  <si>
    <t>A3KFL4</t>
  </si>
  <si>
    <t>A6H8Z3</t>
  </si>
  <si>
    <t>A6NG64</t>
  </si>
  <si>
    <t>A6NG79</t>
  </si>
  <si>
    <t>A6NGP5</t>
  </si>
  <si>
    <t>A6NIR2</t>
  </si>
  <si>
    <t>A6NML8</t>
  </si>
  <si>
    <t>A6NN40</t>
  </si>
  <si>
    <t>A6NNK5</t>
  </si>
  <si>
    <t>A8K7Q2</t>
  </si>
  <si>
    <t>A8MTY9</t>
  </si>
  <si>
    <t>A8MU28</t>
  </si>
  <si>
    <t>A8MU44</t>
  </si>
  <si>
    <t>A8MUB1</t>
  </si>
  <si>
    <t>A8MWK3</t>
  </si>
  <si>
    <t>A9Z1X7</t>
  </si>
  <si>
    <t>B0UX83</t>
  </si>
  <si>
    <t>B0V0T3</t>
  </si>
  <si>
    <t>B1AK87</t>
  </si>
  <si>
    <t>B1AKG0</t>
  </si>
  <si>
    <t>B1AKN7</t>
  </si>
  <si>
    <t>B1AKZ5</t>
  </si>
  <si>
    <t>B1AL33</t>
  </si>
  <si>
    <t>B1AL69</t>
  </si>
  <si>
    <t>B1ALY0</t>
  </si>
  <si>
    <t>B1AMX9</t>
  </si>
  <si>
    <t>B1ANH0</t>
  </si>
  <si>
    <t>B3KRS5</t>
  </si>
  <si>
    <t>B3KSI9</t>
  </si>
  <si>
    <t>B3KVH8</t>
  </si>
  <si>
    <t>B3KWW1</t>
  </si>
  <si>
    <t>B3KY83</t>
  </si>
  <si>
    <t>B4DDD1</t>
  </si>
  <si>
    <t>B4DDD6</t>
  </si>
  <si>
    <t>B4DDF4</t>
  </si>
  <si>
    <t>B4DDZ0</t>
  </si>
  <si>
    <t>B4DE16</t>
  </si>
  <si>
    <t>B4DFA2</t>
  </si>
  <si>
    <t>B4DFG6</t>
  </si>
  <si>
    <t>B4DFI9</t>
  </si>
  <si>
    <t>B4DFQ4</t>
  </si>
  <si>
    <t>B4DGU4</t>
  </si>
  <si>
    <t>B4DGX2</t>
  </si>
  <si>
    <t>B4DH53</t>
  </si>
  <si>
    <t>B4DHT5</t>
  </si>
  <si>
    <t>B4DIT7</t>
  </si>
  <si>
    <t>B4DJ85</t>
  </si>
  <si>
    <t>B4DJA5</t>
  </si>
  <si>
    <t>B4DJC3</t>
  </si>
  <si>
    <t>B4DJP7</t>
  </si>
  <si>
    <t>B4DJV2</t>
  </si>
  <si>
    <t>B4DK69</t>
  </si>
  <si>
    <t>B4DK95</t>
  </si>
  <si>
    <t>B4DKJ3</t>
  </si>
  <si>
    <t>B4DKL4</t>
  </si>
  <si>
    <t>B4DL14</t>
  </si>
  <si>
    <t>B4DL54</t>
  </si>
  <si>
    <t>B4DLW8</t>
  </si>
  <si>
    <t>B4DP21</t>
  </si>
  <si>
    <t>B4DP38</t>
  </si>
  <si>
    <t>B4DPR4</t>
  </si>
  <si>
    <t>B4DPY8</t>
  </si>
  <si>
    <t>B4DQ14</t>
  </si>
  <si>
    <t>B4DQA8</t>
  </si>
  <si>
    <t>B4DQJ8</t>
  </si>
  <si>
    <t>B4DQT1</t>
  </si>
  <si>
    <t>B4DR80</t>
  </si>
  <si>
    <t>B4DRL9</t>
  </si>
  <si>
    <t>B4DSR5</t>
  </si>
  <si>
    <t>B4DT77</t>
  </si>
  <si>
    <t>B4DTG6</t>
  </si>
  <si>
    <t>B4DUS9</t>
  </si>
  <si>
    <t>B4DV96</t>
  </si>
  <si>
    <t>B4DVY1</t>
  </si>
  <si>
    <t>B4DWI1</t>
  </si>
  <si>
    <t>B4DWW4</t>
  </si>
  <si>
    <t>B4DXK4</t>
  </si>
  <si>
    <t>B4DXW4</t>
  </si>
  <si>
    <t>B4DZW6</t>
  </si>
  <si>
    <t>B4E0T7</t>
  </si>
  <si>
    <t>B4E107</t>
  </si>
  <si>
    <t>B4E1Z4</t>
  </si>
  <si>
    <t>B4E241</t>
  </si>
  <si>
    <t>B4E2T8</t>
  </si>
  <si>
    <t>B4E2W0</t>
  </si>
  <si>
    <t>B4E351</t>
  </si>
  <si>
    <t>B4E3Q4</t>
  </si>
  <si>
    <t>B5MC59</t>
  </si>
  <si>
    <t>B5MCP9</t>
  </si>
  <si>
    <t>B5MCX3</t>
  </si>
  <si>
    <t>B7WPP2</t>
  </si>
  <si>
    <t>B7Z1L3</t>
  </si>
  <si>
    <t>B7Z1R5</t>
  </si>
  <si>
    <t>B7Z1W9</t>
  </si>
  <si>
    <t>B7Z254</t>
  </si>
  <si>
    <t>B7Z2C3</t>
  </si>
  <si>
    <t>B7Z2R9</t>
  </si>
  <si>
    <t>B7Z2X9</t>
  </si>
  <si>
    <t>B7Z2Y2</t>
  </si>
  <si>
    <t>B7Z341</t>
  </si>
  <si>
    <t>B7Z385</t>
  </si>
  <si>
    <t>B7Z3B9</t>
  </si>
  <si>
    <t>B7Z3I9</t>
  </si>
  <si>
    <t>B7Z493</t>
  </si>
  <si>
    <t>B7Z4K6</t>
  </si>
  <si>
    <t>B7Z4L4</t>
  </si>
  <si>
    <t>B7Z4M2</t>
  </si>
  <si>
    <t>B7Z583</t>
  </si>
  <si>
    <t>B7Z5X7</t>
  </si>
  <si>
    <t>B7Z6B8</t>
  </si>
  <si>
    <t>B7Z729</t>
  </si>
  <si>
    <t>B7Z7F3</t>
  </si>
  <si>
    <t>B7Z7F9</t>
  </si>
  <si>
    <t>B7Z815</t>
  </si>
  <si>
    <t>B7Z848</t>
  </si>
  <si>
    <t>B7Z8K9</t>
  </si>
  <si>
    <t>B7Z8V7</t>
  </si>
  <si>
    <t>B7Z9K1</t>
  </si>
  <si>
    <t>B7ZA47</t>
  </si>
  <si>
    <t>B7ZM82</t>
  </si>
  <si>
    <t>B8K288</t>
  </si>
  <si>
    <t>B8ZZF5</t>
  </si>
  <si>
    <t>B8ZZG1</t>
  </si>
  <si>
    <t>B8ZZQ6</t>
  </si>
  <si>
    <t>B8ZZT4</t>
  </si>
  <si>
    <t>B8ZZU8</t>
  </si>
  <si>
    <t>C9IZA5</t>
  </si>
  <si>
    <t>C9IZG4</t>
  </si>
  <si>
    <t>C9J050</t>
  </si>
  <si>
    <t>C9J0K6</t>
  </si>
  <si>
    <t>C9J1C6</t>
  </si>
  <si>
    <t>C9J1Z8</t>
  </si>
  <si>
    <t>C9J212</t>
  </si>
  <si>
    <t>C9J5D1</t>
  </si>
  <si>
    <t>C9J6F3</t>
  </si>
  <si>
    <t>C9J9K3</t>
  </si>
  <si>
    <t>C9JAV3</t>
  </si>
  <si>
    <t>C9JAX1</t>
  </si>
  <si>
    <t>C9JB55</t>
  </si>
  <si>
    <t>C9JBI3</t>
  </si>
  <si>
    <t>C9JBJ6</t>
  </si>
  <si>
    <t>C9JCD9</t>
  </si>
  <si>
    <t>C9JDE9</t>
  </si>
  <si>
    <t>C9JDR0</t>
  </si>
  <si>
    <t>C9JEL3</t>
  </si>
  <si>
    <t>C9JFE4</t>
  </si>
  <si>
    <t>C9JG87</t>
  </si>
  <si>
    <t>C9JG97</t>
  </si>
  <si>
    <t>C9JGB2</t>
  </si>
  <si>
    <t>C9JIK8</t>
  </si>
  <si>
    <t>C9JJ54</t>
  </si>
  <si>
    <t>C9JJV1</t>
  </si>
  <si>
    <t>C9JNE2</t>
  </si>
  <si>
    <t>C9JP32</t>
  </si>
  <si>
    <t>C9JPM4</t>
  </si>
  <si>
    <t>C9JQ41</t>
  </si>
  <si>
    <t>C9JQD4</t>
  </si>
  <si>
    <t>C9JS27</t>
  </si>
  <si>
    <t>C9JSR1</t>
  </si>
  <si>
    <t>C9JV49</t>
  </si>
  <si>
    <t>C9JVN9</t>
  </si>
  <si>
    <t>C9JW69</t>
  </si>
  <si>
    <t>C9JXB8</t>
  </si>
  <si>
    <t>C9JXB9</t>
  </si>
  <si>
    <t>C9JXK0</t>
  </si>
  <si>
    <t>C9JXK9</t>
  </si>
  <si>
    <t>C9JYY9</t>
  </si>
  <si>
    <t>C9JYZ0</t>
  </si>
  <si>
    <t>C9JZP6</t>
  </si>
  <si>
    <t>C9JZY6</t>
  </si>
  <si>
    <t>D3DR31</t>
  </si>
  <si>
    <t>D3YHP0</t>
  </si>
  <si>
    <t>D6R9P3</t>
  </si>
  <si>
    <t>D6RB81</t>
  </si>
  <si>
    <t>D6RBN5</t>
  </si>
  <si>
    <t>D6RBS9</t>
  </si>
  <si>
    <t>D6RBV0</t>
  </si>
  <si>
    <t>D6RCD0</t>
  </si>
  <si>
    <t>D6RD67</t>
  </si>
  <si>
    <t>D6RDG3</t>
  </si>
  <si>
    <t>D6REN3</t>
  </si>
  <si>
    <t>D6RGI3</t>
  </si>
  <si>
    <t>D6RHI9</t>
  </si>
  <si>
    <t>E2QRD0</t>
  </si>
  <si>
    <t>E2QRD5</t>
  </si>
  <si>
    <t>E5RFZ8</t>
  </si>
  <si>
    <t>E5RGX5</t>
  </si>
  <si>
    <t>E5RGX8</t>
  </si>
  <si>
    <t>E5RHG8</t>
  </si>
  <si>
    <t>E5RI99</t>
  </si>
  <si>
    <t>E5RIG5</t>
  </si>
  <si>
    <t>E5RJ08</t>
  </si>
  <si>
    <t>E5RJ68</t>
  </si>
  <si>
    <t>E5RJD2</t>
  </si>
  <si>
    <t>E5RJJ3</t>
  </si>
  <si>
    <t>E5RJR5</t>
  </si>
  <si>
    <t>E5RJU9</t>
  </si>
  <si>
    <t>E5RK00</t>
  </si>
  <si>
    <t>E7EM64</t>
  </si>
  <si>
    <t>E7EMM2</t>
  </si>
  <si>
    <t>E7EMM4</t>
  </si>
  <si>
    <t>E7EMV7</t>
  </si>
  <si>
    <t>E7EMZ9</t>
  </si>
  <si>
    <t>E7ENN3</t>
  </si>
  <si>
    <t>E7EP00</t>
  </si>
  <si>
    <t>E7EPD0</t>
  </si>
  <si>
    <t>E7EPL4</t>
  </si>
  <si>
    <t>E7EQA9</t>
  </si>
  <si>
    <t>E7EQB9</t>
  </si>
  <si>
    <t>E7EQI7</t>
  </si>
  <si>
    <t>E7EQT4</t>
  </si>
  <si>
    <t>E7ER68</t>
  </si>
  <si>
    <t>E7ERJ0</t>
  </si>
  <si>
    <t>E7ES08</t>
  </si>
  <si>
    <t>E7ETA6</t>
  </si>
  <si>
    <t>E7ETU5</t>
  </si>
  <si>
    <t>E7ETZ4</t>
  </si>
  <si>
    <t>E7EU96</t>
  </si>
  <si>
    <t>E7EUG6</t>
  </si>
  <si>
    <t>E7EUM5</t>
  </si>
  <si>
    <t>E7EVJ5</t>
  </si>
  <si>
    <t>E7EW52</t>
  </si>
  <si>
    <t>E7EW69</t>
  </si>
  <si>
    <t>E7EW84</t>
  </si>
  <si>
    <t>E7EX44</t>
  </si>
  <si>
    <t>E9PB14</t>
  </si>
  <si>
    <t>E9PBL8</t>
  </si>
  <si>
    <t>E9PC74</t>
  </si>
  <si>
    <t>E9PCJ7</t>
  </si>
  <si>
    <t>E9PCY7</t>
  </si>
  <si>
    <t>E9PDQ5</t>
  </si>
  <si>
    <t>E9PDR5</t>
  </si>
  <si>
    <t>E9PEG3</t>
  </si>
  <si>
    <t>E9PEZ3</t>
  </si>
  <si>
    <t>E9PF01</t>
  </si>
  <si>
    <t>E9PF10</t>
  </si>
  <si>
    <t>E9PFC1</t>
  </si>
  <si>
    <t>E9PFD7</t>
  </si>
  <si>
    <t>E9PFR3</t>
  </si>
  <si>
    <t>E9PG46</t>
  </si>
  <si>
    <t>E9PG73</t>
  </si>
  <si>
    <t>E9PGF5</t>
  </si>
  <si>
    <t>E9PGF9</t>
  </si>
  <si>
    <t>E9PGM7</t>
  </si>
  <si>
    <t>E9PGT1</t>
  </si>
  <si>
    <t>E9PGW7</t>
  </si>
  <si>
    <t>E9PH29</t>
  </si>
  <si>
    <t>E9PHK0</t>
  </si>
  <si>
    <t>E9PHM2</t>
  </si>
  <si>
    <t>E9PHV4</t>
  </si>
  <si>
    <t>E9PHV5</t>
  </si>
  <si>
    <t>E9PIB9</t>
  </si>
  <si>
    <t>E9PIC2</t>
  </si>
  <si>
    <t>E9PIR7</t>
  </si>
  <si>
    <t>E9PJ81</t>
  </si>
  <si>
    <t>E9PJD7</t>
  </si>
  <si>
    <t>E9PJN7</t>
  </si>
  <si>
    <t>E9PK01</t>
  </si>
  <si>
    <t>E9PK26</t>
  </si>
  <si>
    <t>E9PK67</t>
  </si>
  <si>
    <t>E9PKB0</t>
  </si>
  <si>
    <t>E9PKF3</t>
  </si>
  <si>
    <t>E9PKG1</t>
  </si>
  <si>
    <t>E9PKS9</t>
  </si>
  <si>
    <t>E9PKV8</t>
  </si>
  <si>
    <t>E9PKY5</t>
  </si>
  <si>
    <t>E9PL22</t>
  </si>
  <si>
    <t>E9PL57</t>
  </si>
  <si>
    <t>E9PLD2</t>
  </si>
  <si>
    <t>E9PLK3</t>
  </si>
  <si>
    <t>E9PM46</t>
  </si>
  <si>
    <t>E9PMI6</t>
  </si>
  <si>
    <t>E9PMJ2</t>
  </si>
  <si>
    <t>E9PMS6</t>
  </si>
  <si>
    <t>E9PNC7</t>
  </si>
  <si>
    <t>E9PNK6</t>
  </si>
  <si>
    <t>E9PNU4</t>
  </si>
  <si>
    <t>E9PNV3</t>
  </si>
  <si>
    <t>E9PNW4</t>
  </si>
  <si>
    <t>E9PP36</t>
  </si>
  <si>
    <t>E9PP68</t>
  </si>
  <si>
    <t>E9PPA0</t>
  </si>
  <si>
    <t>E9PQ61</t>
  </si>
  <si>
    <t>E9PQG4</t>
  </si>
  <si>
    <t>E9PQP7</t>
  </si>
  <si>
    <t>E9PQW4</t>
  </si>
  <si>
    <t>E9PQY3</t>
  </si>
  <si>
    <t>E9PR54</t>
  </si>
  <si>
    <t>E9PRI4</t>
  </si>
  <si>
    <t>E9PRZ9</t>
  </si>
  <si>
    <t>F2Z2B9</t>
  </si>
  <si>
    <t>F2Z2V0</t>
  </si>
  <si>
    <t>F2Z2X4</t>
  </si>
  <si>
    <t>F2Z3K9</t>
  </si>
  <si>
    <t>F2Z3M0</t>
  </si>
  <si>
    <t>F5GWI4</t>
  </si>
  <si>
    <t>F5GWI9</t>
  </si>
  <si>
    <t>F5GWT4</t>
  </si>
  <si>
    <t>F5GWU7</t>
  </si>
  <si>
    <t>F5GWX5</t>
  </si>
  <si>
    <t>F5GX77</t>
  </si>
  <si>
    <t>F5GXC8</t>
  </si>
  <si>
    <t>F5GY80</t>
  </si>
  <si>
    <t>F5GYC4</t>
  </si>
  <si>
    <t>F5GYJ5</t>
  </si>
  <si>
    <t>F5GYK2</t>
  </si>
  <si>
    <t>F5GYN4</t>
  </si>
  <si>
    <t>F5GZ54</t>
  </si>
  <si>
    <t>F5GZ78</t>
  </si>
  <si>
    <t>F5GZU5</t>
  </si>
  <si>
    <t>F5GZZ9</t>
  </si>
  <si>
    <t>F5H012</t>
  </si>
  <si>
    <t>F5H0B0</t>
  </si>
  <si>
    <t>F5H0L8</t>
  </si>
  <si>
    <t>F5H0U5</t>
  </si>
  <si>
    <t>F5H157</t>
  </si>
  <si>
    <t>F5H1L4</t>
  </si>
  <si>
    <t>F5H1X8</t>
  </si>
  <si>
    <t>F5H1Z6</t>
  </si>
  <si>
    <t>F5H261</t>
  </si>
  <si>
    <t>F5H2B9</t>
  </si>
  <si>
    <t>F5H2Q7</t>
  </si>
  <si>
    <t>F5H2X0</t>
  </si>
  <si>
    <t>F5H315</t>
  </si>
  <si>
    <t>F5H345</t>
  </si>
  <si>
    <t>F5H365</t>
  </si>
  <si>
    <t>F5H442</t>
  </si>
  <si>
    <t>F5H4G7</t>
  </si>
  <si>
    <t>F5H4J2</t>
  </si>
  <si>
    <t>F5H4S0</t>
  </si>
  <si>
    <t>F5H5W4</t>
  </si>
  <si>
    <t>F5H604</t>
  </si>
  <si>
    <t>F5H698</t>
  </si>
  <si>
    <t>F5H6Y1</t>
  </si>
  <si>
    <t>F5H715</t>
  </si>
  <si>
    <t>F5H721</t>
  </si>
  <si>
    <t>F5H7F6</t>
  </si>
  <si>
    <t>F5H801</t>
  </si>
  <si>
    <t>F5H897</t>
  </si>
  <si>
    <t>F5H8D7</t>
  </si>
  <si>
    <t>F5H8H2</t>
  </si>
  <si>
    <t>F6PQP6</t>
  </si>
  <si>
    <t>F6RY50</t>
  </si>
  <si>
    <t>F6T1Q0</t>
  </si>
  <si>
    <t>F6TQG2</t>
  </si>
  <si>
    <t>F6TR53</t>
  </si>
  <si>
    <t>F6U1T9</t>
  </si>
  <si>
    <t>F6XIH0</t>
  </si>
  <si>
    <t>F6XY72</t>
  </si>
  <si>
    <t>F8VQP2</t>
  </si>
  <si>
    <t>F8VQR7</t>
  </si>
  <si>
    <t>F8VQX6</t>
  </si>
  <si>
    <t>F8VQY6</t>
  </si>
  <si>
    <t>F8VRD9</t>
  </si>
  <si>
    <t>F8VRR3</t>
  </si>
  <si>
    <t>F8VSC5</t>
  </si>
  <si>
    <t>F8VSL3</t>
  </si>
  <si>
    <t>F8VVL1</t>
  </si>
  <si>
    <t>F8VVX6</t>
  </si>
  <si>
    <t>F8VWA6</t>
  </si>
  <si>
    <t>F8VXY3</t>
  </si>
  <si>
    <t>F8VYH9</t>
  </si>
  <si>
    <t>F8VZJ2</t>
  </si>
  <si>
    <t>F8W038</t>
  </si>
  <si>
    <t>F8W1H4</t>
  </si>
  <si>
    <t>F8W1Q3</t>
  </si>
  <si>
    <t>F8W1R7</t>
  </si>
  <si>
    <t>F8W6G5</t>
  </si>
  <si>
    <t>F8W6K3</t>
  </si>
  <si>
    <t>F8W720</t>
  </si>
  <si>
    <t>F8W785</t>
  </si>
  <si>
    <t>F8W7C6</t>
  </si>
  <si>
    <t>F8W7S5</t>
  </si>
  <si>
    <t>F8W7U3</t>
  </si>
  <si>
    <t>F8W826</t>
  </si>
  <si>
    <t>F8W8C2</t>
  </si>
  <si>
    <t>F8W8I6</t>
  </si>
  <si>
    <t>F8W8M4</t>
  </si>
  <si>
    <t>F8W914</t>
  </si>
  <si>
    <t>F8W9S7</t>
  </si>
  <si>
    <t>F8W9X7</t>
  </si>
  <si>
    <t>F8WAG2</t>
  </si>
  <si>
    <t>F8WBM7</t>
  </si>
  <si>
    <t>F8WDV0</t>
  </si>
  <si>
    <t>F8WF49</t>
  </si>
  <si>
    <t>F8WJN3</t>
  </si>
  <si>
    <t>G3V0E8</t>
  </si>
  <si>
    <t>G3V169</t>
  </si>
  <si>
    <t>G3V1D4</t>
  </si>
  <si>
    <t>G3V1J5</t>
  </si>
  <si>
    <t>G3V1P3</t>
  </si>
  <si>
    <t>G3V1Q4</t>
  </si>
  <si>
    <t>G3V1V1</t>
  </si>
  <si>
    <t>G3V1Y8</t>
  </si>
  <si>
    <t>G3V238</t>
  </si>
  <si>
    <t>G3V2A6</t>
  </si>
  <si>
    <t>G3V2T6</t>
  </si>
  <si>
    <t>G3V357</t>
  </si>
  <si>
    <t>G3V394</t>
  </si>
  <si>
    <t>G3V3G9</t>
  </si>
  <si>
    <t>G3V3R7</t>
  </si>
  <si>
    <t>G3V4C1</t>
  </si>
  <si>
    <t>G3V4S8</t>
  </si>
  <si>
    <t>G3V4W0</t>
  </si>
  <si>
    <t>G3V599</t>
  </si>
  <si>
    <t>G3V5T0</t>
  </si>
  <si>
    <t>G3XAA0</t>
  </si>
  <si>
    <t>G3XAH6</t>
  </si>
  <si>
    <t>G3XAM2</t>
  </si>
  <si>
    <t>G5E9W7</t>
  </si>
  <si>
    <t>G5E9X3</t>
  </si>
  <si>
    <t>G5EA37</t>
  </si>
  <si>
    <t>G5EA52</t>
  </si>
  <si>
    <t>G8JL86</t>
  </si>
  <si>
    <t>G8JLB3</t>
  </si>
  <si>
    <t>G8JLC6</t>
  </si>
  <si>
    <t>H0Y300</t>
  </si>
  <si>
    <t>H0Y3A0</t>
  </si>
  <si>
    <t>H0Y3G1</t>
  </si>
  <si>
    <t>H0Y3P2</t>
  </si>
  <si>
    <t>H0Y4R1</t>
  </si>
  <si>
    <t>H0Y5G7</t>
  </si>
  <si>
    <t>H0Y613</t>
  </si>
  <si>
    <t>H0Y614</t>
  </si>
  <si>
    <t>H0Y638</t>
  </si>
  <si>
    <t>H0Y6A0</t>
  </si>
  <si>
    <t>H0Y6C3</t>
  </si>
  <si>
    <t>H0Y6I0</t>
  </si>
  <si>
    <t>H0Y6W0</t>
  </si>
  <si>
    <t>H0Y9D9</t>
  </si>
  <si>
    <t>H0Y9R3</t>
  </si>
  <si>
    <t>H0YA52</t>
  </si>
  <si>
    <t>H0YA68</t>
  </si>
  <si>
    <t>H0YAY0</t>
  </si>
  <si>
    <t>H0YBL1</t>
  </si>
  <si>
    <t>H0YDB2</t>
  </si>
  <si>
    <t>H0YDP7</t>
  </si>
  <si>
    <t>H0YDU8</t>
  </si>
  <si>
    <t>H0YE28</t>
  </si>
  <si>
    <t>H0YEB6</t>
  </si>
  <si>
    <t>H0YEH2</t>
  </si>
  <si>
    <t>H0YEN5</t>
  </si>
  <si>
    <t>H0YEP5</t>
  </si>
  <si>
    <t>H0YEZ2</t>
  </si>
  <si>
    <t>H0YFI1</t>
  </si>
  <si>
    <t>H0YFP3</t>
  </si>
  <si>
    <t>H0YGR4</t>
  </si>
  <si>
    <t>H0YGX7</t>
  </si>
  <si>
    <t>H0YHC3</t>
  </si>
  <si>
    <t>H0YI02</t>
  </si>
  <si>
    <t>H0YIX9</t>
  </si>
  <si>
    <t>H0YL72</t>
  </si>
  <si>
    <t>H0YL91</t>
  </si>
  <si>
    <t>H0YLA4</t>
  </si>
  <si>
    <t>H0YLD8</t>
  </si>
  <si>
    <t>H0YMB3</t>
  </si>
  <si>
    <t>H0YMD0</t>
  </si>
  <si>
    <t>H0YN26</t>
  </si>
  <si>
    <t>H0YN78</t>
  </si>
  <si>
    <t>H0YN81</t>
  </si>
  <si>
    <t>H3BLU7</t>
  </si>
  <si>
    <t>H3BM67</t>
  </si>
  <si>
    <t>H3BM79</t>
  </si>
  <si>
    <t>H3BMM5</t>
  </si>
  <si>
    <t>H3BNC0</t>
  </si>
  <si>
    <t>H3BPB8</t>
  </si>
  <si>
    <t>H3BPE1</t>
  </si>
  <si>
    <t>H3BPN3</t>
  </si>
  <si>
    <t>H3BPZ6</t>
  </si>
  <si>
    <t>H3BQ58</t>
  </si>
  <si>
    <t>H3BQH3</t>
  </si>
  <si>
    <t>H3BQP5</t>
  </si>
  <si>
    <t>H3BQV3</t>
  </si>
  <si>
    <t>H3BQZ7</t>
  </si>
  <si>
    <t>H3BRF9</t>
  </si>
  <si>
    <t>H3BRL3</t>
  </si>
  <si>
    <t>H3BRQ0</t>
  </si>
  <si>
    <t>H3BRV0</t>
  </si>
  <si>
    <t>H3BS10</t>
  </si>
  <si>
    <t>H3BSW0</t>
  </si>
  <si>
    <t>H3BTB7</t>
  </si>
  <si>
    <t>H3BTL2</t>
  </si>
  <si>
    <t>H3BTP7</t>
  </si>
  <si>
    <t>H3BU49</t>
  </si>
  <si>
    <t>H3BUL2</t>
  </si>
  <si>
    <t>H3BUU5</t>
  </si>
  <si>
    <t>H7BXD8</t>
  </si>
  <si>
    <t>H7BXP5</t>
  </si>
  <si>
    <t>H7BY36</t>
  </si>
  <si>
    <t>H7BY38</t>
  </si>
  <si>
    <t>H7BYY1</t>
  </si>
  <si>
    <t>H7BZL0</t>
  </si>
  <si>
    <t>H7C0C0</t>
  </si>
  <si>
    <t>H7C0E5</t>
  </si>
  <si>
    <t>H7C0G7</t>
  </si>
  <si>
    <t>H7C1J4</t>
  </si>
  <si>
    <t>H7C1U3</t>
  </si>
  <si>
    <t>H7C2B1</t>
  </si>
  <si>
    <t>H7C2Z6</t>
  </si>
  <si>
    <t>H7C331</t>
  </si>
  <si>
    <t>H7C3G7</t>
  </si>
  <si>
    <t>H7C3P4</t>
  </si>
  <si>
    <t>H7C462</t>
  </si>
  <si>
    <t>H7C485</t>
  </si>
  <si>
    <t>H7C4T5</t>
  </si>
  <si>
    <t>H7C5G1</t>
  </si>
  <si>
    <t>H8Y6P7</t>
  </si>
  <si>
    <t>I3L097</t>
  </si>
  <si>
    <t>I3L0K7</t>
  </si>
  <si>
    <t>I3L0X5</t>
  </si>
  <si>
    <t>I3L1K7</t>
  </si>
  <si>
    <t>I3L1Q3</t>
  </si>
  <si>
    <t>I3L2B0</t>
  </si>
  <si>
    <t>I3L2J0</t>
  </si>
  <si>
    <t>I3L397</t>
  </si>
  <si>
    <t>I3L3P7</t>
  </si>
  <si>
    <t>I3L3T4</t>
  </si>
  <si>
    <t>I3L4X3</t>
  </si>
  <si>
    <t>J3KMY5</t>
  </si>
  <si>
    <t>J3KN29</t>
  </si>
  <si>
    <t>J3KN75</t>
  </si>
  <si>
    <t>J3KN93</t>
  </si>
  <si>
    <t>J3KNC0</t>
  </si>
  <si>
    <t>J3KNF4</t>
  </si>
  <si>
    <t>J3KNJ2</t>
  </si>
  <si>
    <t>J3KNL6</t>
  </si>
  <si>
    <t>J3KP19</t>
  </si>
  <si>
    <t>J3KP29</t>
  </si>
  <si>
    <t>J3KP36</t>
  </si>
  <si>
    <t>J3KP66</t>
  </si>
  <si>
    <t>J3KP74</t>
  </si>
  <si>
    <t>J3KPK1</t>
  </si>
  <si>
    <t>J3KPS2</t>
  </si>
  <si>
    <t>J3KPV7</t>
  </si>
  <si>
    <t>J3KQG4</t>
  </si>
  <si>
    <t>J3KQN6</t>
  </si>
  <si>
    <t>J3KR05</t>
  </si>
  <si>
    <t>J3KSI8</t>
  </si>
  <si>
    <t>J3KSS7</t>
  </si>
  <si>
    <t>J3KSW8</t>
  </si>
  <si>
    <t>J3KT51</t>
  </si>
  <si>
    <t>J3KTF8</t>
  </si>
  <si>
    <t>J3KTJ3</t>
  </si>
  <si>
    <t>J3QK84</t>
  </si>
  <si>
    <t>J3QKK8</t>
  </si>
  <si>
    <t>J3QKS7</t>
  </si>
  <si>
    <t>J3QL05</t>
  </si>
  <si>
    <t>J3QL56</t>
  </si>
  <si>
    <t>J3QLE5</t>
  </si>
  <si>
    <t>J3QLI9</t>
  </si>
  <si>
    <t>J3QLV0</t>
  </si>
  <si>
    <t>J3QQX3</t>
  </si>
  <si>
    <t>J3QRD1</t>
  </si>
  <si>
    <t>J3QSV6</t>
  </si>
  <si>
    <t>J3QT28</t>
  </si>
  <si>
    <t>J3QT87</t>
  </si>
  <si>
    <t>J9JIC5</t>
  </si>
  <si>
    <t>J9JIE9</t>
  </si>
  <si>
    <t>K7EIE8</t>
  </si>
  <si>
    <t>K7EIG1</t>
  </si>
  <si>
    <t>K7EIJ0</t>
  </si>
  <si>
    <t>K7EIU8</t>
  </si>
  <si>
    <t>K7EJ78</t>
  </si>
  <si>
    <t>K7EJB9</t>
  </si>
  <si>
    <t>K7EJG0</t>
  </si>
  <si>
    <t>K7EJL1</t>
  </si>
  <si>
    <t>K7EK07</t>
  </si>
  <si>
    <t>K7EK11</t>
  </si>
  <si>
    <t>K7EKE6</t>
  </si>
  <si>
    <t>K7EKI8</t>
  </si>
  <si>
    <t>K7EME0</t>
  </si>
  <si>
    <t>K7EMY9</t>
  </si>
  <si>
    <t>K7ENR6</t>
  </si>
  <si>
    <t>K7ENT8</t>
  </si>
  <si>
    <t>K7EP32</t>
  </si>
  <si>
    <t>K7EPS8</t>
  </si>
  <si>
    <t>K7ER15</t>
  </si>
  <si>
    <t>K7ERI9</t>
  </si>
  <si>
    <t>K7ES31</t>
  </si>
  <si>
    <t>K7ESE3</t>
  </si>
  <si>
    <t>M0QWZ7</t>
  </si>
  <si>
    <t>M0QX35</t>
  </si>
  <si>
    <t>M0QY97</t>
  </si>
  <si>
    <t>M0QZ28</t>
  </si>
  <si>
    <t>M0QZS0</t>
  </si>
  <si>
    <t>M0R0F0</t>
  </si>
  <si>
    <t>M0R0I0</t>
  </si>
  <si>
    <t>M0R2P8</t>
  </si>
  <si>
    <t>Q2TAM5</t>
  </si>
  <si>
    <t>Q32N00</t>
  </si>
  <si>
    <t>Q495G6</t>
  </si>
  <si>
    <t>Q4VXH1</t>
  </si>
  <si>
    <t>Q53XA7</t>
  </si>
  <si>
    <t>Q567Q0</t>
  </si>
  <si>
    <t>Q5HY54</t>
  </si>
  <si>
    <t>Q5JP53</t>
  </si>
  <si>
    <t>Q5JR04</t>
  </si>
  <si>
    <t>Q5JR08</t>
  </si>
  <si>
    <t>Q5JRV4</t>
  </si>
  <si>
    <t>Q5JSK8</t>
  </si>
  <si>
    <t>Q5JTV1</t>
  </si>
  <si>
    <t>Q5JUA8</t>
  </si>
  <si>
    <t>Q5JW30</t>
  </si>
  <si>
    <t>Q5QNY5</t>
  </si>
  <si>
    <t>Q5QPM0</t>
  </si>
  <si>
    <t>Q5QPM7</t>
  </si>
  <si>
    <t>Q5SSZ3</t>
  </si>
  <si>
    <t>Q5T123</t>
  </si>
  <si>
    <t>Q5T760</t>
  </si>
  <si>
    <t>Q5T985</t>
  </si>
  <si>
    <t>Q5TA02</t>
  </si>
  <si>
    <t>Q5TA58</t>
  </si>
  <si>
    <t>Q5TBP5</t>
  </si>
  <si>
    <t>Q5TBU2</t>
  </si>
  <si>
    <t>Q5TCU3</t>
  </si>
  <si>
    <t>Q5TCZ7</t>
  </si>
  <si>
    <t>Q5TH58</t>
  </si>
  <si>
    <t>Q5VTU3</t>
  </si>
  <si>
    <t>Q5VTW1</t>
  </si>
  <si>
    <t>Q5VU10</t>
  </si>
  <si>
    <t>Q658Y7</t>
  </si>
  <si>
    <t>Q6ICJ4</t>
  </si>
  <si>
    <t>Q6P4G0</t>
  </si>
  <si>
    <t>Q71TU5</t>
  </si>
  <si>
    <t>Q7Z451</t>
  </si>
  <si>
    <t>Q86TV2</t>
  </si>
  <si>
    <t>Q86UY0</t>
  </si>
  <si>
    <t>Q86VQ2</t>
  </si>
  <si>
    <t>Q8IYN9</t>
  </si>
  <si>
    <t>Q8WVC2</t>
  </si>
  <si>
    <t>Q8WYQ7</t>
  </si>
  <si>
    <t>Q96CG1</t>
  </si>
  <si>
    <t>Q9BVB1</t>
  </si>
  <si>
    <t>Q9H6Y6</t>
  </si>
  <si>
    <t>Q9UII8</t>
  </si>
  <si>
    <t>R4GMR5</t>
  </si>
  <si>
    <t>R4GMX3</t>
  </si>
  <si>
    <t>R4GN55</t>
  </si>
  <si>
    <t>R4GN98</t>
  </si>
  <si>
    <t>R4GNB2</t>
  </si>
  <si>
    <t>R4GNG2</t>
  </si>
  <si>
    <t>R4GNH3</t>
  </si>
  <si>
    <t>UBA6</t>
  </si>
  <si>
    <t>UHRF1BP1L</t>
  </si>
  <si>
    <t>KIAA1598</t>
  </si>
  <si>
    <t>C1orf226</t>
  </si>
  <si>
    <t>C17orf89</t>
  </si>
  <si>
    <t>PLEKHG3</t>
  </si>
  <si>
    <t>MACROD2</t>
  </si>
  <si>
    <t>FUOM</t>
  </si>
  <si>
    <t>ISPD</t>
  </si>
  <si>
    <t>WDR91</t>
  </si>
  <si>
    <t>CNOT1</t>
  </si>
  <si>
    <t>ASPDH</t>
  </si>
  <si>
    <t>PALM3</t>
  </si>
  <si>
    <t>PGP</t>
  </si>
  <si>
    <t>C5orf51</t>
  </si>
  <si>
    <t>RCCD1</t>
  </si>
  <si>
    <t>UNC119B</t>
  </si>
  <si>
    <t>GLOD5</t>
  </si>
  <si>
    <t>LIPT2</t>
  </si>
  <si>
    <t>CCDC85C</t>
  </si>
  <si>
    <t>PCP4L1</t>
  </si>
  <si>
    <t>TTC36</t>
  </si>
  <si>
    <t>LYRM9</t>
  </si>
  <si>
    <t>NUDT19</t>
  </si>
  <si>
    <t>ESPN</t>
  </si>
  <si>
    <t>RABGAP1L</t>
  </si>
  <si>
    <t>PPP1R3G</t>
  </si>
  <si>
    <t>WASH3P</t>
  </si>
  <si>
    <t>INS-IGF2</t>
  </si>
  <si>
    <t>UBXN8</t>
  </si>
  <si>
    <t>TK2</t>
  </si>
  <si>
    <t>PDLIM1</t>
  </si>
  <si>
    <t>ACOT7</t>
  </si>
  <si>
    <t>SNAP23</t>
  </si>
  <si>
    <t>AIP</t>
  </si>
  <si>
    <t>PSMD11</t>
  </si>
  <si>
    <t>PSMD12</t>
  </si>
  <si>
    <t>ATOX1</t>
  </si>
  <si>
    <t>SUPT5H</t>
  </si>
  <si>
    <t>DFFA</t>
  </si>
  <si>
    <t>CLIC1</t>
  </si>
  <si>
    <t>WASL</t>
  </si>
  <si>
    <t>IPO5</t>
  </si>
  <si>
    <t>DNM1L</t>
  </si>
  <si>
    <t>RTCA</t>
  </si>
  <si>
    <t>PIK3R2</t>
  </si>
  <si>
    <t>MANBA</t>
  </si>
  <si>
    <t>EXOC5</t>
  </si>
  <si>
    <t>HMGN4</t>
  </si>
  <si>
    <t>PSMD14</t>
  </si>
  <si>
    <t>BIN1</t>
  </si>
  <si>
    <t>KPNA3</t>
  </si>
  <si>
    <t>LAD1</t>
  </si>
  <si>
    <t>VWA5A</t>
  </si>
  <si>
    <t>NOP56</t>
  </si>
  <si>
    <t>DDX3X</t>
  </si>
  <si>
    <t>PIR</t>
  </si>
  <si>
    <t>KPNA4</t>
  </si>
  <si>
    <t>PPP6C</t>
  </si>
  <si>
    <t>CES2</t>
  </si>
  <si>
    <t>MAN2B1</t>
  </si>
  <si>
    <t>FBP2</t>
  </si>
  <si>
    <t>ACACB</t>
  </si>
  <si>
    <t>PDXK</t>
  </si>
  <si>
    <t>ARID1A</t>
  </si>
  <si>
    <t>TRAFD1</t>
  </si>
  <si>
    <t>NDUFAB1</t>
  </si>
  <si>
    <t>CIT</t>
  </si>
  <si>
    <t>COPE</t>
  </si>
  <si>
    <t>MLL2</t>
  </si>
  <si>
    <t>IMPA2</t>
  </si>
  <si>
    <t>ACOT8</t>
  </si>
  <si>
    <t>PDCD5</t>
  </si>
  <si>
    <t>PRMT5</t>
  </si>
  <si>
    <t>SLC9A3R1</t>
  </si>
  <si>
    <t>HSD17B6</t>
  </si>
  <si>
    <t>FPGT</t>
  </si>
  <si>
    <t>TPP1</t>
  </si>
  <si>
    <t>TCERG1</t>
  </si>
  <si>
    <t>TNPO2</t>
  </si>
  <si>
    <t>PSMA7</t>
  </si>
  <si>
    <t>SCAMP3</t>
  </si>
  <si>
    <t>PHYH</t>
  </si>
  <si>
    <t>OPLAH</t>
  </si>
  <si>
    <t>IFIT3</t>
  </si>
  <si>
    <t>IRF6</t>
  </si>
  <si>
    <t>TAX1BP3</t>
  </si>
  <si>
    <t>GIPC1</t>
  </si>
  <si>
    <t>HAT1</t>
  </si>
  <si>
    <t>UBE2L6</t>
  </si>
  <si>
    <t>CASK</t>
  </si>
  <si>
    <t>HGS</t>
  </si>
  <si>
    <t>PPP1R12A</t>
  </si>
  <si>
    <t>GAK</t>
  </si>
  <si>
    <t>HNRPDL</t>
  </si>
  <si>
    <t>XPO1</t>
  </si>
  <si>
    <t>SPTBN2</t>
  </si>
  <si>
    <t>MAST4</t>
  </si>
  <si>
    <t>PFAS</t>
  </si>
  <si>
    <t>ANKRD28</t>
  </si>
  <si>
    <t>ARHGEF11</t>
  </si>
  <si>
    <t>ARPC1B</t>
  </si>
  <si>
    <t>ARPC2</t>
  </si>
  <si>
    <t>ARPC3</t>
  </si>
  <si>
    <t>PGRMC2</t>
  </si>
  <si>
    <t>PFDN6</t>
  </si>
  <si>
    <t>GSTA4</t>
  </si>
  <si>
    <t>KMO</t>
  </si>
  <si>
    <t>ACOX3</t>
  </si>
  <si>
    <t>OGT</t>
  </si>
  <si>
    <t>PMM2</t>
  </si>
  <si>
    <t>PPM1G</t>
  </si>
  <si>
    <t>EIF3H</t>
  </si>
  <si>
    <t>HDAC3</t>
  </si>
  <si>
    <t>BCAT2</t>
  </si>
  <si>
    <t>IPO8</t>
  </si>
  <si>
    <t>STX7</t>
  </si>
  <si>
    <t>CD3EAP</t>
  </si>
  <si>
    <t>GYG2</t>
  </si>
  <si>
    <t>YKT6</t>
  </si>
  <si>
    <t>ARPC5</t>
  </si>
  <si>
    <t>RNF113A</t>
  </si>
  <si>
    <t>DHX15</t>
  </si>
  <si>
    <t>RNMT</t>
  </si>
  <si>
    <t>PJA2</t>
  </si>
  <si>
    <t>PHGDH</t>
  </si>
  <si>
    <t>SEPT4</t>
  </si>
  <si>
    <t>DYNC1LI2</t>
  </si>
  <si>
    <t>PSMD3</t>
  </si>
  <si>
    <t>PAPSS1</t>
  </si>
  <si>
    <t>SART1</t>
  </si>
  <si>
    <t>MTSS1</t>
  </si>
  <si>
    <t>PPIP5K2</t>
  </si>
  <si>
    <t>MAP3K7</t>
  </si>
  <si>
    <t>LYRM1</t>
  </si>
  <si>
    <t>HNRNPR</t>
  </si>
  <si>
    <t>TXNL1</t>
  </si>
  <si>
    <t>TPD52L2</t>
  </si>
  <si>
    <t>ERI3</t>
  </si>
  <si>
    <t>EIF4G3</t>
  </si>
  <si>
    <t>HTRA2</t>
  </si>
  <si>
    <t>EPB41L2</t>
  </si>
  <si>
    <t>TGOLN2</t>
  </si>
  <si>
    <t>RGS14</t>
  </si>
  <si>
    <t>XPOT</t>
  </si>
  <si>
    <t>DNPH1</t>
  </si>
  <si>
    <t>TIMM44</t>
  </si>
  <si>
    <t>TRAPPC3</t>
  </si>
  <si>
    <t>CHMP2A</t>
  </si>
  <si>
    <t>ZNF207</t>
  </si>
  <si>
    <t>NDUFA2</t>
  </si>
  <si>
    <t>ASNA1</t>
  </si>
  <si>
    <t>SULT1B1</t>
  </si>
  <si>
    <t>ACTN4</t>
  </si>
  <si>
    <t>GSTZ1</t>
  </si>
  <si>
    <t>TRIAP1</t>
  </si>
  <si>
    <t>GATC</t>
  </si>
  <si>
    <t>HTATSF1</t>
  </si>
  <si>
    <t>PRKAB2</t>
  </si>
  <si>
    <t>AP1G1</t>
  </si>
  <si>
    <t>SGTA</t>
  </si>
  <si>
    <t>LIAS</t>
  </si>
  <si>
    <t>ENSA</t>
  </si>
  <si>
    <t>NARS</t>
  </si>
  <si>
    <t>MYO1B</t>
  </si>
  <si>
    <t>SSNA1</t>
  </si>
  <si>
    <t>NUDT21</t>
  </si>
  <si>
    <t>LANCL1</t>
  </si>
  <si>
    <t>STRN</t>
  </si>
  <si>
    <t>HYAL3</t>
  </si>
  <si>
    <t>IDH3B</t>
  </si>
  <si>
    <t>NRD1</t>
  </si>
  <si>
    <t>CALU</t>
  </si>
  <si>
    <t>AHCYL1</t>
  </si>
  <si>
    <t>GAS2</t>
  </si>
  <si>
    <t>RAD21</t>
  </si>
  <si>
    <t>AKR1B10</t>
  </si>
  <si>
    <t>TIMM8A</t>
  </si>
  <si>
    <t>DHX16</t>
  </si>
  <si>
    <t>PLIN1</t>
  </si>
  <si>
    <t>PRPSAP2</t>
  </si>
  <si>
    <t>PARK2</t>
  </si>
  <si>
    <t>SPAG9</t>
  </si>
  <si>
    <t>KDM1A</t>
  </si>
  <si>
    <t>TBC1D4</t>
  </si>
  <si>
    <t>DFNA5</t>
  </si>
  <si>
    <t>SNX3</t>
  </si>
  <si>
    <t>SORBS3</t>
  </si>
  <si>
    <t>SYNCRIP</t>
  </si>
  <si>
    <t>RANBP6</t>
  </si>
  <si>
    <t>GMDS</t>
  </si>
  <si>
    <t>NMT2</t>
  </si>
  <si>
    <t>SEP15</t>
  </si>
  <si>
    <t>EXOC3</t>
  </si>
  <si>
    <t>PLIN3</t>
  </si>
  <si>
    <t>RAD1</t>
  </si>
  <si>
    <t>UGDH</t>
  </si>
  <si>
    <t>CTNND1</t>
  </si>
  <si>
    <t>SNX2</t>
  </si>
  <si>
    <t>USO1</t>
  </si>
  <si>
    <t>CCDC22</t>
  </si>
  <si>
    <t>PQBP1</t>
  </si>
  <si>
    <t>EIF5B</t>
  </si>
  <si>
    <t>EDF1</t>
  </si>
  <si>
    <t>DNAJA2</t>
  </si>
  <si>
    <t>BRD4</t>
  </si>
  <si>
    <t>PFDN1</t>
  </si>
  <si>
    <t>PPP1R11</t>
  </si>
  <si>
    <t>NBN</t>
  </si>
  <si>
    <t>NOS1AP</t>
  </si>
  <si>
    <t>CBFA2T3</t>
  </si>
  <si>
    <t>WDR1</t>
  </si>
  <si>
    <t>ROCK2</t>
  </si>
  <si>
    <t>CPNE3</t>
  </si>
  <si>
    <t>HIP1R</t>
  </si>
  <si>
    <t>RNF40</t>
  </si>
  <si>
    <t>PHF2</t>
  </si>
  <si>
    <t>CAND2</t>
  </si>
  <si>
    <t>DNAJC13</t>
  </si>
  <si>
    <t>PPP6R2</t>
  </si>
  <si>
    <t>CNOT3</t>
  </si>
  <si>
    <t>SS18L1</t>
  </si>
  <si>
    <t>ANKRD17</t>
  </si>
  <si>
    <t>XYLB</t>
  </si>
  <si>
    <t>COQ9</t>
  </si>
  <si>
    <t>GGCT</t>
  </si>
  <si>
    <t>GBAS</t>
  </si>
  <si>
    <t>PDCD6</t>
  </si>
  <si>
    <t>TBCA</t>
  </si>
  <si>
    <t>ATP6V1G1</t>
  </si>
  <si>
    <t>VPS4B</t>
  </si>
  <si>
    <t>ENTPD5</t>
  </si>
  <si>
    <t>SH3BGRL</t>
  </si>
  <si>
    <t>FLNB</t>
  </si>
  <si>
    <t>NCOR1</t>
  </si>
  <si>
    <t>NDUFS6</t>
  </si>
  <si>
    <t>SEC22B</t>
  </si>
  <si>
    <t>PRPF40A</t>
  </si>
  <si>
    <t>NME6</t>
  </si>
  <si>
    <t>VPS26A</t>
  </si>
  <si>
    <t>PMPCB</t>
  </si>
  <si>
    <t>RDH16</t>
  </si>
  <si>
    <t>PSIP1</t>
  </si>
  <si>
    <t>CLN5</t>
  </si>
  <si>
    <t>HSBP1</t>
  </si>
  <si>
    <t>ECI2</t>
  </si>
  <si>
    <t>BANF1</t>
  </si>
  <si>
    <t>SF3B1</t>
  </si>
  <si>
    <t>CSDE1</t>
  </si>
  <si>
    <t>MTRF1</t>
  </si>
  <si>
    <t>GCAT</t>
  </si>
  <si>
    <t>NPM3</t>
  </si>
  <si>
    <t>LYPLA1</t>
  </si>
  <si>
    <t>CREG1</t>
  </si>
  <si>
    <t>SNRNP200</t>
  </si>
  <si>
    <t>TRMU</t>
  </si>
  <si>
    <t>TIPRL</t>
  </si>
  <si>
    <t>PPM1B</t>
  </si>
  <si>
    <t>RP2</t>
  </si>
  <si>
    <t>TCEA3</t>
  </si>
  <si>
    <t>RPP40</t>
  </si>
  <si>
    <t>EIF3G</t>
  </si>
  <si>
    <t>EIF3J</t>
  </si>
  <si>
    <t>IDH1</t>
  </si>
  <si>
    <t>ATRN</t>
  </si>
  <si>
    <t>RBBP9</t>
  </si>
  <si>
    <t>STAM2</t>
  </si>
  <si>
    <t>ALDH1L1</t>
  </si>
  <si>
    <t>TUSC2</t>
  </si>
  <si>
    <t>CCNK</t>
  </si>
  <si>
    <t>BCAS2</t>
  </si>
  <si>
    <t>DCTN3</t>
  </si>
  <si>
    <t>BBOX1</t>
  </si>
  <si>
    <t>DNAJC8</t>
  </si>
  <si>
    <t>SMNDC1</t>
  </si>
  <si>
    <t>MPDZ</t>
  </si>
  <si>
    <t>CPD</t>
  </si>
  <si>
    <t>GLRX3</t>
  </si>
  <si>
    <t>CLPX</t>
  </si>
  <si>
    <t>SEC14L2</t>
  </si>
  <si>
    <t>CIAO1</t>
  </si>
  <si>
    <t>SRP72</t>
  </si>
  <si>
    <t>DDAH1</t>
  </si>
  <si>
    <t>URI1</t>
  </si>
  <si>
    <t>MTA2</t>
  </si>
  <si>
    <t>ALDH1A2</t>
  </si>
  <si>
    <t>STK10</t>
  </si>
  <si>
    <t>TPPP</t>
  </si>
  <si>
    <t>ATG12</t>
  </si>
  <si>
    <t>KBTBD11</t>
  </si>
  <si>
    <t>TOMM70A</t>
  </si>
  <si>
    <t>IPO13</t>
  </si>
  <si>
    <t>MICAL2</t>
  </si>
  <si>
    <t>SEC24D</t>
  </si>
  <si>
    <t>UFL1</t>
  </si>
  <si>
    <t>SORBS2</t>
  </si>
  <si>
    <t>FARP2</t>
  </si>
  <si>
    <t>UBXN7</t>
  </si>
  <si>
    <t>PROSC</t>
  </si>
  <si>
    <t>ABLIM3</t>
  </si>
  <si>
    <t>USP19</t>
  </si>
  <si>
    <t>AP2A2</t>
  </si>
  <si>
    <t>SEC31A</t>
  </si>
  <si>
    <t>HEXIM1</t>
  </si>
  <si>
    <t>AGFG2</t>
  </si>
  <si>
    <t>SCAF4</t>
  </si>
  <si>
    <t>AKR7A3</t>
  </si>
  <si>
    <t>UBE4B</t>
  </si>
  <si>
    <t>IKBKAP</t>
  </si>
  <si>
    <t>LETM1</t>
  </si>
  <si>
    <t>STBD1</t>
  </si>
  <si>
    <t>ZRANB2</t>
  </si>
  <si>
    <t>SNX4</t>
  </si>
  <si>
    <t>LUC7L3</t>
  </si>
  <si>
    <t>MBD4</t>
  </si>
  <si>
    <t>KAT7</t>
  </si>
  <si>
    <t>EPM2A</t>
  </si>
  <si>
    <t>VAPB</t>
  </si>
  <si>
    <t>PGLS</t>
  </si>
  <si>
    <t>PAPSS2</t>
  </si>
  <si>
    <t>ATG7</t>
  </si>
  <si>
    <t>FARS2</t>
  </si>
  <si>
    <t>LYPLA2</t>
  </si>
  <si>
    <t>IPO7</t>
  </si>
  <si>
    <t>ARIH2</t>
  </si>
  <si>
    <t>PGM3</t>
  </si>
  <si>
    <t>MOCS3</t>
  </si>
  <si>
    <t>UTS2</t>
  </si>
  <si>
    <t>CD2BP2</t>
  </si>
  <si>
    <t>SVIL</t>
  </si>
  <si>
    <t>AHSA1</t>
  </si>
  <si>
    <t>PARN</t>
  </si>
  <si>
    <t>PSMG1</t>
  </si>
  <si>
    <t>H6PD</t>
  </si>
  <si>
    <t>SEC24A</t>
  </si>
  <si>
    <t>SEC24B</t>
  </si>
  <si>
    <t>VNN1</t>
  </si>
  <si>
    <t>NADK</t>
  </si>
  <si>
    <t>TDP2</t>
  </si>
  <si>
    <t>ETHE1</t>
  </si>
  <si>
    <t>CNOT4</t>
  </si>
  <si>
    <t>STAMBP</t>
  </si>
  <si>
    <t>ASMTL</t>
  </si>
  <si>
    <t>FGFR1OP</t>
  </si>
  <si>
    <t>SNAP29</t>
  </si>
  <si>
    <t>OXSR1</t>
  </si>
  <si>
    <t>HSPA4L</t>
  </si>
  <si>
    <t>NAA38</t>
  </si>
  <si>
    <t>AP2A1</t>
  </si>
  <si>
    <t>BAG3</t>
  </si>
  <si>
    <t>MLYCD</t>
  </si>
  <si>
    <t>CRYZL1</t>
  </si>
  <si>
    <t>AIFM1</t>
  </si>
  <si>
    <t>EML2</t>
  </si>
  <si>
    <t>DDAH2</t>
  </si>
  <si>
    <t>TXNDC12</t>
  </si>
  <si>
    <t>FTCD</t>
  </si>
  <si>
    <t>NUDT3</t>
  </si>
  <si>
    <t>BCL10</t>
  </si>
  <si>
    <t>MOCS2</t>
  </si>
  <si>
    <t>ACTL6A</t>
  </si>
  <si>
    <t>ADH1B</t>
  </si>
  <si>
    <t>ADH1C</t>
  </si>
  <si>
    <t>LDHA</t>
  </si>
  <si>
    <t>ALDH1A1</t>
  </si>
  <si>
    <t>DHFR</t>
  </si>
  <si>
    <t>CYB5R3</t>
  </si>
  <si>
    <t>GSR</t>
  </si>
  <si>
    <t>PAH</t>
  </si>
  <si>
    <t>CP</t>
  </si>
  <si>
    <t>OTC</t>
  </si>
  <si>
    <t>PNP</t>
  </si>
  <si>
    <t>HPRT1</t>
  </si>
  <si>
    <t>GOT2</t>
  </si>
  <si>
    <t>PGK1</t>
  </si>
  <si>
    <t>AK1</t>
  </si>
  <si>
    <t>F2</t>
  </si>
  <si>
    <t>C1R</t>
  </si>
  <si>
    <t>HP</t>
  </si>
  <si>
    <t>F9</t>
  </si>
  <si>
    <t>PLG</t>
  </si>
  <si>
    <t>F12</t>
  </si>
  <si>
    <t>ASS1</t>
  </si>
  <si>
    <t>SERPINA1</t>
  </si>
  <si>
    <t>SERPINA3</t>
  </si>
  <si>
    <t>AGT</t>
  </si>
  <si>
    <t>A2M</t>
  </si>
  <si>
    <t>C3</t>
  </si>
  <si>
    <t>CSTA</t>
  </si>
  <si>
    <t>KNG1</t>
  </si>
  <si>
    <t>NRAS</t>
  </si>
  <si>
    <t>KRAS</t>
  </si>
  <si>
    <t>IGKC</t>
  </si>
  <si>
    <t>IGHG1</t>
  </si>
  <si>
    <t>IGHG2</t>
  </si>
  <si>
    <t>IGHG3</t>
  </si>
  <si>
    <t>IGHM</t>
  </si>
  <si>
    <t>IGHA1</t>
  </si>
  <si>
    <t>IGHA2</t>
  </si>
  <si>
    <t>COL4A1</t>
  </si>
  <si>
    <t>KRT14</t>
  </si>
  <si>
    <t>KRT6A</t>
  </si>
  <si>
    <t>LMNA</t>
  </si>
  <si>
    <t>APOA1</t>
  </si>
  <si>
    <t>APOE</t>
  </si>
  <si>
    <t>APOA2</t>
  </si>
  <si>
    <t>APOC3</t>
  </si>
  <si>
    <t>FGA</t>
  </si>
  <si>
    <t>FGB</t>
  </si>
  <si>
    <t>FGG</t>
  </si>
  <si>
    <t>APCS</t>
  </si>
  <si>
    <t>C9</t>
  </si>
  <si>
    <t>APOH</t>
  </si>
  <si>
    <t>LRG1</t>
  </si>
  <si>
    <t>FN1</t>
  </si>
  <si>
    <t>AMBP</t>
  </si>
  <si>
    <t>ORM1</t>
  </si>
  <si>
    <t>AHSG</t>
  </si>
  <si>
    <t>TTR</t>
  </si>
  <si>
    <t>AFP</t>
  </si>
  <si>
    <t>GC</t>
  </si>
  <si>
    <t>HPX</t>
  </si>
  <si>
    <t>FTL</t>
  </si>
  <si>
    <t>FTH1</t>
  </si>
  <si>
    <t>MT2A</t>
  </si>
  <si>
    <t>ANG</t>
  </si>
  <si>
    <t>C4BPA</t>
  </si>
  <si>
    <t>VTN</t>
  </si>
  <si>
    <t>FUCA1</t>
  </si>
  <si>
    <t>CSTB</t>
  </si>
  <si>
    <t>ANXA1</t>
  </si>
  <si>
    <t>APOB</t>
  </si>
  <si>
    <t>NR3C1</t>
  </si>
  <si>
    <t>SOD2</t>
  </si>
  <si>
    <t>OAT</t>
  </si>
  <si>
    <t>HRG</t>
  </si>
  <si>
    <t>A1BG</t>
  </si>
  <si>
    <t>KRT1</t>
  </si>
  <si>
    <t>GAPDH</t>
  </si>
  <si>
    <t>ASL</t>
  </si>
  <si>
    <t>CAPNS1</t>
  </si>
  <si>
    <t>MT1A</t>
  </si>
  <si>
    <t>MT1E</t>
  </si>
  <si>
    <t>MT1F</t>
  </si>
  <si>
    <t>HSPB1</t>
  </si>
  <si>
    <t>GNAI2</t>
  </si>
  <si>
    <t>ALDOB</t>
  </si>
  <si>
    <t>ARG1</t>
  </si>
  <si>
    <t>APOD</t>
  </si>
  <si>
    <t>ALDH2</t>
  </si>
  <si>
    <t>S100A8</t>
  </si>
  <si>
    <t>HMGN1</t>
  </si>
  <si>
    <t>SLC25A5</t>
  </si>
  <si>
    <t>SERPINA5</t>
  </si>
  <si>
    <t>SERPING1</t>
  </si>
  <si>
    <t>ISG15</t>
  </si>
  <si>
    <t>MPO</t>
  </si>
  <si>
    <t>PCCA</t>
  </si>
  <si>
    <t>PCCB</t>
  </si>
  <si>
    <t>CYP1A2</t>
  </si>
  <si>
    <t>CYP2E1</t>
  </si>
  <si>
    <t>EIF2S1</t>
  </si>
  <si>
    <t>HMGN2</t>
  </si>
  <si>
    <t>RPLP1</t>
  </si>
  <si>
    <t>RPLP2</t>
  </si>
  <si>
    <t>SSB</t>
  </si>
  <si>
    <t>SERPINA7</t>
  </si>
  <si>
    <t>SERPIND1</t>
  </si>
  <si>
    <t>KRT18</t>
  </si>
  <si>
    <t>KRT8</t>
  </si>
  <si>
    <t>MYL1</t>
  </si>
  <si>
    <t>UROD</t>
  </si>
  <si>
    <t>GLA</t>
  </si>
  <si>
    <t>ATP5B</t>
  </si>
  <si>
    <t>S100A9</t>
  </si>
  <si>
    <t>APOA4</t>
  </si>
  <si>
    <t>EIF4E</t>
  </si>
  <si>
    <t>ENO1</t>
  </si>
  <si>
    <t>PYGL</t>
  </si>
  <si>
    <t>GPI</t>
  </si>
  <si>
    <t>NPM1</t>
  </si>
  <si>
    <t>TPM3</t>
  </si>
  <si>
    <t>EPHX1</t>
  </si>
  <si>
    <t>DBI</t>
  </si>
  <si>
    <t>FABP1</t>
  </si>
  <si>
    <t>LDHB</t>
  </si>
  <si>
    <t>GPX1</t>
  </si>
  <si>
    <t>P4HB</t>
  </si>
  <si>
    <t>H1F0</t>
  </si>
  <si>
    <t>ASGR2</t>
  </si>
  <si>
    <t>ACYP1</t>
  </si>
  <si>
    <t>ADH1A</t>
  </si>
  <si>
    <t>C8A</t>
  </si>
  <si>
    <t>C8G</t>
  </si>
  <si>
    <t>CAPN1</t>
  </si>
  <si>
    <t>MT1B</t>
  </si>
  <si>
    <t>PSAP</t>
  </si>
  <si>
    <t>HEXB</t>
  </si>
  <si>
    <t>CTSL1</t>
  </si>
  <si>
    <t>PFN1</t>
  </si>
  <si>
    <t>BPGM</t>
  </si>
  <si>
    <t>APRT</t>
  </si>
  <si>
    <t>EPRS</t>
  </si>
  <si>
    <t>CTSB</t>
  </si>
  <si>
    <t>HSP90AA1</t>
  </si>
  <si>
    <t>GALT</t>
  </si>
  <si>
    <t>YES1</t>
  </si>
  <si>
    <t>FH</t>
  </si>
  <si>
    <t>THBS1</t>
  </si>
  <si>
    <t>HSPA1A</t>
  </si>
  <si>
    <t>COL1A2</t>
  </si>
  <si>
    <t>ANXA6</t>
  </si>
  <si>
    <t>SERPINA6</t>
  </si>
  <si>
    <t>GUSB</t>
  </si>
  <si>
    <t>HSP90AB1</t>
  </si>
  <si>
    <t>SRPR</t>
  </si>
  <si>
    <t>ADH4</t>
  </si>
  <si>
    <t>LPA</t>
  </si>
  <si>
    <t>PDHA1</t>
  </si>
  <si>
    <t>CD14</t>
  </si>
  <si>
    <t>SNRPB2</t>
  </si>
  <si>
    <t>CFH</t>
  </si>
  <si>
    <t>SNRNP70</t>
  </si>
  <si>
    <t>NFIC</t>
  </si>
  <si>
    <t>VIM</t>
  </si>
  <si>
    <t>CYP3A4</t>
  </si>
  <si>
    <t>SERPINF2</t>
  </si>
  <si>
    <t>KRT19</t>
  </si>
  <si>
    <t>KRT7</t>
  </si>
  <si>
    <t>SNRPA</t>
  </si>
  <si>
    <t>ACAA1</t>
  </si>
  <si>
    <t>SRP19</t>
  </si>
  <si>
    <t>GSTA2</t>
  </si>
  <si>
    <t>SNRPC</t>
  </si>
  <si>
    <t>VIL1</t>
  </si>
  <si>
    <t>LGALS1</t>
  </si>
  <si>
    <t>QDPR</t>
  </si>
  <si>
    <t>HMGB1</t>
  </si>
  <si>
    <t>FBP1</t>
  </si>
  <si>
    <t>TPM1</t>
  </si>
  <si>
    <t>CLTA</t>
  </si>
  <si>
    <t>CLTB</t>
  </si>
  <si>
    <t>ANXA4</t>
  </si>
  <si>
    <t>CNP</t>
  </si>
  <si>
    <t>HMOX1</t>
  </si>
  <si>
    <t>DLD</t>
  </si>
  <si>
    <t>HNRNPA1</t>
  </si>
  <si>
    <t>SNRPA1</t>
  </si>
  <si>
    <t>CTSH</t>
  </si>
  <si>
    <t>C1S</t>
  </si>
  <si>
    <t>PARP1</t>
  </si>
  <si>
    <t>IFIT2</t>
  </si>
  <si>
    <t>LTA4H</t>
  </si>
  <si>
    <t>ALDOC</t>
  </si>
  <si>
    <t>NUDT7</t>
  </si>
  <si>
    <t>C4B</t>
  </si>
  <si>
    <t>CISD3</t>
  </si>
  <si>
    <t>ELFN1</t>
  </si>
  <si>
    <t>IGLC2</t>
  </si>
  <si>
    <t>CHTF8</t>
  </si>
  <si>
    <t>RPS17L</t>
  </si>
  <si>
    <t>SAA1</t>
  </si>
  <si>
    <t>FDX1</t>
  </si>
  <si>
    <t>RNASE2</t>
  </si>
  <si>
    <t>TROVE2</t>
  </si>
  <si>
    <t>GAA</t>
  </si>
  <si>
    <t>HIST1H1E</t>
  </si>
  <si>
    <t>DLAT</t>
  </si>
  <si>
    <t>PTPRF</t>
  </si>
  <si>
    <t>COX5B</t>
  </si>
  <si>
    <t>CTSA</t>
  </si>
  <si>
    <t>CYP2C8</t>
  </si>
  <si>
    <t>PRKAR1A</t>
  </si>
  <si>
    <t>UROS</t>
  </si>
  <si>
    <t>ESD</t>
  </si>
  <si>
    <t>HSPD1</t>
  </si>
  <si>
    <t>CLU</t>
  </si>
  <si>
    <t>HSPA5</t>
  </si>
  <si>
    <t>LAMC1</t>
  </si>
  <si>
    <t>HSPA8</t>
  </si>
  <si>
    <t>EPB41</t>
  </si>
  <si>
    <t>UMPS</t>
  </si>
  <si>
    <t>PDHB</t>
  </si>
  <si>
    <t>DBT</t>
  </si>
  <si>
    <t>PYGB</t>
  </si>
  <si>
    <t>MBL2</t>
  </si>
  <si>
    <t>NAT2</t>
  </si>
  <si>
    <t>SPTB</t>
  </si>
  <si>
    <t>ACADM</t>
  </si>
  <si>
    <t>UBL4A</t>
  </si>
  <si>
    <t>PC</t>
  </si>
  <si>
    <t>DMD</t>
  </si>
  <si>
    <t>MTHFD1</t>
  </si>
  <si>
    <t>CYP2C9</t>
  </si>
  <si>
    <t>IGF2R</t>
  </si>
  <si>
    <t>ADH5</t>
  </si>
  <si>
    <t>PRPS2</t>
  </si>
  <si>
    <t>PABPC1</t>
  </si>
  <si>
    <t>PCNA</t>
  </si>
  <si>
    <t>TPR</t>
  </si>
  <si>
    <t>BCKDHA</t>
  </si>
  <si>
    <t>RNASE3</t>
  </si>
  <si>
    <t>ACTN1</t>
  </si>
  <si>
    <t>PEPD</t>
  </si>
  <si>
    <t>XRCC6</t>
  </si>
  <si>
    <t>XRCC5</t>
  </si>
  <si>
    <t>COX4I1</t>
  </si>
  <si>
    <t>ALAS1</t>
  </si>
  <si>
    <t>IFI30</t>
  </si>
  <si>
    <t>RNH1</t>
  </si>
  <si>
    <t>EEF2</t>
  </si>
  <si>
    <t>MT1G</t>
  </si>
  <si>
    <t>KRT5</t>
  </si>
  <si>
    <t>PDIA4</t>
  </si>
  <si>
    <t>C6</t>
  </si>
  <si>
    <t>P4HA1</t>
  </si>
  <si>
    <t>TPT1</t>
  </si>
  <si>
    <t>LCP1</t>
  </si>
  <si>
    <t>PLS3</t>
  </si>
  <si>
    <t>APEH</t>
  </si>
  <si>
    <t>ETFA</t>
  </si>
  <si>
    <t>PRKAR2A</t>
  </si>
  <si>
    <t>ENO3</t>
  </si>
  <si>
    <t>GTF2F2</t>
  </si>
  <si>
    <t>MIF</t>
  </si>
  <si>
    <t>PRKCSH</t>
  </si>
  <si>
    <t>HCLS1</t>
  </si>
  <si>
    <t>FDPS</t>
  </si>
  <si>
    <t>AKR1A1</t>
  </si>
  <si>
    <t>PKM</t>
  </si>
  <si>
    <t>ACYP2</t>
  </si>
  <si>
    <t>HSP90B1</t>
  </si>
  <si>
    <t>IDE</t>
  </si>
  <si>
    <t>COX6B1</t>
  </si>
  <si>
    <t>HNRNPL</t>
  </si>
  <si>
    <t>DARS</t>
  </si>
  <si>
    <t>DAO</t>
  </si>
  <si>
    <t>JUP</t>
  </si>
  <si>
    <t>GLUL</t>
  </si>
  <si>
    <t>AKR1B1</t>
  </si>
  <si>
    <t>ANPEP</t>
  </si>
  <si>
    <t>GSPT1</t>
  </si>
  <si>
    <t>ARSA</t>
  </si>
  <si>
    <t>EZR</t>
  </si>
  <si>
    <t>UCHL3</t>
  </si>
  <si>
    <t>HPGD</t>
  </si>
  <si>
    <t>NME1</t>
  </si>
  <si>
    <t>PHKG2</t>
  </si>
  <si>
    <t>ARSB</t>
  </si>
  <si>
    <t>DSP</t>
  </si>
  <si>
    <t>RPA2</t>
  </si>
  <si>
    <t>PFKFB1</t>
  </si>
  <si>
    <t>CBR1</t>
  </si>
  <si>
    <t>ACADS</t>
  </si>
  <si>
    <t>CREB1</t>
  </si>
  <si>
    <t>GLB1</t>
  </si>
  <si>
    <t>PPP3CB</t>
  </si>
  <si>
    <t>NCK1</t>
  </si>
  <si>
    <t>GCFC2</t>
  </si>
  <si>
    <t>HIST1H1B</t>
  </si>
  <si>
    <t>POR</t>
  </si>
  <si>
    <t>MGMT</t>
  </si>
  <si>
    <t>UGT2B7</t>
  </si>
  <si>
    <t>PLCG2</t>
  </si>
  <si>
    <t>FAH</t>
  </si>
  <si>
    <t>STMN1</t>
  </si>
  <si>
    <t>YBX3</t>
  </si>
  <si>
    <t>ZKSCAN1</t>
  </si>
  <si>
    <t>NAGA</t>
  </si>
  <si>
    <t>HSPA6</t>
  </si>
  <si>
    <t>GOT1</t>
  </si>
  <si>
    <t>AKR1C4</t>
  </si>
  <si>
    <t>ATF7</t>
  </si>
  <si>
    <t>PRKACA</t>
  </si>
  <si>
    <t>CAPN2</t>
  </si>
  <si>
    <t>TAT</t>
  </si>
  <si>
    <t>CTPS1</t>
  </si>
  <si>
    <t>PFKL</t>
  </si>
  <si>
    <t>GM2A</t>
  </si>
  <si>
    <t>LGALS3</t>
  </si>
  <si>
    <t>TCP1</t>
  </si>
  <si>
    <t>IGFBP2</t>
  </si>
  <si>
    <t>VCL</t>
  </si>
  <si>
    <t>GPX2</t>
  </si>
  <si>
    <t>NAT1</t>
  </si>
  <si>
    <t>IL1RN</t>
  </si>
  <si>
    <t>SON</t>
  </si>
  <si>
    <t>RPL17</t>
  </si>
  <si>
    <t>PGAM1</t>
  </si>
  <si>
    <t>SDC1</t>
  </si>
  <si>
    <t>ATP5J</t>
  </si>
  <si>
    <t>MYL12A</t>
  </si>
  <si>
    <t>PLCG1</t>
  </si>
  <si>
    <t>NCL</t>
  </si>
  <si>
    <t>POLR2E</t>
  </si>
  <si>
    <t>NDUFV2</t>
  </si>
  <si>
    <t>EIF2AK2</t>
  </si>
  <si>
    <t>SRM</t>
  </si>
  <si>
    <t>ORM2</t>
  </si>
  <si>
    <t>CSNK2A2</t>
  </si>
  <si>
    <t>ITIH1</t>
  </si>
  <si>
    <t>NFKB1</t>
  </si>
  <si>
    <t>TYMP</t>
  </si>
  <si>
    <t>EIF2S2</t>
  </si>
  <si>
    <t>SDS</t>
  </si>
  <si>
    <t>BTF3</t>
  </si>
  <si>
    <t>RAB4A</t>
  </si>
  <si>
    <t>RAB6A</t>
  </si>
  <si>
    <t>MSH3</t>
  </si>
  <si>
    <t>MX1</t>
  </si>
  <si>
    <t>PSMB1</t>
  </si>
  <si>
    <t>COX5A</t>
  </si>
  <si>
    <t>LMNB1</t>
  </si>
  <si>
    <t>DDC</t>
  </si>
  <si>
    <t>CAST</t>
  </si>
  <si>
    <t>HNF1A</t>
  </si>
  <si>
    <t>FLG</t>
  </si>
  <si>
    <t>AGA</t>
  </si>
  <si>
    <t>RASA1</t>
  </si>
  <si>
    <t>PTMS</t>
  </si>
  <si>
    <t>GSTM3</t>
  </si>
  <si>
    <t>ATP6V1B2</t>
  </si>
  <si>
    <t>ATP6V1C1</t>
  </si>
  <si>
    <t>CSRP1</t>
  </si>
  <si>
    <t>ACO1</t>
  </si>
  <si>
    <t>AGXT</t>
  </si>
  <si>
    <t>GPD1</t>
  </si>
  <si>
    <t>SDHB</t>
  </si>
  <si>
    <t>BCKDHB</t>
  </si>
  <si>
    <t>COMT</t>
  </si>
  <si>
    <t>MUT</t>
  </si>
  <si>
    <t>OSBP</t>
  </si>
  <si>
    <t>PCMT1</t>
  </si>
  <si>
    <t>GART</t>
  </si>
  <si>
    <t>PAICS</t>
  </si>
  <si>
    <t>SCP2</t>
  </si>
  <si>
    <t>UBA1</t>
  </si>
  <si>
    <t>NME2</t>
  </si>
  <si>
    <t>FDXR</t>
  </si>
  <si>
    <t>HNRNPA2B1</t>
  </si>
  <si>
    <t>RFX1</t>
  </si>
  <si>
    <t>PRKACB</t>
  </si>
  <si>
    <t>FECH</t>
  </si>
  <si>
    <t>CES1</t>
  </si>
  <si>
    <t>FBLN1</t>
  </si>
  <si>
    <t>TCEA1</t>
  </si>
  <si>
    <t>SFPQ</t>
  </si>
  <si>
    <t>PPIB</t>
  </si>
  <si>
    <t>ME2</t>
  </si>
  <si>
    <t>GLDC</t>
  </si>
  <si>
    <t>WARS</t>
  </si>
  <si>
    <t>RPS3</t>
  </si>
  <si>
    <t>MYF6</t>
  </si>
  <si>
    <t>GCSH</t>
  </si>
  <si>
    <t>SP100</t>
  </si>
  <si>
    <t>MCC</t>
  </si>
  <si>
    <t>AHCY</t>
  </si>
  <si>
    <t>CFL1</t>
  </si>
  <si>
    <t>EIF4B</t>
  </si>
  <si>
    <t>CPT2</t>
  </si>
  <si>
    <t>DTYMK</t>
  </si>
  <si>
    <t>RRM1</t>
  </si>
  <si>
    <t>PRTN3</t>
  </si>
  <si>
    <t>GPT</t>
  </si>
  <si>
    <t>EEF1B2</t>
  </si>
  <si>
    <t>ACP1</t>
  </si>
  <si>
    <t>ACAT1</t>
  </si>
  <si>
    <t>CDK2</t>
  </si>
  <si>
    <t>APC</t>
  </si>
  <si>
    <t>AZGP1</t>
  </si>
  <si>
    <t>RPS12</t>
  </si>
  <si>
    <t>DNAJB1</t>
  </si>
  <si>
    <t>ATP5A1</t>
  </si>
  <si>
    <t>CTSS</t>
  </si>
  <si>
    <t>PSMA1</t>
  </si>
  <si>
    <t>PSMA2</t>
  </si>
  <si>
    <t>PSMA3</t>
  </si>
  <si>
    <t>PSMA4</t>
  </si>
  <si>
    <t>MSN</t>
  </si>
  <si>
    <t>DDX6</t>
  </si>
  <si>
    <t>DNMT1</t>
  </si>
  <si>
    <t>U2AF2</t>
  </si>
  <si>
    <t>IVD</t>
  </si>
  <si>
    <t>S100A4</t>
  </si>
  <si>
    <t>HMGB2</t>
  </si>
  <si>
    <t>PTBP1</t>
  </si>
  <si>
    <t>TARS</t>
  </si>
  <si>
    <t>VARS</t>
  </si>
  <si>
    <t>EEF1G</t>
  </si>
  <si>
    <t>FKBP2</t>
  </si>
  <si>
    <t>MST1</t>
  </si>
  <si>
    <t>AK4</t>
  </si>
  <si>
    <t>YWHAQ</t>
  </si>
  <si>
    <t>ARNT</t>
  </si>
  <si>
    <t>RPA1</t>
  </si>
  <si>
    <t>APEX1</t>
  </si>
  <si>
    <t>CALR</t>
  </si>
  <si>
    <t>MAP4</t>
  </si>
  <si>
    <t>PIK3R1</t>
  </si>
  <si>
    <t>PSMB8</t>
  </si>
  <si>
    <t>PSMA5</t>
  </si>
  <si>
    <t>PSMB4</t>
  </si>
  <si>
    <t>PSMB6</t>
  </si>
  <si>
    <t>PSMB5</t>
  </si>
  <si>
    <t>TMOD1</t>
  </si>
  <si>
    <t>ACADL</t>
  </si>
  <si>
    <t>NDUFS1</t>
  </si>
  <si>
    <t>ADH6</t>
  </si>
  <si>
    <t>POLD1</t>
  </si>
  <si>
    <t>MAPK1</t>
  </si>
  <si>
    <t>ERCC5</t>
  </si>
  <si>
    <t>GRN</t>
  </si>
  <si>
    <t>LAP3</t>
  </si>
  <si>
    <t>TPP2</t>
  </si>
  <si>
    <t>PTPN6</t>
  </si>
  <si>
    <t>SHC1</t>
  </si>
  <si>
    <t>MPG</t>
  </si>
  <si>
    <t>TKT</t>
  </si>
  <si>
    <t>PML</t>
  </si>
  <si>
    <t>SERPINA4</t>
  </si>
  <si>
    <t>MARCKS</t>
  </si>
  <si>
    <t>ALDH4A1</t>
  </si>
  <si>
    <t>PBLD</t>
  </si>
  <si>
    <t>ERP29</t>
  </si>
  <si>
    <t>PRDX6</t>
  </si>
  <si>
    <t>C21orf33</t>
  </si>
  <si>
    <t>BLVRB</t>
  </si>
  <si>
    <t>PRDX5</t>
  </si>
  <si>
    <t>DDT</t>
  </si>
  <si>
    <t>GCHFR</t>
  </si>
  <si>
    <t>ATP5D</t>
  </si>
  <si>
    <t>ECHS1</t>
  </si>
  <si>
    <t>CMPK1</t>
  </si>
  <si>
    <t>PEBP1</t>
  </si>
  <si>
    <t>PPP2R1A</t>
  </si>
  <si>
    <t>PPP2R1B</t>
  </si>
  <si>
    <t>PPIF</t>
  </si>
  <si>
    <t>NKTR</t>
  </si>
  <si>
    <t>NMT1</t>
  </si>
  <si>
    <t>ADSS</t>
  </si>
  <si>
    <t>LRPAP1</t>
  </si>
  <si>
    <t>ADSL</t>
  </si>
  <si>
    <t>PKLR</t>
  </si>
  <si>
    <t>CLIP1</t>
  </si>
  <si>
    <t>GSTT1</t>
  </si>
  <si>
    <t>SERPINB1</t>
  </si>
  <si>
    <t>GCH1</t>
  </si>
  <si>
    <t>ALDH1B1</t>
  </si>
  <si>
    <t>SDHA</t>
  </si>
  <si>
    <t>CORO1A</t>
  </si>
  <si>
    <t>GDI1</t>
  </si>
  <si>
    <t>MAT2A</t>
  </si>
  <si>
    <t>PRKAR1B</t>
  </si>
  <si>
    <t>CPS1</t>
  </si>
  <si>
    <t>RRM2</t>
  </si>
  <si>
    <t>DNAJA1</t>
  </si>
  <si>
    <t>AKT1</t>
  </si>
  <si>
    <t>AKT2</t>
  </si>
  <si>
    <t>UQCRC1</t>
  </si>
  <si>
    <t>HIBADH</t>
  </si>
  <si>
    <t>ATIC</t>
  </si>
  <si>
    <t>HNRNPH3</t>
  </si>
  <si>
    <t>YWHAB</t>
  </si>
  <si>
    <t>SFN</t>
  </si>
  <si>
    <t>STIP1</t>
  </si>
  <si>
    <t>S100A11</t>
  </si>
  <si>
    <t>PRDX2</t>
  </si>
  <si>
    <t>GK</t>
  </si>
  <si>
    <t>CDA</t>
  </si>
  <si>
    <t>DCTD</t>
  </si>
  <si>
    <t>GBP1</t>
  </si>
  <si>
    <t>GBP2</t>
  </si>
  <si>
    <t>ELF1</t>
  </si>
  <si>
    <t>HPD</t>
  </si>
  <si>
    <t>CTH</t>
  </si>
  <si>
    <t>ACSL1</t>
  </si>
  <si>
    <t>KIF5B</t>
  </si>
  <si>
    <t>CSTF2</t>
  </si>
  <si>
    <t>LSP1</t>
  </si>
  <si>
    <t>DUT</t>
  </si>
  <si>
    <t>MAN1A1</t>
  </si>
  <si>
    <t>MCM4</t>
  </si>
  <si>
    <t>MCM5</t>
  </si>
  <si>
    <t>MCM7</t>
  </si>
  <si>
    <t>GALNS</t>
  </si>
  <si>
    <t>SHMT1</t>
  </si>
  <si>
    <t>SHMT2</t>
  </si>
  <si>
    <t>EPHX2</t>
  </si>
  <si>
    <t>HSPA4</t>
  </si>
  <si>
    <t>PRSS3</t>
  </si>
  <si>
    <t>CA5A</t>
  </si>
  <si>
    <t>CTNNA1</t>
  </si>
  <si>
    <t>SERPINB6</t>
  </si>
  <si>
    <t>NF2</t>
  </si>
  <si>
    <t>RDX</t>
  </si>
  <si>
    <t>RFC1</t>
  </si>
  <si>
    <t>RPL22</t>
  </si>
  <si>
    <t>SPR</t>
  </si>
  <si>
    <t>CBS</t>
  </si>
  <si>
    <t>PCK1</t>
  </si>
  <si>
    <t>IRS1</t>
  </si>
  <si>
    <t>AGL</t>
  </si>
  <si>
    <t>MYH9</t>
  </si>
  <si>
    <t>MYH10</t>
  </si>
  <si>
    <t>COPB2</t>
  </si>
  <si>
    <t>ADD1</t>
  </si>
  <si>
    <t>FUS</t>
  </si>
  <si>
    <t>NUP214</t>
  </si>
  <si>
    <t>DEK</t>
  </si>
  <si>
    <t>GLRX</t>
  </si>
  <si>
    <t>PPM1A</t>
  </si>
  <si>
    <t>HMGCL</t>
  </si>
  <si>
    <t>PSMC2</t>
  </si>
  <si>
    <t>ARL3</t>
  </si>
  <si>
    <t>MAP2K2</t>
  </si>
  <si>
    <t>ATP6V1E1</t>
  </si>
  <si>
    <t>CPOX</t>
  </si>
  <si>
    <t>PGM1</t>
  </si>
  <si>
    <t>PPP1CC</t>
  </si>
  <si>
    <t>GNL1</t>
  </si>
  <si>
    <t>SERPINF1</t>
  </si>
  <si>
    <t>DLST</t>
  </si>
  <si>
    <t>GPX4</t>
  </si>
  <si>
    <t>CFHR2</t>
  </si>
  <si>
    <t>SRP14</t>
  </si>
  <si>
    <t>NUP62</t>
  </si>
  <si>
    <t>HPCAL1</t>
  </si>
  <si>
    <t>TAGLN2</t>
  </si>
  <si>
    <t>TALDO1</t>
  </si>
  <si>
    <t>ETFB</t>
  </si>
  <si>
    <t>RBMX</t>
  </si>
  <si>
    <t>COIL</t>
  </si>
  <si>
    <t>HSPA9</t>
  </si>
  <si>
    <t>EIF4A3</t>
  </si>
  <si>
    <t>RPS19</t>
  </si>
  <si>
    <t>FEN1</t>
  </si>
  <si>
    <t>TXLNA</t>
  </si>
  <si>
    <t>CCT6A</t>
  </si>
  <si>
    <t>NNMT</t>
  </si>
  <si>
    <t>PSMB10</t>
  </si>
  <si>
    <t>ADH7</t>
  </si>
  <si>
    <t>STAT3</t>
  </si>
  <si>
    <t>USP8</t>
  </si>
  <si>
    <t>MDH1</t>
  </si>
  <si>
    <t>MDH2</t>
  </si>
  <si>
    <t>HADHA</t>
  </si>
  <si>
    <t>EIF2S3</t>
  </si>
  <si>
    <t>CETN2</t>
  </si>
  <si>
    <t>UBA7</t>
  </si>
  <si>
    <t>PPP1R2</t>
  </si>
  <si>
    <t>CSK</t>
  </si>
  <si>
    <t>GARS</t>
  </si>
  <si>
    <t>IARS</t>
  </si>
  <si>
    <t>EIF1</t>
  </si>
  <si>
    <t>PRKCI</t>
  </si>
  <si>
    <t>ACTR1B</t>
  </si>
  <si>
    <t>ECI1</t>
  </si>
  <si>
    <t>TMPO</t>
  </si>
  <si>
    <t>STAT1</t>
  </si>
  <si>
    <t>STAT6</t>
  </si>
  <si>
    <t>SKIV2L2</t>
  </si>
  <si>
    <t>AKR1C3</t>
  </si>
  <si>
    <t>PIK3CA</t>
  </si>
  <si>
    <t>PIK3CB</t>
  </si>
  <si>
    <t>HAL</t>
  </si>
  <si>
    <t>EPS15</t>
  </si>
  <si>
    <t>CASP3</t>
  </si>
  <si>
    <t>LRPPRC</t>
  </si>
  <si>
    <t>ACAA2</t>
  </si>
  <si>
    <t>WAS</t>
  </si>
  <si>
    <t>CDKN2C</t>
  </si>
  <si>
    <t>PRCP</t>
  </si>
  <si>
    <t>HTT</t>
  </si>
  <si>
    <t>MTHFR</t>
  </si>
  <si>
    <t>PAFAH1B1</t>
  </si>
  <si>
    <t>CRAT</t>
  </si>
  <si>
    <t>MATR3</t>
  </si>
  <si>
    <t>MSH2</t>
  </si>
  <si>
    <t>RANBP1</t>
  </si>
  <si>
    <t>NAMPT</t>
  </si>
  <si>
    <t>AFM</t>
  </si>
  <si>
    <t>PSMC4</t>
  </si>
  <si>
    <t>GATA4</t>
  </si>
  <si>
    <t>TSFM</t>
  </si>
  <si>
    <t>ASPA</t>
  </si>
  <si>
    <t>ACADSB</t>
  </si>
  <si>
    <t>CBX5</t>
  </si>
  <si>
    <t>USP5</t>
  </si>
  <si>
    <t>MAPK9</t>
  </si>
  <si>
    <t>MAP2K4</t>
  </si>
  <si>
    <t>PHKA2</t>
  </si>
  <si>
    <t>RANGAP1</t>
  </si>
  <si>
    <t>RECQL</t>
  </si>
  <si>
    <t>NOP2</t>
  </si>
  <si>
    <t>ATRX</t>
  </si>
  <si>
    <t>CRK</t>
  </si>
  <si>
    <t>CRKL</t>
  </si>
  <si>
    <t>MTIF2</t>
  </si>
  <si>
    <t>CDKN1B</t>
  </si>
  <si>
    <t>MAP2K3</t>
  </si>
  <si>
    <t>BRCC3</t>
  </si>
  <si>
    <t>RPL5</t>
  </si>
  <si>
    <t>RPS9</t>
  </si>
  <si>
    <t>RPS10</t>
  </si>
  <si>
    <t>GNPDA1</t>
  </si>
  <si>
    <t>YAP1</t>
  </si>
  <si>
    <t>UTRN</t>
  </si>
  <si>
    <t>IQGAP1</t>
  </si>
  <si>
    <t>HAAO</t>
  </si>
  <si>
    <t>GYG1</t>
  </si>
  <si>
    <t>RABIF</t>
  </si>
  <si>
    <t>CAPZA2</t>
  </si>
  <si>
    <t>EIF1AX</t>
  </si>
  <si>
    <t>QARS</t>
  </si>
  <si>
    <t>RPL29</t>
  </si>
  <si>
    <t>UQCRFS1</t>
  </si>
  <si>
    <t>XDH</t>
  </si>
  <si>
    <t>LIMS1</t>
  </si>
  <si>
    <t>PREP</t>
  </si>
  <si>
    <t>ME1</t>
  </si>
  <si>
    <t>IREB2</t>
  </si>
  <si>
    <t>ARCN1</t>
  </si>
  <si>
    <t>LSS</t>
  </si>
  <si>
    <t>GCLC</t>
  </si>
  <si>
    <t>GCLM</t>
  </si>
  <si>
    <t>PRRC2A</t>
  </si>
  <si>
    <t>GSS</t>
  </si>
  <si>
    <t>CCT5</t>
  </si>
  <si>
    <t>AMT</t>
  </si>
  <si>
    <t>CSNK1D</t>
  </si>
  <si>
    <t>IDH2</t>
  </si>
  <si>
    <t>PITPNB</t>
  </si>
  <si>
    <t>MARCKSL1</t>
  </si>
  <si>
    <t>ALDH9A1</t>
  </si>
  <si>
    <t>NASP</t>
  </si>
  <si>
    <t>FMO5</t>
  </si>
  <si>
    <t>FASN</t>
  </si>
  <si>
    <t>FNTA</t>
  </si>
  <si>
    <t>DHPS</t>
  </si>
  <si>
    <t>CCT3</t>
  </si>
  <si>
    <t>ARRB1</t>
  </si>
  <si>
    <t>TUFM</t>
  </si>
  <si>
    <t>ALDH7A1</t>
  </si>
  <si>
    <t>CDC34</t>
  </si>
  <si>
    <t>INPP1</t>
  </si>
  <si>
    <t>GLUD2</t>
  </si>
  <si>
    <t>SRP9</t>
  </si>
  <si>
    <t>UBE2A</t>
  </si>
  <si>
    <t>AARS</t>
  </si>
  <si>
    <t>CARS</t>
  </si>
  <si>
    <t>SARS</t>
  </si>
  <si>
    <t>TTPA</t>
  </si>
  <si>
    <t>CASP4</t>
  </si>
  <si>
    <t>PSMB3</t>
  </si>
  <si>
    <t>PSMB2</t>
  </si>
  <si>
    <t>MCM2</t>
  </si>
  <si>
    <t>ACADVL</t>
  </si>
  <si>
    <t>YLPM1</t>
  </si>
  <si>
    <t>RBM25</t>
  </si>
  <si>
    <t>NUMB</t>
  </si>
  <si>
    <t>EIF2B2</t>
  </si>
  <si>
    <t>HINT1</t>
  </si>
  <si>
    <t>FHIT</t>
  </si>
  <si>
    <t>NUP153</t>
  </si>
  <si>
    <t>RANBP2</t>
  </si>
  <si>
    <t>NDUFV1</t>
  </si>
  <si>
    <t>GSK3A</t>
  </si>
  <si>
    <t>GSK3B</t>
  </si>
  <si>
    <t>SULT1E1</t>
  </si>
  <si>
    <t>NT5C2</t>
  </si>
  <si>
    <t>SEPHS1</t>
  </si>
  <si>
    <t>MTHFS</t>
  </si>
  <si>
    <t>MRE11A</t>
  </si>
  <si>
    <t>KHK</t>
  </si>
  <si>
    <t>HNMT</t>
  </si>
  <si>
    <t>SULT1A1</t>
  </si>
  <si>
    <t>SULT1A2</t>
  </si>
  <si>
    <t>GDI2</t>
  </si>
  <si>
    <t>EMD</t>
  </si>
  <si>
    <t>GATM</t>
  </si>
  <si>
    <t>SERPINB8</t>
  </si>
  <si>
    <t>SERPINB9</t>
  </si>
  <si>
    <t>SERPINH1</t>
  </si>
  <si>
    <t>ST13</t>
  </si>
  <si>
    <t>PEX5</t>
  </si>
  <si>
    <t>VASP</t>
  </si>
  <si>
    <t>DNM2</t>
  </si>
  <si>
    <t>NUDT2</t>
  </si>
  <si>
    <t>HLCS</t>
  </si>
  <si>
    <t>KNTC1</t>
  </si>
  <si>
    <t>PPT1</t>
  </si>
  <si>
    <t>CCT8</t>
  </si>
  <si>
    <t>CCT4</t>
  </si>
  <si>
    <t>FXR1</t>
  </si>
  <si>
    <t>FXR2</t>
  </si>
  <si>
    <t>RAB5C</t>
  </si>
  <si>
    <t>RAB7A</t>
  </si>
  <si>
    <t>RAB9A</t>
  </si>
  <si>
    <t>RAB13</t>
  </si>
  <si>
    <t>DAP3</t>
  </si>
  <si>
    <t>DUSP3</t>
  </si>
  <si>
    <t>SMARCA4</t>
  </si>
  <si>
    <t>IDH3G</t>
  </si>
  <si>
    <t>GALK1</t>
  </si>
  <si>
    <t>TPMT</t>
  </si>
  <si>
    <t>MECP2</t>
  </si>
  <si>
    <t>HCFC1</t>
  </si>
  <si>
    <t>ALDH5A1</t>
  </si>
  <si>
    <t>HSD17B4</t>
  </si>
  <si>
    <t>PSMD7</t>
  </si>
  <si>
    <t>SUOX</t>
  </si>
  <si>
    <t>SGSH</t>
  </si>
  <si>
    <t>STAT5B</t>
  </si>
  <si>
    <t>AKR1D1</t>
  </si>
  <si>
    <t>HDGF</t>
  </si>
  <si>
    <t>HNRNPA3</t>
  </si>
  <si>
    <t>HNRNPM</t>
  </si>
  <si>
    <t>KPNA1</t>
  </si>
  <si>
    <t>RAP1GDS1</t>
  </si>
  <si>
    <t>AGFG1</t>
  </si>
  <si>
    <t>HNRNPF</t>
  </si>
  <si>
    <t>STAT2</t>
  </si>
  <si>
    <t>VAV2</t>
  </si>
  <si>
    <t>HRSP12</t>
  </si>
  <si>
    <t>SMS</t>
  </si>
  <si>
    <t>HK3</t>
  </si>
  <si>
    <t>MRPL12</t>
  </si>
  <si>
    <t>THOP1</t>
  </si>
  <si>
    <t>CAPZA1</t>
  </si>
  <si>
    <t>CRIP2</t>
  </si>
  <si>
    <t>BLVRA</t>
  </si>
  <si>
    <t>ARFIP1</t>
  </si>
  <si>
    <t>NUDT6</t>
  </si>
  <si>
    <t>NUBP1</t>
  </si>
  <si>
    <t>ACLY</t>
  </si>
  <si>
    <t>SUCLG1</t>
  </si>
  <si>
    <t>MVD</t>
  </si>
  <si>
    <t>PGGT1B</t>
  </si>
  <si>
    <t>RABGGTB</t>
  </si>
  <si>
    <t>COPB1</t>
  </si>
  <si>
    <t>COPA</t>
  </si>
  <si>
    <t>CTSC</t>
  </si>
  <si>
    <t>CLTCL1</t>
  </si>
  <si>
    <t>AP2S1</t>
  </si>
  <si>
    <t>SUB1</t>
  </si>
  <si>
    <t>RARS</t>
  </si>
  <si>
    <t>PMS2</t>
  </si>
  <si>
    <t>YARS</t>
  </si>
  <si>
    <t>USP14</t>
  </si>
  <si>
    <t>PRKAG1</t>
  </si>
  <si>
    <t>RAD23B</t>
  </si>
  <si>
    <t>NAGLU</t>
  </si>
  <si>
    <t>AK2</t>
  </si>
  <si>
    <t>GYS2</t>
  </si>
  <si>
    <t>HMGCS2</t>
  </si>
  <si>
    <t>ALDH18A1</t>
  </si>
  <si>
    <t>NAPA</t>
  </si>
  <si>
    <t>AIF1</t>
  </si>
  <si>
    <t>EIF5</t>
  </si>
  <si>
    <t>PSMD4</t>
  </si>
  <si>
    <t>DRG2</t>
  </si>
  <si>
    <t>PLTP</t>
  </si>
  <si>
    <t>CSE1L</t>
  </si>
  <si>
    <t>VCP</t>
  </si>
  <si>
    <t>MFAP1</t>
  </si>
  <si>
    <t>MANF</t>
  </si>
  <si>
    <t>MTTP</t>
  </si>
  <si>
    <t>MLLT4</t>
  </si>
  <si>
    <t>CASP7</t>
  </si>
  <si>
    <t>CASP6</t>
  </si>
  <si>
    <t>ADK</t>
  </si>
  <si>
    <t>ADAR</t>
  </si>
  <si>
    <t>LAMB2</t>
  </si>
  <si>
    <t>SEC13</t>
  </si>
  <si>
    <t>NHP2L1</t>
  </si>
  <si>
    <t>HNRNPH2</t>
  </si>
  <si>
    <t>SUMO3</t>
  </si>
  <si>
    <t>EIF3B</t>
  </si>
  <si>
    <t>NDUFV3</t>
  </si>
  <si>
    <t>MARS</t>
  </si>
  <si>
    <t>ITGA1</t>
  </si>
  <si>
    <t>ARPP19</t>
  </si>
  <si>
    <t>CMC4</t>
  </si>
  <si>
    <t>LGALS4</t>
  </si>
  <si>
    <t>EIF6</t>
  </si>
  <si>
    <t>C21orf59</t>
  </si>
  <si>
    <t>CORO7</t>
  </si>
  <si>
    <t>NUP107</t>
  </si>
  <si>
    <t>GSDMD</t>
  </si>
  <si>
    <t>EEFSEC</t>
  </si>
  <si>
    <t>MTPN</t>
  </si>
  <si>
    <t>DEFA3</t>
  </si>
  <si>
    <t>ARPC4</t>
  </si>
  <si>
    <t>TPI1</t>
  </si>
  <si>
    <t>EIF3E</t>
  </si>
  <si>
    <t>SEC61B</t>
  </si>
  <si>
    <t>PPP4C</t>
  </si>
  <si>
    <t>RAC3</t>
  </si>
  <si>
    <t>EIF4A1</t>
  </si>
  <si>
    <t>RPS20</t>
  </si>
  <si>
    <t>PRPS1</t>
  </si>
  <si>
    <t>PSMA6</t>
  </si>
  <si>
    <t>CDC42</t>
  </si>
  <si>
    <t>DSTN</t>
  </si>
  <si>
    <t>GMFB</t>
  </si>
  <si>
    <t>RAB8A</t>
  </si>
  <si>
    <t>SRP54</t>
  </si>
  <si>
    <t>RAB2A</t>
  </si>
  <si>
    <t>RAB5B</t>
  </si>
  <si>
    <t>RAB10</t>
  </si>
  <si>
    <t>UBE2D3</t>
  </si>
  <si>
    <t>UBE2M</t>
  </si>
  <si>
    <t>UBE2K</t>
  </si>
  <si>
    <t>UBE2N</t>
  </si>
  <si>
    <t>RAB14</t>
  </si>
  <si>
    <t>ACTR3</t>
  </si>
  <si>
    <t>ACTR2</t>
  </si>
  <si>
    <t>ACTR1A</t>
  </si>
  <si>
    <t>COPS2</t>
  </si>
  <si>
    <t>ABCE1</t>
  </si>
  <si>
    <t>RAP1B</t>
  </si>
  <si>
    <t>RPS3A</t>
  </si>
  <si>
    <t>PSME3</t>
  </si>
  <si>
    <t>MAGOH</t>
  </si>
  <si>
    <t>RPL27</t>
  </si>
  <si>
    <t>PCBD1</t>
  </si>
  <si>
    <t>RHOA</t>
  </si>
  <si>
    <t>HSPE1</t>
  </si>
  <si>
    <t>VBP1</t>
  </si>
  <si>
    <t>COPZ1</t>
  </si>
  <si>
    <t>SUMO2</t>
  </si>
  <si>
    <t>WDR5</t>
  </si>
  <si>
    <t>AP1S1</t>
  </si>
  <si>
    <t>NUTF2</t>
  </si>
  <si>
    <t>HNRNPK</t>
  </si>
  <si>
    <t>YWHAG</t>
  </si>
  <si>
    <t>RRAS2</t>
  </si>
  <si>
    <t>TIMM10</t>
  </si>
  <si>
    <t>PPP1CA</t>
  </si>
  <si>
    <t>PPP1CB</t>
  </si>
  <si>
    <t>CALM1</t>
  </si>
  <si>
    <t>PSMC1</t>
  </si>
  <si>
    <t>PSMC5</t>
  </si>
  <si>
    <t>RPS8</t>
  </si>
  <si>
    <t>YWHAE</t>
  </si>
  <si>
    <t>RPS14</t>
  </si>
  <si>
    <t>RPS18</t>
  </si>
  <si>
    <t>RPS13</t>
  </si>
  <si>
    <t>RPS11</t>
  </si>
  <si>
    <t>SNRPE</t>
  </si>
  <si>
    <t>SNRPG</t>
  </si>
  <si>
    <t>LSM3</t>
  </si>
  <si>
    <t>LSM6</t>
  </si>
  <si>
    <t>SNRPD2</t>
  </si>
  <si>
    <t>TMSB4X</t>
  </si>
  <si>
    <t>ARF6</t>
  </si>
  <si>
    <t>PSMC6</t>
  </si>
  <si>
    <t>CNBP</t>
  </si>
  <si>
    <t>RPS4X</t>
  </si>
  <si>
    <t>PPP2CB</t>
  </si>
  <si>
    <t>RPL23A</t>
  </si>
  <si>
    <t>RPS6</t>
  </si>
  <si>
    <t>VSNL1</t>
  </si>
  <si>
    <t>HIST1H4A</t>
  </si>
  <si>
    <t>RAB1A</t>
  </si>
  <si>
    <t>RAN</t>
  </si>
  <si>
    <t>UBE2D2</t>
  </si>
  <si>
    <t>RPS28</t>
  </si>
  <si>
    <t>FKBP1A</t>
  </si>
  <si>
    <t>GRB2</t>
  </si>
  <si>
    <t>TRA2B</t>
  </si>
  <si>
    <t>RAC1</t>
  </si>
  <si>
    <t>AP2B1</t>
  </si>
  <si>
    <t>YWHAZ</t>
  </si>
  <si>
    <t>PPP2R2A</t>
  </si>
  <si>
    <t>DYNLL1</t>
  </si>
  <si>
    <t>RPL38</t>
  </si>
  <si>
    <t>GNB2L1</t>
  </si>
  <si>
    <t>ACTG1</t>
  </si>
  <si>
    <t>SEPW1</t>
  </si>
  <si>
    <t>TMSB10</t>
  </si>
  <si>
    <t>PPP2CA</t>
  </si>
  <si>
    <t>YBX1</t>
  </si>
  <si>
    <t>CSNK2B</t>
  </si>
  <si>
    <t>TPM4</t>
  </si>
  <si>
    <t>UBE2L3</t>
  </si>
  <si>
    <t>ACTA1</t>
  </si>
  <si>
    <t>TUBA1B</t>
  </si>
  <si>
    <t>TUBB4B</t>
  </si>
  <si>
    <t>PAFAH1B2</t>
  </si>
  <si>
    <t>SH3BP2</t>
  </si>
  <si>
    <t>IGBP1</t>
  </si>
  <si>
    <t>CYP4F2</t>
  </si>
  <si>
    <t>GTF2I</t>
  </si>
  <si>
    <t>CCT2</t>
  </si>
  <si>
    <t>RAE1</t>
  </si>
  <si>
    <t>GSTO1</t>
  </si>
  <si>
    <t>ST5</t>
  </si>
  <si>
    <t>PRKDC</t>
  </si>
  <si>
    <t>CRADD</t>
  </si>
  <si>
    <t>LCN2</t>
  </si>
  <si>
    <t>IFI35</t>
  </si>
  <si>
    <t>MT1H</t>
  </si>
  <si>
    <t>NUCB2</t>
  </si>
  <si>
    <t>ABAT</t>
  </si>
  <si>
    <t>BASP1</t>
  </si>
  <si>
    <t>DCD</t>
  </si>
  <si>
    <t>TMF1</t>
  </si>
  <si>
    <t>MRPS35</t>
  </si>
  <si>
    <t>MRPS5</t>
  </si>
  <si>
    <t>MRPS36</t>
  </si>
  <si>
    <t>MRPS11</t>
  </si>
  <si>
    <t>MRPS15</t>
  </si>
  <si>
    <t>MRPS34</t>
  </si>
  <si>
    <t>MRPS9</t>
  </si>
  <si>
    <t>SARNP</t>
  </si>
  <si>
    <t>RBP5</t>
  </si>
  <si>
    <t>COG7</t>
  </si>
  <si>
    <t>TXNL4A</t>
  </si>
  <si>
    <t>ARF1</t>
  </si>
  <si>
    <t>ERH</t>
  </si>
  <si>
    <t>SERF2</t>
  </si>
  <si>
    <t>CCZ1</t>
  </si>
  <si>
    <t>HSPG2</t>
  </si>
  <si>
    <t>XIAP</t>
  </si>
  <si>
    <t>RBM10</t>
  </si>
  <si>
    <t>RBM3</t>
  </si>
  <si>
    <t>TFAM</t>
  </si>
  <si>
    <t>PITPNA</t>
  </si>
  <si>
    <t>MAT1A</t>
  </si>
  <si>
    <t>HDLBP</t>
  </si>
  <si>
    <t>GTF2B</t>
  </si>
  <si>
    <t>CDK5</t>
  </si>
  <si>
    <t>PURA</t>
  </si>
  <si>
    <t>CLTC</t>
  </si>
  <si>
    <t>NFKB2</t>
  </si>
  <si>
    <t>FKBP3</t>
  </si>
  <si>
    <t>REEP5</t>
  </si>
  <si>
    <t>SORD</t>
  </si>
  <si>
    <t>HNRNPU</t>
  </si>
  <si>
    <t>PLIN5</t>
  </si>
  <si>
    <t>U2AF1</t>
  </si>
  <si>
    <t>SPTBN1</t>
  </si>
  <si>
    <t>TIAL1</t>
  </si>
  <si>
    <t>SET</t>
  </si>
  <si>
    <t>GALK2</t>
  </si>
  <si>
    <t>AMPD2</t>
  </si>
  <si>
    <t>CTBS</t>
  </si>
  <si>
    <t>FABP5</t>
  </si>
  <si>
    <t>CAP1</t>
  </si>
  <si>
    <t>HMGCS1</t>
  </si>
  <si>
    <t>DR1</t>
  </si>
  <si>
    <t>OTUD4</t>
  </si>
  <si>
    <t>EWSR1</t>
  </si>
  <si>
    <t>OCRL</t>
  </si>
  <si>
    <t>PLCB3</t>
  </si>
  <si>
    <t>TAGLN</t>
  </si>
  <si>
    <t>NAAA</t>
  </si>
  <si>
    <t>ALDH6A1</t>
  </si>
  <si>
    <t>CYP27A1</t>
  </si>
  <si>
    <t>PLGLB1</t>
  </si>
  <si>
    <t>APBA1</t>
  </si>
  <si>
    <t>DSC2</t>
  </si>
  <si>
    <t>MAP2K1</t>
  </si>
  <si>
    <t>FKBP4</t>
  </si>
  <si>
    <t>NUCB1</t>
  </si>
  <si>
    <t>CYP4A11</t>
  </si>
  <si>
    <t>DST</t>
  </si>
  <si>
    <t>GSTM4</t>
  </si>
  <si>
    <t>ACY1</t>
  </si>
  <si>
    <t>TNFAIP2</t>
  </si>
  <si>
    <t>PTS</t>
  </si>
  <si>
    <t>GBE1</t>
  </si>
  <si>
    <t>EIF4G1</t>
  </si>
  <si>
    <t>TLE1</t>
  </si>
  <si>
    <t>GLO1</t>
  </si>
  <si>
    <t>AKR1C1</t>
  </si>
  <si>
    <t>SSBP1</t>
  </si>
  <si>
    <t>YWHAH</t>
  </si>
  <si>
    <t>CSTF1</t>
  </si>
  <si>
    <t>UBE3A</t>
  </si>
  <si>
    <t>CALD1</t>
  </si>
  <si>
    <t>ITIH3</t>
  </si>
  <si>
    <t>PTPN11</t>
  </si>
  <si>
    <t>PPAT</t>
  </si>
  <si>
    <t>GFPT1</t>
  </si>
  <si>
    <t>AOX1</t>
  </si>
  <si>
    <t>PSME1</t>
  </si>
  <si>
    <t>SULT2A1</t>
  </si>
  <si>
    <t>FMR1</t>
  </si>
  <si>
    <t>C1QBP</t>
  </si>
  <si>
    <t>CKAP4</t>
  </si>
  <si>
    <t>TJP1</t>
  </si>
  <si>
    <t>TCHH</t>
  </si>
  <si>
    <t>KHDRBS1</t>
  </si>
  <si>
    <t>BAX</t>
  </si>
  <si>
    <t>LRP1</t>
  </si>
  <si>
    <t>SRSF1</t>
  </si>
  <si>
    <t>ARHGAP1</t>
  </si>
  <si>
    <t>SRSF4</t>
  </si>
  <si>
    <t>PPP3CA</t>
  </si>
  <si>
    <t>DHX9</t>
  </si>
  <si>
    <t>CRYZ</t>
  </si>
  <si>
    <t>GOLGA3</t>
  </si>
  <si>
    <t>GOLGA2</t>
  </si>
  <si>
    <t>LGALS3BP</t>
  </si>
  <si>
    <t>EHHADH</t>
  </si>
  <si>
    <t>DSC1</t>
  </si>
  <si>
    <t>PPID</t>
  </si>
  <si>
    <t>FGL1</t>
  </si>
  <si>
    <t>MZT1</t>
  </si>
  <si>
    <t>ACSM2A</t>
  </si>
  <si>
    <t>VAC14</t>
  </si>
  <si>
    <t>NSUN2</t>
  </si>
  <si>
    <t>RBBP4</t>
  </si>
  <si>
    <t>NCBP1</t>
  </si>
  <si>
    <t>EP300</t>
  </si>
  <si>
    <t>AHNAK</t>
  </si>
  <si>
    <t>FCHO2</t>
  </si>
  <si>
    <t>ELP6</t>
  </si>
  <si>
    <t>HSPA14</t>
  </si>
  <si>
    <t>SCRN3</t>
  </si>
  <si>
    <t>CGNL1</t>
  </si>
  <si>
    <t>AP1B1</t>
  </si>
  <si>
    <t>PMPCA</t>
  </si>
  <si>
    <t>NUP160</t>
  </si>
  <si>
    <t>ARHGEF5</t>
  </si>
  <si>
    <t>TWF1</t>
  </si>
  <si>
    <t>HYAL1</t>
  </si>
  <si>
    <t>AKAP13</t>
  </si>
  <si>
    <t>STX4</t>
  </si>
  <si>
    <t>SF3A3</t>
  </si>
  <si>
    <t>DPYD</t>
  </si>
  <si>
    <t>AIMP1</t>
  </si>
  <si>
    <t>ILF2</t>
  </si>
  <si>
    <t>ILF3</t>
  </si>
  <si>
    <t>DLG1</t>
  </si>
  <si>
    <t>MYO1E</t>
  </si>
  <si>
    <t>PPP1R8</t>
  </si>
  <si>
    <t>PTP4A2</t>
  </si>
  <si>
    <t>NFX1</t>
  </si>
  <si>
    <t>CSTF3</t>
  </si>
  <si>
    <t>ECH1</t>
  </si>
  <si>
    <t>ARHGAP5</t>
  </si>
  <si>
    <t>STRN3</t>
  </si>
  <si>
    <t>FLII</t>
  </si>
  <si>
    <t>COASY</t>
  </si>
  <si>
    <t>ACACA</t>
  </si>
  <si>
    <t>USP4</t>
  </si>
  <si>
    <t>IK</t>
  </si>
  <si>
    <t>MTAP</t>
  </si>
  <si>
    <t>PRKAA1</t>
  </si>
  <si>
    <t>PPFIA1</t>
  </si>
  <si>
    <t>TARDBP</t>
  </si>
  <si>
    <t>HNRNPA0</t>
  </si>
  <si>
    <t>PAK1</t>
  </si>
  <si>
    <t>AIMP2</t>
  </si>
  <si>
    <t>FADD</t>
  </si>
  <si>
    <t>PRDX4</t>
  </si>
  <si>
    <t>PAK2</t>
  </si>
  <si>
    <t>CBX3</t>
  </si>
  <si>
    <t>STK3</t>
  </si>
  <si>
    <t>PSMD2</t>
  </si>
  <si>
    <t>DDX10</t>
  </si>
  <si>
    <t>DNAJC3</t>
  </si>
  <si>
    <t>SELENBP1</t>
  </si>
  <si>
    <t>NME3</t>
  </si>
  <si>
    <t>SRSF5</t>
  </si>
  <si>
    <t>SRSF6</t>
  </si>
  <si>
    <t>TRIM28</t>
  </si>
  <si>
    <t>G3BP1</t>
  </si>
  <si>
    <t>NMI</t>
  </si>
  <si>
    <t>PABPC4</t>
  </si>
  <si>
    <t>ATM</t>
  </si>
  <si>
    <t>IFIT5</t>
  </si>
  <si>
    <t>MTA1</t>
  </si>
  <si>
    <t>EIF3I</t>
  </si>
  <si>
    <t>CTBP1</t>
  </si>
  <si>
    <t>UBE2V1</t>
  </si>
  <si>
    <t>DYNC1I2</t>
  </si>
  <si>
    <t>ILK</t>
  </si>
  <si>
    <t>NNT</t>
  </si>
  <si>
    <t>XRCC4</t>
  </si>
  <si>
    <t>TCOF1</t>
  </si>
  <si>
    <t>SF3B2</t>
  </si>
  <si>
    <t>PDAP1</t>
  </si>
  <si>
    <t>FKBP5</t>
  </si>
  <si>
    <t>ROCK1</t>
  </si>
  <si>
    <t>PICALM</t>
  </si>
  <si>
    <t>MTM1</t>
  </si>
  <si>
    <t>SQSTM1</t>
  </si>
  <si>
    <t>TUBB3</t>
  </si>
  <si>
    <t>PPP1R1A</t>
  </si>
  <si>
    <t>PIN1</t>
  </si>
  <si>
    <t>EIF4EBP1</t>
  </si>
  <si>
    <t>RIPK1</t>
  </si>
  <si>
    <t>HDAC1</t>
  </si>
  <si>
    <t>CAMK2D</t>
  </si>
  <si>
    <t>DCTN2</t>
  </si>
  <si>
    <t>SNW1</t>
  </si>
  <si>
    <t>IQGAP2</t>
  </si>
  <si>
    <t>SNX1</t>
  </si>
  <si>
    <t>PEX6</t>
  </si>
  <si>
    <t>PWP1</t>
  </si>
  <si>
    <t>CUL1</t>
  </si>
  <si>
    <t>CUL2</t>
  </si>
  <si>
    <t>CUL3</t>
  </si>
  <si>
    <t>CUL4A</t>
  </si>
  <si>
    <t>CUL4B</t>
  </si>
  <si>
    <t>TSTA3</t>
  </si>
  <si>
    <t>FHL1</t>
  </si>
  <si>
    <t>SHROOM2</t>
  </si>
  <si>
    <t>SPTAN1</t>
  </si>
  <si>
    <t>AUH</t>
  </si>
  <si>
    <t>DDX39B</t>
  </si>
  <si>
    <t>BLMH</t>
  </si>
  <si>
    <t>SNTB1</t>
  </si>
  <si>
    <t>TUBB2A</t>
  </si>
  <si>
    <t>IDI1</t>
  </si>
  <si>
    <t>CBFB</t>
  </si>
  <si>
    <t>CKAP5</t>
  </si>
  <si>
    <t>CAMK1</t>
  </si>
  <si>
    <t>COTL1</t>
  </si>
  <si>
    <t>BAAT</t>
  </si>
  <si>
    <t>COX17</t>
  </si>
  <si>
    <t>HNRNPD</t>
  </si>
  <si>
    <t>IL18</t>
  </si>
  <si>
    <t>DPYS</t>
  </si>
  <si>
    <t>DAG1</t>
  </si>
  <si>
    <t>DSG2</t>
  </si>
  <si>
    <t>BOP1</t>
  </si>
  <si>
    <t>UBE4A</t>
  </si>
  <si>
    <t>SEPT6</t>
  </si>
  <si>
    <t>SAFB2</t>
  </si>
  <si>
    <t>EIF3A</t>
  </si>
  <si>
    <t>UBAP2L</t>
  </si>
  <si>
    <t>SCRIB</t>
  </si>
  <si>
    <t>GIT2</t>
  </si>
  <si>
    <t>TTLL12</t>
  </si>
  <si>
    <t>FHL2</t>
  </si>
  <si>
    <t>DCTN1</t>
  </si>
  <si>
    <t>DYNC1H1</t>
  </si>
  <si>
    <t>EIF2B1</t>
  </si>
  <si>
    <t>EIF4A2</t>
  </si>
  <si>
    <t>TCEB3</t>
  </si>
  <si>
    <t>MAP7</t>
  </si>
  <si>
    <t>CTTN</t>
  </si>
  <si>
    <t>TRIM25</t>
  </si>
  <si>
    <t>FKBP8</t>
  </si>
  <si>
    <t>FAM50A</t>
  </si>
  <si>
    <t>GAMT</t>
  </si>
  <si>
    <t>GALE</t>
  </si>
  <si>
    <t>GCKR</t>
  </si>
  <si>
    <t>GK2</t>
  </si>
  <si>
    <t>CAPRIN1</t>
  </si>
  <si>
    <t>RBM39</t>
  </si>
  <si>
    <t>HABP2</t>
  </si>
  <si>
    <t>PDIA5</t>
  </si>
  <si>
    <t>PRPSAP1</t>
  </si>
  <si>
    <t>MCM6</t>
  </si>
  <si>
    <t>ITIH4</t>
  </si>
  <si>
    <t>PLS1</t>
  </si>
  <si>
    <t>IRF3</t>
  </si>
  <si>
    <t>LAGE3</t>
  </si>
  <si>
    <t>TRIP12</t>
  </si>
  <si>
    <t>MDC1</t>
  </si>
  <si>
    <t>CLINT1</t>
  </si>
  <si>
    <t>KANK1</t>
  </si>
  <si>
    <t>SMC1A</t>
  </si>
  <si>
    <t>DIP2A</t>
  </si>
  <si>
    <t>USP10</t>
  </si>
  <si>
    <t>MESDC2</t>
  </si>
  <si>
    <t>GANAB</t>
  </si>
  <si>
    <t>GNMT</t>
  </si>
  <si>
    <t>GOLGB1</t>
  </si>
  <si>
    <t>CASP8</t>
  </si>
  <si>
    <t>NAA30</t>
  </si>
  <si>
    <t>LASP1</t>
  </si>
  <si>
    <t>CRYM</t>
  </si>
  <si>
    <t>PTGR1</t>
  </si>
  <si>
    <t>ZNF638</t>
  </si>
  <si>
    <t>KPNB1</t>
  </si>
  <si>
    <t>NOLC1</t>
  </si>
  <si>
    <t>NUMA1</t>
  </si>
  <si>
    <t>PSME4</t>
  </si>
  <si>
    <t>NAA25</t>
  </si>
  <si>
    <t>WTAP</t>
  </si>
  <si>
    <t>PSMD6</t>
  </si>
  <si>
    <t>FAM175B</t>
  </si>
  <si>
    <t>SART3</t>
  </si>
  <si>
    <t>EXOSC7</t>
  </si>
  <si>
    <t>EFTUD2</t>
  </si>
  <si>
    <t>SNX17</t>
  </si>
  <si>
    <t>KARS</t>
  </si>
  <si>
    <t>EIF4H</t>
  </si>
  <si>
    <t>ACAP2</t>
  </si>
  <si>
    <t>BRD3</t>
  </si>
  <si>
    <t>ACOX1</t>
  </si>
  <si>
    <t>EEA1</t>
  </si>
  <si>
    <t>PAFAH1B3</t>
  </si>
  <si>
    <t>PDK1</t>
  </si>
  <si>
    <t>PDK2</t>
  </si>
  <si>
    <t>PDK3</t>
  </si>
  <si>
    <t>PMVK</t>
  </si>
  <si>
    <t>PLEC</t>
  </si>
  <si>
    <t>TCEAL1</t>
  </si>
  <si>
    <t>PPP2R5A</t>
  </si>
  <si>
    <t>PPA1</t>
  </si>
  <si>
    <t>STK38</t>
  </si>
  <si>
    <t>NONO</t>
  </si>
  <si>
    <t>PPP2R4</t>
  </si>
  <si>
    <t>PTPRK</t>
  </si>
  <si>
    <t>QPRT</t>
  </si>
  <si>
    <t>RABEP1</t>
  </si>
  <si>
    <t>RBBP5</t>
  </si>
  <si>
    <t>RCN1</t>
  </si>
  <si>
    <t>RALBP1</t>
  </si>
  <si>
    <t>LRRC41</t>
  </si>
  <si>
    <t>PCBP1</t>
  </si>
  <si>
    <t>RHEB</t>
  </si>
  <si>
    <t>UBE3C</t>
  </si>
  <si>
    <t>SF3B3</t>
  </si>
  <si>
    <t>RSU1</t>
  </si>
  <si>
    <t>CNN3</t>
  </si>
  <si>
    <t>SAFB</t>
  </si>
  <si>
    <t>PPP1R7</t>
  </si>
  <si>
    <t>SEC23B</t>
  </si>
  <si>
    <t>SF3A1</t>
  </si>
  <si>
    <t>SKIV2L</t>
  </si>
  <si>
    <t>RGN</t>
  </si>
  <si>
    <t>SURF1</t>
  </si>
  <si>
    <t>TERF2</t>
  </si>
  <si>
    <t>MAPRE2</t>
  </si>
  <si>
    <t>NCOA2</t>
  </si>
  <si>
    <t>SLC9A3R2</t>
  </si>
  <si>
    <t>TARBP2</t>
  </si>
  <si>
    <t>SF1</t>
  </si>
  <si>
    <t>TRIP10</t>
  </si>
  <si>
    <t>TRIP11</t>
  </si>
  <si>
    <t>JMJD1C</t>
  </si>
  <si>
    <t>TRIP6</t>
  </si>
  <si>
    <t>MAPRE1</t>
  </si>
  <si>
    <t>TSC22D1</t>
  </si>
  <si>
    <t>ELAVL1</t>
  </si>
  <si>
    <t>MYLK</t>
  </si>
  <si>
    <t>TAB1</t>
  </si>
  <si>
    <t>TBCE</t>
  </si>
  <si>
    <t>TBCC</t>
  </si>
  <si>
    <t>UBE2V2</t>
  </si>
  <si>
    <t>STXBP2</t>
  </si>
  <si>
    <t>ADIRF</t>
  </si>
  <si>
    <t>RAB11B</t>
  </si>
  <si>
    <t>ZYX</t>
  </si>
  <si>
    <t>SEPT7</t>
  </si>
  <si>
    <t>ADRM1</t>
  </si>
  <si>
    <t>CCDC6</t>
  </si>
  <si>
    <t>UAP1</t>
  </si>
  <si>
    <t>IGFBP7</t>
  </si>
  <si>
    <t>PSMD5</t>
  </si>
  <si>
    <t>PKN2</t>
  </si>
  <si>
    <t>DDB1</t>
  </si>
  <si>
    <t>MAPK14</t>
  </si>
  <si>
    <t>CDC37</t>
  </si>
  <si>
    <t>DPYSL2</t>
  </si>
  <si>
    <t>RBBP7</t>
  </si>
  <si>
    <t>OCLN</t>
  </si>
  <si>
    <t>MEA1</t>
  </si>
  <si>
    <t>SRSF7</t>
  </si>
  <si>
    <t>FSCN1</t>
  </si>
  <si>
    <t>KYNU</t>
  </si>
  <si>
    <t>CLPP</t>
  </si>
  <si>
    <t>TST</t>
  </si>
  <si>
    <t>CCBL1</t>
  </si>
  <si>
    <t>HAGH</t>
  </si>
  <si>
    <t>LAMA3</t>
  </si>
  <si>
    <t>PCK2</t>
  </si>
  <si>
    <t>UPP1</t>
  </si>
  <si>
    <t>HADH</t>
  </si>
  <si>
    <t>UGP2</t>
  </si>
  <si>
    <t>DGUOK</t>
  </si>
  <si>
    <t>CDO1</t>
  </si>
  <si>
    <t>TATDN3</t>
  </si>
  <si>
    <t>EXOC3L4</t>
  </si>
  <si>
    <t>FAM98C</t>
  </si>
  <si>
    <t>INF2</t>
  </si>
  <si>
    <t>PDS5A</t>
  </si>
  <si>
    <t>KIAA1033</t>
  </si>
  <si>
    <t>RALGAPA2</t>
  </si>
  <si>
    <t>TYSND1</t>
  </si>
  <si>
    <t>SMU1</t>
  </si>
  <si>
    <t>ATG2A</t>
  </si>
  <si>
    <t>LRRFIP1</t>
  </si>
  <si>
    <t>EML3</t>
  </si>
  <si>
    <t>GFOD2</t>
  </si>
  <si>
    <t>DAK</t>
  </si>
  <si>
    <t>LSM12</t>
  </si>
  <si>
    <t>PUS10</t>
  </si>
  <si>
    <t>LGALSL</t>
  </si>
  <si>
    <t>GLYR1</t>
  </si>
  <si>
    <t>CDNF</t>
  </si>
  <si>
    <t>C5orf22</t>
  </si>
  <si>
    <t>COX19</t>
  </si>
  <si>
    <t>VPS26B</t>
  </si>
  <si>
    <t>LARP7</t>
  </si>
  <si>
    <t>NADKD1</t>
  </si>
  <si>
    <t>KCTD21</t>
  </si>
  <si>
    <t>ACSF3</t>
  </si>
  <si>
    <t>TBC1D10B</t>
  </si>
  <si>
    <t>PLCH1</t>
  </si>
  <si>
    <t>GRIPAP1</t>
  </si>
  <si>
    <t>PAN2</t>
  </si>
  <si>
    <t>FAM98B</t>
  </si>
  <si>
    <t>ARHGAP29</t>
  </si>
  <si>
    <t>TP53I3</t>
  </si>
  <si>
    <t>ACSM3</t>
  </si>
  <si>
    <t>USP39</t>
  </si>
  <si>
    <t>LACTB2</t>
  </si>
  <si>
    <t>TSSC1</t>
  </si>
  <si>
    <t>SOWAHC</t>
  </si>
  <si>
    <t>BOLA3</t>
  </si>
  <si>
    <t>HSP90AB2P</t>
  </si>
  <si>
    <t>HSP90AA4P</t>
  </si>
  <si>
    <t>DCAF6</t>
  </si>
  <si>
    <t>OXLD1</t>
  </si>
  <si>
    <t>PDZD11</t>
  </si>
  <si>
    <t>CMPK2</t>
  </si>
  <si>
    <t>HERC4</t>
  </si>
  <si>
    <t>SH3D19</t>
  </si>
  <si>
    <t>MTUS2</t>
  </si>
  <si>
    <t>PITRM1</t>
  </si>
  <si>
    <t>NHLRC3</t>
  </si>
  <si>
    <t>WDR44</t>
  </si>
  <si>
    <t>TJAP1</t>
  </si>
  <si>
    <t>COA6</t>
  </si>
  <si>
    <t>TOR1AIP1</t>
  </si>
  <si>
    <t>AARS2</t>
  </si>
  <si>
    <t>PCID2</t>
  </si>
  <si>
    <t>HABP4</t>
  </si>
  <si>
    <t>SMEK2</t>
  </si>
  <si>
    <t>WDR45B</t>
  </si>
  <si>
    <t>TBCEL</t>
  </si>
  <si>
    <t>TTC38</t>
  </si>
  <si>
    <t>C1orf173</t>
  </si>
  <si>
    <t>EXOSC6</t>
  </si>
  <si>
    <t>NUP188</t>
  </si>
  <si>
    <t>PHYHD1</t>
  </si>
  <si>
    <t>HP1BP3</t>
  </si>
  <si>
    <t>VARS2</t>
  </si>
  <si>
    <t>CEP170</t>
  </si>
  <si>
    <t>DNLZ</t>
  </si>
  <si>
    <t>NHSL1</t>
  </si>
  <si>
    <t>FNBP1L</t>
  </si>
  <si>
    <t>RARS2</t>
  </si>
  <si>
    <t>FKBP15</t>
  </si>
  <si>
    <t>C10orf76</t>
  </si>
  <si>
    <t>PDZK1</t>
  </si>
  <si>
    <t>IBA57</t>
  </si>
  <si>
    <t>ZFYVE27</t>
  </si>
  <si>
    <t>UBR4</t>
  </si>
  <si>
    <t>KIAA1217</t>
  </si>
  <si>
    <t>ARHGAP21</t>
  </si>
  <si>
    <t>UBAP2</t>
  </si>
  <si>
    <t>IDNK</t>
  </si>
  <si>
    <t>C9orf64</t>
  </si>
  <si>
    <t>GORAB</t>
  </si>
  <si>
    <t>ACBD5</t>
  </si>
  <si>
    <t>RBM26</t>
  </si>
  <si>
    <t>GLTPD1</t>
  </si>
  <si>
    <t>ATPAF1</t>
  </si>
  <si>
    <t>MAGI3</t>
  </si>
  <si>
    <t>DDI2</t>
  </si>
  <si>
    <t>NDUFAF5</t>
  </si>
  <si>
    <t>NT5DC1</t>
  </si>
  <si>
    <t>SIRPB1</t>
  </si>
  <si>
    <t>LYRM7</t>
  </si>
  <si>
    <t>RIF1</t>
  </si>
  <si>
    <t>VPS53</t>
  </si>
  <si>
    <t>STRIP1</t>
  </si>
  <si>
    <t>CEP350</t>
  </si>
  <si>
    <t>RPRD2</t>
  </si>
  <si>
    <t>RNF220</t>
  </si>
  <si>
    <t>EEF1A1P5</t>
  </si>
  <si>
    <t>RNF20</t>
  </si>
  <si>
    <t>ZNF318</t>
  </si>
  <si>
    <t>C1orf53</t>
  </si>
  <si>
    <t>YOD1</t>
  </si>
  <si>
    <t>BROX</t>
  </si>
  <si>
    <t>FOCAD</t>
  </si>
  <si>
    <t>MLIP</t>
  </si>
  <si>
    <t>DAB2IP</t>
  </si>
  <si>
    <t>LYPLAL1</t>
  </si>
  <si>
    <t>ECM29</t>
  </si>
  <si>
    <t>ZCCHC6</t>
  </si>
  <si>
    <t>RNLS</t>
  </si>
  <si>
    <t>ZMYM4</t>
  </si>
  <si>
    <t>FAM160B1</t>
  </si>
  <si>
    <t>SPRYD7</t>
  </si>
  <si>
    <t>AFMID</t>
  </si>
  <si>
    <t>RNF213</t>
  </si>
  <si>
    <t>TENC1</t>
  </si>
  <si>
    <t>KANK2</t>
  </si>
  <si>
    <t>NSUN5P2</t>
  </si>
  <si>
    <t>TBC1D9B</t>
  </si>
  <si>
    <t>ARL6IP4</t>
  </si>
  <si>
    <t>ATG16L1</t>
  </si>
  <si>
    <t>ACSM2B</t>
  </si>
  <si>
    <t>DIEXF</t>
  </si>
  <si>
    <t>TNS3</t>
  </si>
  <si>
    <t>ARHGAP17</t>
  </si>
  <si>
    <t>CWF19L1</t>
  </si>
  <si>
    <t>SPECC1L</t>
  </si>
  <si>
    <t>PDPK2</t>
  </si>
  <si>
    <t>ATL3</t>
  </si>
  <si>
    <t>IQSEC1</t>
  </si>
  <si>
    <t>POLR2M</t>
  </si>
  <si>
    <t>VASN</t>
  </si>
  <si>
    <t>CIAPIN1</t>
  </si>
  <si>
    <t>ZFAND6</t>
  </si>
  <si>
    <t>FAAH2</t>
  </si>
  <si>
    <t>SMYD5</t>
  </si>
  <si>
    <t>PTRHD1</t>
  </si>
  <si>
    <t>OTUD7B</t>
  </si>
  <si>
    <t>NADSYN1</t>
  </si>
  <si>
    <t>ELP2</t>
  </si>
  <si>
    <t>GLYAT</t>
  </si>
  <si>
    <t>TWF2</t>
  </si>
  <si>
    <t>GRAMD4</t>
  </si>
  <si>
    <t>SMEK1</t>
  </si>
  <si>
    <t>LYRM5</t>
  </si>
  <si>
    <t>RAB12</t>
  </si>
  <si>
    <t>PLEKHA7</t>
  </si>
  <si>
    <t>ACAD10</t>
  </si>
  <si>
    <t>NIPBL</t>
  </si>
  <si>
    <t>ZNF280D</t>
  </si>
  <si>
    <t>OGFOD2</t>
  </si>
  <si>
    <t>ACSM5</t>
  </si>
  <si>
    <t>TMEM214</t>
  </si>
  <si>
    <t>HIBCH</t>
  </si>
  <si>
    <t>PPP1R18</t>
  </si>
  <si>
    <t>ZCCHC8</t>
  </si>
  <si>
    <t>CDC73</t>
  </si>
  <si>
    <t>CC2D1A</t>
  </si>
  <si>
    <t>TATDN1</t>
  </si>
  <si>
    <t>C8orf82</t>
  </si>
  <si>
    <t>EDC4</t>
  </si>
  <si>
    <t>PRMT10</t>
  </si>
  <si>
    <t>PRPF8</t>
  </si>
  <si>
    <t>TTC27</t>
  </si>
  <si>
    <t>PLBD1</t>
  </si>
  <si>
    <t>FDX1L</t>
  </si>
  <si>
    <t>FAHD1</t>
  </si>
  <si>
    <t>C8orf47</t>
  </si>
  <si>
    <t>AAGAB</t>
  </si>
  <si>
    <t>TTC37</t>
  </si>
  <si>
    <t>DARS2</t>
  </si>
  <si>
    <t>ZC3H14</t>
  </si>
  <si>
    <t>LARP1</t>
  </si>
  <si>
    <t>PAOX</t>
  </si>
  <si>
    <t>BLOC1S3</t>
  </si>
  <si>
    <t>METAP1D</t>
  </si>
  <si>
    <t>AFTPH</t>
  </si>
  <si>
    <t>FIP1L1</t>
  </si>
  <si>
    <t>LRSAM1</t>
  </si>
  <si>
    <t>DHRS11</t>
  </si>
  <si>
    <t>METTL7B</t>
  </si>
  <si>
    <t>CRELD2</t>
  </si>
  <si>
    <t>WDR82</t>
  </si>
  <si>
    <t>APOOL</t>
  </si>
  <si>
    <t>PACS1</t>
  </si>
  <si>
    <t>NAPRT1</t>
  </si>
  <si>
    <t>DNMBP</t>
  </si>
  <si>
    <t>GIGYF2</t>
  </si>
  <si>
    <t>HSDL2</t>
  </si>
  <si>
    <t>CCBL2</t>
  </si>
  <si>
    <t>PPP1R21</t>
  </si>
  <si>
    <t>GDPGP1</t>
  </si>
  <si>
    <t>C1orf122</t>
  </si>
  <si>
    <t>UBR3</t>
  </si>
  <si>
    <t>PIK3AP1</t>
  </si>
  <si>
    <t>VPS13C</t>
  </si>
  <si>
    <t>ACAD11</t>
  </si>
  <si>
    <t>RAPH1</t>
  </si>
  <si>
    <t>UBE2R2</t>
  </si>
  <si>
    <t>LARP4</t>
  </si>
  <si>
    <t>TUBA1A</t>
  </si>
  <si>
    <t>MTSS1L</t>
  </si>
  <si>
    <t>SUPT6H</t>
  </si>
  <si>
    <t>SND1</t>
  </si>
  <si>
    <t>MARK2</t>
  </si>
  <si>
    <t>DDX46</t>
  </si>
  <si>
    <t>RUFY3</t>
  </si>
  <si>
    <t>TRMT10C</t>
  </si>
  <si>
    <t>BZW1</t>
  </si>
  <si>
    <t>LRRC8D</t>
  </si>
  <si>
    <t>MEPCE</t>
  </si>
  <si>
    <t>CYFIP1</t>
  </si>
  <si>
    <t>GET4</t>
  </si>
  <si>
    <t>ENOSF1</t>
  </si>
  <si>
    <t>EPM2AIP1</t>
  </si>
  <si>
    <t>TAOK1</t>
  </si>
  <si>
    <t>FASTKD5</t>
  </si>
  <si>
    <t>KDM3B</t>
  </si>
  <si>
    <t>CHMP1B</t>
  </si>
  <si>
    <t>RRM2B</t>
  </si>
  <si>
    <t>MICAL3</t>
  </si>
  <si>
    <t>PHF5A</t>
  </si>
  <si>
    <t>ZC3HAV1</t>
  </si>
  <si>
    <t>EFTUD1</t>
  </si>
  <si>
    <t>C16orf62</t>
  </si>
  <si>
    <t>ZFYVE16</t>
  </si>
  <si>
    <t>MYH14</t>
  </si>
  <si>
    <t>NUFIP2</t>
  </si>
  <si>
    <t>SZRD1</t>
  </si>
  <si>
    <t>MAVS</t>
  </si>
  <si>
    <t>CLASP1</t>
  </si>
  <si>
    <t>DHX29</t>
  </si>
  <si>
    <t>COMMD6</t>
  </si>
  <si>
    <t>TRMT11</t>
  </si>
  <si>
    <t>HDDC2</t>
  </si>
  <si>
    <t>KDELC2</t>
  </si>
  <si>
    <t>LIMS2</t>
  </si>
  <si>
    <t>KIF21A</t>
  </si>
  <si>
    <t>HDGFRP2</t>
  </si>
  <si>
    <t>DCXR</t>
  </si>
  <si>
    <t>WAPAL</t>
  </si>
  <si>
    <t>IRF2BP2</t>
  </si>
  <si>
    <t>HSD17B13</t>
  </si>
  <si>
    <t>APBB1IP</t>
  </si>
  <si>
    <t>CCDC91</t>
  </si>
  <si>
    <t>RBBP6</t>
  </si>
  <si>
    <t>PTAR1</t>
  </si>
  <si>
    <t>RABEPK</t>
  </si>
  <si>
    <t>HUWE1</t>
  </si>
  <si>
    <t>UBE2Q1</t>
  </si>
  <si>
    <t>CMC1</t>
  </si>
  <si>
    <t>PHLDB2</t>
  </si>
  <si>
    <t>GLRX5</t>
  </si>
  <si>
    <t>TRAPPC6B</t>
  </si>
  <si>
    <t>PATL1</t>
  </si>
  <si>
    <t>DPP9</t>
  </si>
  <si>
    <t>PRUNE</t>
  </si>
  <si>
    <t>SETD3</t>
  </si>
  <si>
    <t>ACOT1</t>
  </si>
  <si>
    <t>SERPINA11</t>
  </si>
  <si>
    <t>ISCA2</t>
  </si>
  <si>
    <t>PABPN1</t>
  </si>
  <si>
    <t>METTL3</t>
  </si>
  <si>
    <t>YRDC</t>
  </si>
  <si>
    <t>PRPF39</t>
  </si>
  <si>
    <t>ZNF598</t>
  </si>
  <si>
    <t>KTN1</t>
  </si>
  <si>
    <t>NOXA1</t>
  </si>
  <si>
    <t>BCL9L</t>
  </si>
  <si>
    <t>FERMT3</t>
  </si>
  <si>
    <t>NT5DC3</t>
  </si>
  <si>
    <t>ALYREF</t>
  </si>
  <si>
    <t>ZC3H18</t>
  </si>
  <si>
    <t>VPS36</t>
  </si>
  <si>
    <t>CAND1</t>
  </si>
  <si>
    <t>TXNRD3</t>
  </si>
  <si>
    <t>FAM134C</t>
  </si>
  <si>
    <t>HOOK3</t>
  </si>
  <si>
    <t>COMMD7</t>
  </si>
  <si>
    <t>PPFIBP1</t>
  </si>
  <si>
    <t>BPHL</t>
  </si>
  <si>
    <t>CCDC25</t>
  </si>
  <si>
    <t>PROSER2</t>
  </si>
  <si>
    <t>LDHD</t>
  </si>
  <si>
    <t>RALGAPB</t>
  </si>
  <si>
    <t>CARM1</t>
  </si>
  <si>
    <t>NIT1</t>
  </si>
  <si>
    <t>COMMD2</t>
  </si>
  <si>
    <t>HOGA1</t>
  </si>
  <si>
    <t>DDX42</t>
  </si>
  <si>
    <t>VRK2</t>
  </si>
  <si>
    <t>HEATR2</t>
  </si>
  <si>
    <t>STX12</t>
  </si>
  <si>
    <t>ECHDC2</t>
  </si>
  <si>
    <t>PDSS2</t>
  </si>
  <si>
    <t>THNSL2</t>
  </si>
  <si>
    <t>TDRP</t>
  </si>
  <si>
    <t>GATAD2A</t>
  </si>
  <si>
    <t>C2CD5</t>
  </si>
  <si>
    <t>RHPN2</t>
  </si>
  <si>
    <t>ERC1</t>
  </si>
  <si>
    <t>AGXT2L2</t>
  </si>
  <si>
    <t>PLD3</t>
  </si>
  <si>
    <t>ANKMY2</t>
  </si>
  <si>
    <t>LYSMD2</t>
  </si>
  <si>
    <t>NUDCD3</t>
  </si>
  <si>
    <t>AHNAK2</t>
  </si>
  <si>
    <t>MMAA</t>
  </si>
  <si>
    <t>CCDC50</t>
  </si>
  <si>
    <t>MCAT</t>
  </si>
  <si>
    <t>GLYCTK</t>
  </si>
  <si>
    <t>CARKD</t>
  </si>
  <si>
    <t>TEX2</t>
  </si>
  <si>
    <t>FAM114A1</t>
  </si>
  <si>
    <t>GCC2</t>
  </si>
  <si>
    <t>HSCB</t>
  </si>
  <si>
    <t>LMTK2</t>
  </si>
  <si>
    <t>UBR1</t>
  </si>
  <si>
    <t>ARHGAP12</t>
  </si>
  <si>
    <t>ADHFE1</t>
  </si>
  <si>
    <t>CHERP</t>
  </si>
  <si>
    <t>ANKHD1</t>
  </si>
  <si>
    <t>SUGP1</t>
  </si>
  <si>
    <t>UEVLD</t>
  </si>
  <si>
    <t>CCAR1</t>
  </si>
  <si>
    <t>NELFCD</t>
  </si>
  <si>
    <t>SIRT2</t>
  </si>
  <si>
    <t>KIAA1704</t>
  </si>
  <si>
    <t>PARP9</t>
  </si>
  <si>
    <t>SLC35F3</t>
  </si>
  <si>
    <t>CCDC36</t>
  </si>
  <si>
    <t>SMAP1</t>
  </si>
  <si>
    <t>DIS3L2</t>
  </si>
  <si>
    <t>SUPV3L1</t>
  </si>
  <si>
    <t>GSPT2</t>
  </si>
  <si>
    <t>EXOC8</t>
  </si>
  <si>
    <t>C1orf174</t>
  </si>
  <si>
    <t>THNSL1</t>
  </si>
  <si>
    <t>PM20D2</t>
  </si>
  <si>
    <t>KATNAL2</t>
  </si>
  <si>
    <t>ANKRD13A</t>
  </si>
  <si>
    <t>PHACTR4</t>
  </si>
  <si>
    <t>TRMT2A</t>
  </si>
  <si>
    <t>ALDH16A1</t>
  </si>
  <si>
    <t>ABI1</t>
  </si>
  <si>
    <t>FAM185A</t>
  </si>
  <si>
    <t>FUK</t>
  </si>
  <si>
    <t>CLYBL</t>
  </si>
  <si>
    <t>SPG20</t>
  </si>
  <si>
    <t>CNPY4</t>
  </si>
  <si>
    <t>ADSSL1</t>
  </si>
  <si>
    <t>KIAA1967</t>
  </si>
  <si>
    <t>VPS52</t>
  </si>
  <si>
    <t>NUP93</t>
  </si>
  <si>
    <t>FTSJD2</t>
  </si>
  <si>
    <t>LRRC47</t>
  </si>
  <si>
    <t>DOCK4</t>
  </si>
  <si>
    <t>CA13</t>
  </si>
  <si>
    <t>INTS1</t>
  </si>
  <si>
    <t>ANKRD35</t>
  </si>
  <si>
    <t>PYROXD2</t>
  </si>
  <si>
    <t>EHBP1L1</t>
  </si>
  <si>
    <t>MICALL1</t>
  </si>
  <si>
    <t>VPS8</t>
  </si>
  <si>
    <t>SYNPO</t>
  </si>
  <si>
    <t>FNBP4</t>
  </si>
  <si>
    <t>D2HGDH</t>
  </si>
  <si>
    <t>RYBP</t>
  </si>
  <si>
    <t>PNKD</t>
  </si>
  <si>
    <t>MINK1</t>
  </si>
  <si>
    <t>C9orf41</t>
  </si>
  <si>
    <t>HDDC3</t>
  </si>
  <si>
    <t>ZADH2</t>
  </si>
  <si>
    <t>CHCHD4</t>
  </si>
  <si>
    <t>CBR4</t>
  </si>
  <si>
    <t>OXR1</t>
  </si>
  <si>
    <t>SRBD1</t>
  </si>
  <si>
    <t>TMEM57</t>
  </si>
  <si>
    <t>C12orf45</t>
  </si>
  <si>
    <t>RPP25L</t>
  </si>
  <si>
    <t>ATPAF2</t>
  </si>
  <si>
    <t>MRPL50</t>
  </si>
  <si>
    <t>NGEF</t>
  </si>
  <si>
    <t>AADAT</t>
  </si>
  <si>
    <t>CPSF7</t>
  </si>
  <si>
    <t>ARFGAP2</t>
  </si>
  <si>
    <t>C1orf52</t>
  </si>
  <si>
    <t>PTGR2</t>
  </si>
  <si>
    <t>ENAH</t>
  </si>
  <si>
    <t>GBP7</t>
  </si>
  <si>
    <t>C12orf29</t>
  </si>
  <si>
    <t>ACOT4</t>
  </si>
  <si>
    <t>WDSUB1</t>
  </si>
  <si>
    <t>NHLRC2</t>
  </si>
  <si>
    <t>SUMF2</t>
  </si>
  <si>
    <t>SCCPDH</t>
  </si>
  <si>
    <t>ACBD4</t>
  </si>
  <si>
    <t>SERBP1</t>
  </si>
  <si>
    <t>NECAP1</t>
  </si>
  <si>
    <t>FAM98A</t>
  </si>
  <si>
    <t>PLA2G15</t>
  </si>
  <si>
    <t>PDPR</t>
  </si>
  <si>
    <t>APOA1BP</t>
  </si>
  <si>
    <t>RNF214</t>
  </si>
  <si>
    <t>PPFIBP2</t>
  </si>
  <si>
    <t>CCNY</t>
  </si>
  <si>
    <t>NPEPL1</t>
  </si>
  <si>
    <t>EHBP1</t>
  </si>
  <si>
    <t>CHDH</t>
  </si>
  <si>
    <t>ABCF1</t>
  </si>
  <si>
    <t>PIK3C3</t>
  </si>
  <si>
    <t>SRFBP1</t>
  </si>
  <si>
    <t>APPL2</t>
  </si>
  <si>
    <t>FBXO22</t>
  </si>
  <si>
    <t>BOD1L1</t>
  </si>
  <si>
    <t>NUP43</t>
  </si>
  <si>
    <t>NUP37</t>
  </si>
  <si>
    <t>REPS2</t>
  </si>
  <si>
    <t>ENGASE</t>
  </si>
  <si>
    <t>TOR1AIP2</t>
  </si>
  <si>
    <t>TSTD1</t>
  </si>
  <si>
    <t>ABHD11</t>
  </si>
  <si>
    <t>CMAS</t>
  </si>
  <si>
    <t>ZNRF2</t>
  </si>
  <si>
    <t>ATL2</t>
  </si>
  <si>
    <t>TRY6</t>
  </si>
  <si>
    <t>NCOA7</t>
  </si>
  <si>
    <t>THOC2</t>
  </si>
  <si>
    <t>ADCK3</t>
  </si>
  <si>
    <t>GADD45GIP1</t>
  </si>
  <si>
    <t>SMARCC2</t>
  </si>
  <si>
    <t>NPLOC4</t>
  </si>
  <si>
    <t>CXorf38</t>
  </si>
  <si>
    <t>SPATA20</t>
  </si>
  <si>
    <t>DEPTOR</t>
  </si>
  <si>
    <t>GOLGA5</t>
  </si>
  <si>
    <t>UBA3</t>
  </si>
  <si>
    <t>AGXT2L1</t>
  </si>
  <si>
    <t>PIP4K2C</t>
  </si>
  <si>
    <t>TBC1D15</t>
  </si>
  <si>
    <t>LRRC20</t>
  </si>
  <si>
    <t>NT5C</t>
  </si>
  <si>
    <t>FAM45A</t>
  </si>
  <si>
    <t>PNPT1</t>
  </si>
  <si>
    <t>NEK9</t>
  </si>
  <si>
    <t>GPT2</t>
  </si>
  <si>
    <t>DTX3L</t>
  </si>
  <si>
    <t>BLOC1S5</t>
  </si>
  <si>
    <t>TMC1</t>
  </si>
  <si>
    <t>ACMSD</t>
  </si>
  <si>
    <t>PANK1</t>
  </si>
  <si>
    <t>SSH3</t>
  </si>
  <si>
    <t>NSUN6</t>
  </si>
  <si>
    <t>DTD1</t>
  </si>
  <si>
    <t>DCAF11</t>
  </si>
  <si>
    <t>DENND1A</t>
  </si>
  <si>
    <t>GEMIN5</t>
  </si>
  <si>
    <t>ARHGEF40</t>
  </si>
  <si>
    <t>PARD3</t>
  </si>
  <si>
    <t>IPO4</t>
  </si>
  <si>
    <t>PPP4R1</t>
  </si>
  <si>
    <t>GIPC2</t>
  </si>
  <si>
    <t>SHROOM3</t>
  </si>
  <si>
    <t>WIPF2</t>
  </si>
  <si>
    <t>SETD7</t>
  </si>
  <si>
    <t>SMAP2</t>
  </si>
  <si>
    <t>ZC3H15</t>
  </si>
  <si>
    <t>PPIL4</t>
  </si>
  <si>
    <t>TBC1D22A</t>
  </si>
  <si>
    <t>C12orf23</t>
  </si>
  <si>
    <t>PDCD6IP</t>
  </si>
  <si>
    <t>UBTD2</t>
  </si>
  <si>
    <t>C15orf40</t>
  </si>
  <si>
    <t>BRK1</t>
  </si>
  <si>
    <t>CHMP7</t>
  </si>
  <si>
    <t>BLNK</t>
  </si>
  <si>
    <t>SNX33</t>
  </si>
  <si>
    <t>NUDT8</t>
  </si>
  <si>
    <t>ZFAND2B</t>
  </si>
  <si>
    <t>HEXDC</t>
  </si>
  <si>
    <t>LEO1</t>
  </si>
  <si>
    <t>NUDCD2</t>
  </si>
  <si>
    <t>SCFD1</t>
  </si>
  <si>
    <t>TRAPPC12</t>
  </si>
  <si>
    <t>UBLCP1</t>
  </si>
  <si>
    <t>PCNP</t>
  </si>
  <si>
    <t>SPRYD4</t>
  </si>
  <si>
    <t>TRUB1</t>
  </si>
  <si>
    <t>LMO7</t>
  </si>
  <si>
    <t>ATXN2L</t>
  </si>
  <si>
    <t>RTN4IP1</t>
  </si>
  <si>
    <t>PRPF31</t>
  </si>
  <si>
    <t>NELFB</t>
  </si>
  <si>
    <t>SREK1</t>
  </si>
  <si>
    <t>GEMIN6</t>
  </si>
  <si>
    <t>CASKIN2</t>
  </si>
  <si>
    <t>PSPC1</t>
  </si>
  <si>
    <t>MADD</t>
  </si>
  <si>
    <t>SYNE2</t>
  </si>
  <si>
    <t>GATAD2B</t>
  </si>
  <si>
    <t>THAP4</t>
  </si>
  <si>
    <t>ACOT12</t>
  </si>
  <si>
    <t>AHCTF1</t>
  </si>
  <si>
    <t>TTN</t>
  </si>
  <si>
    <t>OVCA2</t>
  </si>
  <si>
    <t>LZIC</t>
  </si>
  <si>
    <t>IRGQ</t>
  </si>
  <si>
    <t>DDX1</t>
  </si>
  <si>
    <t>HSD17B8</t>
  </si>
  <si>
    <t>CCT6B</t>
  </si>
  <si>
    <t>GBF1</t>
  </si>
  <si>
    <t>RTF1</t>
  </si>
  <si>
    <t>TMEM131</t>
  </si>
  <si>
    <t>MRPS27</t>
  </si>
  <si>
    <t>ELMO1</t>
  </si>
  <si>
    <t>AP3S1</t>
  </si>
  <si>
    <t>UBXN4</t>
  </si>
  <si>
    <t>PHF3</t>
  </si>
  <si>
    <t>NDRG1</t>
  </si>
  <si>
    <t>HSPH1</t>
  </si>
  <si>
    <t>SEPT8</t>
  </si>
  <si>
    <t>TBC1D5</t>
  </si>
  <si>
    <t>MYO18A</t>
  </si>
  <si>
    <t>LARP4B</t>
  </si>
  <si>
    <t>GCN1L1</t>
  </si>
  <si>
    <t>NUP205</t>
  </si>
  <si>
    <t>MRPS31</t>
  </si>
  <si>
    <t>AKAP1</t>
  </si>
  <si>
    <t>ANP32B</t>
  </si>
  <si>
    <t>RABGGTA</t>
  </si>
  <si>
    <t>TFG</t>
  </si>
  <si>
    <t>USP6NL</t>
  </si>
  <si>
    <t>ARPC1A</t>
  </si>
  <si>
    <t>THRSP</t>
  </si>
  <si>
    <t>RREB1</t>
  </si>
  <si>
    <t>STAM</t>
  </si>
  <si>
    <t>DPF3</t>
  </si>
  <si>
    <t>TAF15</t>
  </si>
  <si>
    <t>GOLGA1</t>
  </si>
  <si>
    <t>GGH</t>
  </si>
  <si>
    <t>DDX17</t>
  </si>
  <si>
    <t>RAD50</t>
  </si>
  <si>
    <t>CELF1</t>
  </si>
  <si>
    <t>OSTF1</t>
  </si>
  <si>
    <t>ARHGEF1</t>
  </si>
  <si>
    <t>UFD1L</t>
  </si>
  <si>
    <t>UPF1</t>
  </si>
  <si>
    <t>COPS5</t>
  </si>
  <si>
    <t>GPKOW</t>
  </si>
  <si>
    <t>SMARCC1</t>
  </si>
  <si>
    <t>BAD</t>
  </si>
  <si>
    <t>KHSRP</t>
  </si>
  <si>
    <t>GCDH</t>
  </si>
  <si>
    <t>TNPO1</t>
  </si>
  <si>
    <t>EMG1</t>
  </si>
  <si>
    <t>USP9X</t>
  </si>
  <si>
    <t>CUL5</t>
  </si>
  <si>
    <t>LPP</t>
  </si>
  <si>
    <t>RBPMS</t>
  </si>
  <si>
    <t>HIST1H2AC</t>
  </si>
  <si>
    <t>BHMT</t>
  </si>
  <si>
    <t>PTP4A1</t>
  </si>
  <si>
    <t>HGD</t>
  </si>
  <si>
    <t>PHKB</t>
  </si>
  <si>
    <t>RFK</t>
  </si>
  <si>
    <t>C19orf10</t>
  </si>
  <si>
    <t>GLYATL1</t>
  </si>
  <si>
    <t>RPL36AL</t>
  </si>
  <si>
    <t>NT5C3B</t>
  </si>
  <si>
    <t>TBRG4</t>
  </si>
  <si>
    <t>SYAP1</t>
  </si>
  <si>
    <t>EXOC4</t>
  </si>
  <si>
    <t>ISOC2</t>
  </si>
  <si>
    <t>FERMT2</t>
  </si>
  <si>
    <t>FUBP1</t>
  </si>
  <si>
    <t>LRRC59</t>
  </si>
  <si>
    <t>KIAA1143</t>
  </si>
  <si>
    <t>EXOSC8</t>
  </si>
  <si>
    <t>AKT1S1</t>
  </si>
  <si>
    <t>C10orf32</t>
  </si>
  <si>
    <t>ZNF428</t>
  </si>
  <si>
    <t>SH3KBP1</t>
  </si>
  <si>
    <t>RNF25</t>
  </si>
  <si>
    <t>ARL8A</t>
  </si>
  <si>
    <t>FAM105B</t>
  </si>
  <si>
    <t>PPWD1</t>
  </si>
  <si>
    <t>SELRC1</t>
  </si>
  <si>
    <t>PTER</t>
  </si>
  <si>
    <t>ATG2B</t>
  </si>
  <si>
    <t>FAM136A</t>
  </si>
  <si>
    <t>FGGY</t>
  </si>
  <si>
    <t>EFHD2</t>
  </si>
  <si>
    <t>GALM</t>
  </si>
  <si>
    <t>SYTL4</t>
  </si>
  <si>
    <t>DCPS</t>
  </si>
  <si>
    <t>INTS12</t>
  </si>
  <si>
    <t>FBXL8</t>
  </si>
  <si>
    <t>ISOC1</t>
  </si>
  <si>
    <t>GCC1</t>
  </si>
  <si>
    <t>FLYWCH2</t>
  </si>
  <si>
    <t>CCDC124</t>
  </si>
  <si>
    <t>OPTN</t>
  </si>
  <si>
    <t>AP2M1</t>
  </si>
  <si>
    <t>KCTD12</t>
  </si>
  <si>
    <t>NMD3</t>
  </si>
  <si>
    <t>REPS1</t>
  </si>
  <si>
    <t>ECHDC3</t>
  </si>
  <si>
    <t>NUDT16</t>
  </si>
  <si>
    <t>CMBL</t>
  </si>
  <si>
    <t>ARHGEF26</t>
  </si>
  <si>
    <t>ASB9</t>
  </si>
  <si>
    <t>MRRF</t>
  </si>
  <si>
    <t>RBMXL1</t>
  </si>
  <si>
    <t>ELP4</t>
  </si>
  <si>
    <t>SIRT1</t>
  </si>
  <si>
    <t>HOOK2</t>
  </si>
  <si>
    <t>TCEAL4</t>
  </si>
  <si>
    <t>KIAA1279</t>
  </si>
  <si>
    <t>GNPNAT1</t>
  </si>
  <si>
    <t>MRPL53</t>
  </si>
  <si>
    <t>L3HYPDH</t>
  </si>
  <si>
    <t>MOCOS</t>
  </si>
  <si>
    <t>RNF31</t>
  </si>
  <si>
    <t>DAZAP1</t>
  </si>
  <si>
    <t>RBM33</t>
  </si>
  <si>
    <t>DTNBP1</t>
  </si>
  <si>
    <t>PTCD3</t>
  </si>
  <si>
    <t>MMAB</t>
  </si>
  <si>
    <t>SAT2</t>
  </si>
  <si>
    <t>NRBF2</t>
  </si>
  <si>
    <t>DYNLL2</t>
  </si>
  <si>
    <t>SCRN2</t>
  </si>
  <si>
    <t>PGM2</t>
  </si>
  <si>
    <t>DUS3L</t>
  </si>
  <si>
    <t>SDSL</t>
  </si>
  <si>
    <t>PDXP</t>
  </si>
  <si>
    <t>CALML4</t>
  </si>
  <si>
    <t>RNF185</t>
  </si>
  <si>
    <t>DCUN1D1</t>
  </si>
  <si>
    <t>FAHD2A</t>
  </si>
  <si>
    <t>C17orf59</t>
  </si>
  <si>
    <t>MARS2</t>
  </si>
  <si>
    <t>ATXN7L3B</t>
  </si>
  <si>
    <t>APIP</t>
  </si>
  <si>
    <t>SNF8</t>
  </si>
  <si>
    <t>PDLIM5</t>
  </si>
  <si>
    <t>ACY3</t>
  </si>
  <si>
    <t>ERO1L</t>
  </si>
  <si>
    <t>C7orf55</t>
  </si>
  <si>
    <t>AHCYL2</t>
  </si>
  <si>
    <t>OXNAD1</t>
  </si>
  <si>
    <t>CDKN2AIPNL</t>
  </si>
  <si>
    <t>REEP6</t>
  </si>
  <si>
    <t>PGAM5</t>
  </si>
  <si>
    <t>DDRGK1</t>
  </si>
  <si>
    <t>DHTKD1</t>
  </si>
  <si>
    <t>SCLY</t>
  </si>
  <si>
    <t>PYURF</t>
  </si>
  <si>
    <t>FUBP3</t>
  </si>
  <si>
    <t>RBM17</t>
  </si>
  <si>
    <t>WBSCR16</t>
  </si>
  <si>
    <t>NARS2</t>
  </si>
  <si>
    <t>SUCLG2</t>
  </si>
  <si>
    <t>AJUBA</t>
  </si>
  <si>
    <t>GMPPA</t>
  </si>
  <si>
    <t>ABHD14B</t>
  </si>
  <si>
    <t>NGLY1</t>
  </si>
  <si>
    <t>PAWR</t>
  </si>
  <si>
    <t>ITCH</t>
  </si>
  <si>
    <t>COG3</t>
  </si>
  <si>
    <t>CDK5RAP3</t>
  </si>
  <si>
    <t>SEC16B</t>
  </si>
  <si>
    <t>CCDC132</t>
  </si>
  <si>
    <t>VCPIP1</t>
  </si>
  <si>
    <t>CHAMP1</t>
  </si>
  <si>
    <t>ZFP91</t>
  </si>
  <si>
    <t>CLMN</t>
  </si>
  <si>
    <t>PDLIM2</t>
  </si>
  <si>
    <t>DNAJC1</t>
  </si>
  <si>
    <t>SCYL1</t>
  </si>
  <si>
    <t>ZNF512B</t>
  </si>
  <si>
    <t>EXOC2</t>
  </si>
  <si>
    <t>CNDP2</t>
  </si>
  <si>
    <t>ZFR</t>
  </si>
  <si>
    <t>SNX27</t>
  </si>
  <si>
    <t>DHRS1</t>
  </si>
  <si>
    <t>CNBD2</t>
  </si>
  <si>
    <t>PRRC1</t>
  </si>
  <si>
    <t>FBXL18</t>
  </si>
  <si>
    <t>HEXIM2</t>
  </si>
  <si>
    <t>YTHDC1</t>
  </si>
  <si>
    <t>CCDC43</t>
  </si>
  <si>
    <t>UROC1</t>
  </si>
  <si>
    <t>ZMAT2</t>
  </si>
  <si>
    <t>C8orf37</t>
  </si>
  <si>
    <t>AMDHD1</t>
  </si>
  <si>
    <t>AGAP3</t>
  </si>
  <si>
    <t>ARAP1</t>
  </si>
  <si>
    <t>IPO9</t>
  </si>
  <si>
    <t>PGLYRP2</t>
  </si>
  <si>
    <t>MCEE</t>
  </si>
  <si>
    <t>RBM14</t>
  </si>
  <si>
    <t>RCHY1</t>
  </si>
  <si>
    <t>NEDD4L</t>
  </si>
  <si>
    <t>QKI</t>
  </si>
  <si>
    <t>PUS7</t>
  </si>
  <si>
    <t>TRAPPC9</t>
  </si>
  <si>
    <t>PLIN4</t>
  </si>
  <si>
    <t>TRNT1</t>
  </si>
  <si>
    <t>PPP1R10</t>
  </si>
  <si>
    <t>MTMR9</t>
  </si>
  <si>
    <t>VPS35</t>
  </si>
  <si>
    <t>PURB</t>
  </si>
  <si>
    <t>XPO6</t>
  </si>
  <si>
    <t>MAGI1</t>
  </si>
  <si>
    <t>NACC1</t>
  </si>
  <si>
    <t>SNX18</t>
  </si>
  <si>
    <t>GFM1</t>
  </si>
  <si>
    <t>MCCC1</t>
  </si>
  <si>
    <t>NUDCD1</t>
  </si>
  <si>
    <t>ERBB2IP</t>
  </si>
  <si>
    <t>HMCN1</t>
  </si>
  <si>
    <t>C16orf13</t>
  </si>
  <si>
    <t>TP53RK</t>
  </si>
  <si>
    <t>RANBP9</t>
  </si>
  <si>
    <t>CLCC1</t>
  </si>
  <si>
    <t>IWS1</t>
  </si>
  <si>
    <t>SIN3A</t>
  </si>
  <si>
    <t>OSBPL9</t>
  </si>
  <si>
    <t>ADO</t>
  </si>
  <si>
    <t>RBM15</t>
  </si>
  <si>
    <t>RUFY1</t>
  </si>
  <si>
    <t>SPEN</t>
  </si>
  <si>
    <t>MMS19</t>
  </si>
  <si>
    <t>MYCBP</t>
  </si>
  <si>
    <t>ACOX2</t>
  </si>
  <si>
    <t>TBCB</t>
  </si>
  <si>
    <t>PSMB7</t>
  </si>
  <si>
    <t>PCYT2</t>
  </si>
  <si>
    <t>CDC5L</t>
  </si>
  <si>
    <t>PSMD1</t>
  </si>
  <si>
    <t>PFDN5</t>
  </si>
  <si>
    <t>PAFAH2</t>
  </si>
  <si>
    <t>DDO</t>
  </si>
  <si>
    <t>PARK7</t>
  </si>
  <si>
    <t>NEU1</t>
  </si>
  <si>
    <t>VAT1</t>
  </si>
  <si>
    <t>DNAJC2</t>
  </si>
  <si>
    <t>NUP88</t>
  </si>
  <si>
    <t>PKP4</t>
  </si>
  <si>
    <t>PIK3R4</t>
  </si>
  <si>
    <t>POP1</t>
  </si>
  <si>
    <t>TSC22D3</t>
  </si>
  <si>
    <t>S100A13</t>
  </si>
  <si>
    <t>SCAF11</t>
  </si>
  <si>
    <t>TSNAX</t>
  </si>
  <si>
    <t>SEPHS2</t>
  </si>
  <si>
    <t>TTC1</t>
  </si>
  <si>
    <t>DNAJC7</t>
  </si>
  <si>
    <t>C12orf57</t>
  </si>
  <si>
    <t>SLC38A3</t>
  </si>
  <si>
    <t>COPS8</t>
  </si>
  <si>
    <t>MTR</t>
  </si>
  <si>
    <t>HSD17B10</t>
  </si>
  <si>
    <t>NAP1L4</t>
  </si>
  <si>
    <t>NAPG</t>
  </si>
  <si>
    <t>TXN2</t>
  </si>
  <si>
    <t>ATP5S</t>
  </si>
  <si>
    <t>MIPEP</t>
  </si>
  <si>
    <t>ACO2</t>
  </si>
  <si>
    <t>COQ7</t>
  </si>
  <si>
    <t>CCT7</t>
  </si>
  <si>
    <t>MYD88</t>
  </si>
  <si>
    <t>HIST1H2BL</t>
  </si>
  <si>
    <t>BAG1</t>
  </si>
  <si>
    <t>PTPN18</t>
  </si>
  <si>
    <t>PKP2</t>
  </si>
  <si>
    <t>SH3GL1</t>
  </si>
  <si>
    <t>AKAP9</t>
  </si>
  <si>
    <t>NIPSNAP1</t>
  </si>
  <si>
    <t>ARPC5L</t>
  </si>
  <si>
    <t>ELAC2</t>
  </si>
  <si>
    <t>C19orf43</t>
  </si>
  <si>
    <t>GRWD1</t>
  </si>
  <si>
    <t>MACROD1</t>
  </si>
  <si>
    <t>DPH2</t>
  </si>
  <si>
    <t>APOL2</t>
  </si>
  <si>
    <t>MYBBP1A</t>
  </si>
  <si>
    <t>NUDT12</t>
  </si>
  <si>
    <t>LPIN3</t>
  </si>
  <si>
    <t>MGME1</t>
  </si>
  <si>
    <t>FYCO1</t>
  </si>
  <si>
    <t>CORO1B</t>
  </si>
  <si>
    <t>TXNDC17</t>
  </si>
  <si>
    <t>CPPED1</t>
  </si>
  <si>
    <t>VPS25</t>
  </si>
  <si>
    <t>SDF4</t>
  </si>
  <si>
    <t>PAAF1</t>
  </si>
  <si>
    <t>WIBG</t>
  </si>
  <si>
    <t>MIEN1</t>
  </si>
  <si>
    <t>SIKE1</t>
  </si>
  <si>
    <t>TRIM56</t>
  </si>
  <si>
    <t>ERP44</t>
  </si>
  <si>
    <t>AGMAT</t>
  </si>
  <si>
    <t>TACO1</t>
  </si>
  <si>
    <t>HDHD3</t>
  </si>
  <si>
    <t>C17orf80</t>
  </si>
  <si>
    <t>ESYT1</t>
  </si>
  <si>
    <t>UBAC1</t>
  </si>
  <si>
    <t>RTKN</t>
  </si>
  <si>
    <t>C16orf70</t>
  </si>
  <si>
    <t>CHCHD5</t>
  </si>
  <si>
    <t>CNPY3</t>
  </si>
  <si>
    <t>ALKBH7</t>
  </si>
  <si>
    <t>PSMG3</t>
  </si>
  <si>
    <t>COPS4</t>
  </si>
  <si>
    <t>DIDO1</t>
  </si>
  <si>
    <t>DCTN5</t>
  </si>
  <si>
    <t>MCMBP</t>
  </si>
  <si>
    <t>AARSD1</t>
  </si>
  <si>
    <t>URM1</t>
  </si>
  <si>
    <t>ANP32E</t>
  </si>
  <si>
    <t>TBCD</t>
  </si>
  <si>
    <t>TTPAL</t>
  </si>
  <si>
    <t>FUCA2</t>
  </si>
  <si>
    <t>FAM203A</t>
  </si>
  <si>
    <t>DHRS4</t>
  </si>
  <si>
    <t>THTPA</t>
  </si>
  <si>
    <t>DOHH</t>
  </si>
  <si>
    <t>MED18</t>
  </si>
  <si>
    <t>ISCA1</t>
  </si>
  <si>
    <t>C9orf142</t>
  </si>
  <si>
    <t>HNRNPUL1</t>
  </si>
  <si>
    <t>EFHD1</t>
  </si>
  <si>
    <t>DDX23</t>
  </si>
  <si>
    <t>BDH2</t>
  </si>
  <si>
    <t>FAM195A</t>
  </si>
  <si>
    <t>C1orf50</t>
  </si>
  <si>
    <t>MRI1</t>
  </si>
  <si>
    <t>THUMPD3</t>
  </si>
  <si>
    <t>ADI1</t>
  </si>
  <si>
    <t>MECR</t>
  </si>
  <si>
    <t>NTMT1</t>
  </si>
  <si>
    <t>PBDC1</t>
  </si>
  <si>
    <t>DUSP23</t>
  </si>
  <si>
    <t>SELO</t>
  </si>
  <si>
    <t>GGACT</t>
  </si>
  <si>
    <t>TRMT61B</t>
  </si>
  <si>
    <t>DDA1</t>
  </si>
  <si>
    <t>HIRIP3</t>
  </si>
  <si>
    <t>IFT27</t>
  </si>
  <si>
    <t>NUDT9</t>
  </si>
  <si>
    <t>TARS2</t>
  </si>
  <si>
    <t>ACAT2</t>
  </si>
  <si>
    <t>REPIN1</t>
  </si>
  <si>
    <t>RBM4</t>
  </si>
  <si>
    <t>RPAP1</t>
  </si>
  <si>
    <t>SLC4A1AP</t>
  </si>
  <si>
    <t>SORBS1</t>
  </si>
  <si>
    <t>HINT2</t>
  </si>
  <si>
    <t>SGPP1</t>
  </si>
  <si>
    <t>TBC1D10A</t>
  </si>
  <si>
    <t>NAA15</t>
  </si>
  <si>
    <t>BCL2L13</t>
  </si>
  <si>
    <t>SRRT</t>
  </si>
  <si>
    <t>QTRT1</t>
  </si>
  <si>
    <t>NUSAP1</t>
  </si>
  <si>
    <t>C14orf142</t>
  </si>
  <si>
    <t>OSBPL1A</t>
  </si>
  <si>
    <t>CECR5</t>
  </si>
  <si>
    <t>ITPA</t>
  </si>
  <si>
    <t>RTFDC1</t>
  </si>
  <si>
    <t>CHMP4A</t>
  </si>
  <si>
    <t>PECR</t>
  </si>
  <si>
    <t>POLDIP3</t>
  </si>
  <si>
    <t>KIAA1671</t>
  </si>
  <si>
    <t>CDHR2</t>
  </si>
  <si>
    <t>RBCK1</t>
  </si>
  <si>
    <t>SRXN1</t>
  </si>
  <si>
    <t>WNK3</t>
  </si>
  <si>
    <t>NLN</t>
  </si>
  <si>
    <t>AGXT2</t>
  </si>
  <si>
    <t>BCO2</t>
  </si>
  <si>
    <t>IFIH1</t>
  </si>
  <si>
    <t>PANK2</t>
  </si>
  <si>
    <t>PUS3</t>
  </si>
  <si>
    <t>ASPSCR1</t>
  </si>
  <si>
    <t>WDR11</t>
  </si>
  <si>
    <t>UPF3B</t>
  </si>
  <si>
    <t>TBL1XR1</t>
  </si>
  <si>
    <t>UBL5</t>
  </si>
  <si>
    <t>PPP1R12C</t>
  </si>
  <si>
    <t>API5</t>
  </si>
  <si>
    <t>DPY30</t>
  </si>
  <si>
    <t>TRIM2</t>
  </si>
  <si>
    <t>UNK</t>
  </si>
  <si>
    <t>FTO</t>
  </si>
  <si>
    <t>ZDHHC5</t>
  </si>
  <si>
    <t>TNKS1BP1</t>
  </si>
  <si>
    <t>UBE2O</t>
  </si>
  <si>
    <t>DNAH6</t>
  </si>
  <si>
    <t>SRCIN1</t>
  </si>
  <si>
    <t>MTMR12</t>
  </si>
  <si>
    <t>WDR33</t>
  </si>
  <si>
    <t>C20orf27</t>
  </si>
  <si>
    <t>PITHD1</t>
  </si>
  <si>
    <t>COMMD5</t>
  </si>
  <si>
    <t>SLIRP</t>
  </si>
  <si>
    <t>NIF3L1</t>
  </si>
  <si>
    <t>EGLN1</t>
  </si>
  <si>
    <t>FAM192A</t>
  </si>
  <si>
    <t>UBA5</t>
  </si>
  <si>
    <t>LHPP</t>
  </si>
  <si>
    <t>PAIP1</t>
  </si>
  <si>
    <t>FAM107B</t>
  </si>
  <si>
    <t>ILKAP</t>
  </si>
  <si>
    <t>XRN2</t>
  </si>
  <si>
    <t>TOLLIP</t>
  </si>
  <si>
    <t>SHARPIN</t>
  </si>
  <si>
    <t>NSRP1</t>
  </si>
  <si>
    <t>SIK2</t>
  </si>
  <si>
    <t>CSTF2T</t>
  </si>
  <si>
    <t>NT5C3A</t>
  </si>
  <si>
    <t>QRSL1</t>
  </si>
  <si>
    <t>RAB1B</t>
  </si>
  <si>
    <t>C11orf54</t>
  </si>
  <si>
    <t>IRF2BPL</t>
  </si>
  <si>
    <t>NUCKS1</t>
  </si>
  <si>
    <t>KIF13A</t>
  </si>
  <si>
    <t>UPF3A</t>
  </si>
  <si>
    <t>ZFYVE20</t>
  </si>
  <si>
    <t>ISCU</t>
  </si>
  <si>
    <t>OSBPL2</t>
  </si>
  <si>
    <t>ATG5</t>
  </si>
  <si>
    <t>WDR13</t>
  </si>
  <si>
    <t>EHD4</t>
  </si>
  <si>
    <t>GBA3</t>
  </si>
  <si>
    <t>VPS33B</t>
  </si>
  <si>
    <t>VPS11</t>
  </si>
  <si>
    <t>ALDH8A1</t>
  </si>
  <si>
    <t>TRIOBP</t>
  </si>
  <si>
    <t>SLK</t>
  </si>
  <si>
    <t>PPIL3</t>
  </si>
  <si>
    <t>BHMT2</t>
  </si>
  <si>
    <t>RAB3GAP2</t>
  </si>
  <si>
    <t>ADNP</t>
  </si>
  <si>
    <t>DPH5</t>
  </si>
  <si>
    <t>DHX36</t>
  </si>
  <si>
    <t>PPA2</t>
  </si>
  <si>
    <t>MRPL46</t>
  </si>
  <si>
    <t>PNN</t>
  </si>
  <si>
    <t>CPVL</t>
  </si>
  <si>
    <t>C11orf68</t>
  </si>
  <si>
    <t>BOLA2</t>
  </si>
  <si>
    <t>NELFA</t>
  </si>
  <si>
    <t>ACBD3</t>
  </si>
  <si>
    <t>CDC42EP4</t>
  </si>
  <si>
    <t>PTPN23</t>
  </si>
  <si>
    <t>UNC45A</t>
  </si>
  <si>
    <t>LIME1</t>
  </si>
  <si>
    <t>CHMP4B</t>
  </si>
  <si>
    <t>FN3K</t>
  </si>
  <si>
    <t>POFUT1</t>
  </si>
  <si>
    <t>RNPEP</t>
  </si>
  <si>
    <t>GOLPH3</t>
  </si>
  <si>
    <t>OSGEPL1</t>
  </si>
  <si>
    <t>ZHX3</t>
  </si>
  <si>
    <t>EHD1</t>
  </si>
  <si>
    <t>RABEP2</t>
  </si>
  <si>
    <t>TFB2M</t>
  </si>
  <si>
    <t>FAM96A</t>
  </si>
  <si>
    <t>NARFL</t>
  </si>
  <si>
    <t>ACSS3</t>
  </si>
  <si>
    <t>YTHDC2</t>
  </si>
  <si>
    <t>EPS8L2</t>
  </si>
  <si>
    <t>ESRP2</t>
  </si>
  <si>
    <t>RPAP3</t>
  </si>
  <si>
    <t>DCTPP1</t>
  </si>
  <si>
    <t>ELAC1</t>
  </si>
  <si>
    <t>SH2D4A</t>
  </si>
  <si>
    <t>AAMDC</t>
  </si>
  <si>
    <t>DOCK5</t>
  </si>
  <si>
    <t>TDRD3</t>
  </si>
  <si>
    <t>SCAF1</t>
  </si>
  <si>
    <t>KAT8</t>
  </si>
  <si>
    <t>PTGES2</t>
  </si>
  <si>
    <t>PHAX</t>
  </si>
  <si>
    <t>UBE2Z</t>
  </si>
  <si>
    <t>ACAD9</t>
  </si>
  <si>
    <t>MOB1A</t>
  </si>
  <si>
    <t>ZFAND3</t>
  </si>
  <si>
    <t>PLEKHF2</t>
  </si>
  <si>
    <t>GORASP2</t>
  </si>
  <si>
    <t>PSTPIP2</t>
  </si>
  <si>
    <t>QTRTD1</t>
  </si>
  <si>
    <t>C6orf211</t>
  </si>
  <si>
    <t>PANK3</t>
  </si>
  <si>
    <t>LRRC40</t>
  </si>
  <si>
    <t>EHMT1</t>
  </si>
  <si>
    <t>VIPAS39</t>
  </si>
  <si>
    <t>COG4</t>
  </si>
  <si>
    <t>AGO3</t>
  </si>
  <si>
    <t>MRPL44</t>
  </si>
  <si>
    <t>CAB39L</t>
  </si>
  <si>
    <t>ELP3</t>
  </si>
  <si>
    <t>FN3KRP</t>
  </si>
  <si>
    <t>TBC1D17</t>
  </si>
  <si>
    <t>CARS2</t>
  </si>
  <si>
    <t>PPCS</t>
  </si>
  <si>
    <t>C7orf10</t>
  </si>
  <si>
    <t>NMNAT1</t>
  </si>
  <si>
    <t>MLXIP</t>
  </si>
  <si>
    <t>SIAE</t>
  </si>
  <si>
    <t>PLEKHA5</t>
  </si>
  <si>
    <t>UPF2</t>
  </si>
  <si>
    <t>XPO5</t>
  </si>
  <si>
    <t>GRPEL1</t>
  </si>
  <si>
    <t>C12orf10</t>
  </si>
  <si>
    <t>PLEKHA1</t>
  </si>
  <si>
    <t>SCPEP1</t>
  </si>
  <si>
    <t>CACYBP</t>
  </si>
  <si>
    <t>RRAGC</t>
  </si>
  <si>
    <t>ZFYVE1</t>
  </si>
  <si>
    <t>PDF</t>
  </si>
  <si>
    <t>PARVB</t>
  </si>
  <si>
    <t>AS3MT</t>
  </si>
  <si>
    <t>NMRAL1</t>
  </si>
  <si>
    <t>SLC38A10</t>
  </si>
  <si>
    <t>EML4</t>
  </si>
  <si>
    <t>GLOD4</t>
  </si>
  <si>
    <t>SPON1</t>
  </si>
  <si>
    <t>MCCC2</t>
  </si>
  <si>
    <t>ZFYVE28</t>
  </si>
  <si>
    <t>METTL14</t>
  </si>
  <si>
    <t>ARHGEF10L</t>
  </si>
  <si>
    <t>EPB41L5</t>
  </si>
  <si>
    <t>GPN1</t>
  </si>
  <si>
    <t>SDF2L1</t>
  </si>
  <si>
    <t>SRA1</t>
  </si>
  <si>
    <t>GOPC</t>
  </si>
  <si>
    <t>MRPL47</t>
  </si>
  <si>
    <t>SEPSECS</t>
  </si>
  <si>
    <t>CHMP1A</t>
  </si>
  <si>
    <t>RETN</t>
  </si>
  <si>
    <t>JPH1</t>
  </si>
  <si>
    <t>ARFGAP3</t>
  </si>
  <si>
    <t>MLXIPL</t>
  </si>
  <si>
    <t>RAB18</t>
  </si>
  <si>
    <t>PALMD</t>
  </si>
  <si>
    <t>SSU72</t>
  </si>
  <si>
    <t>VTA1</t>
  </si>
  <si>
    <t>DYNLRB1</t>
  </si>
  <si>
    <t>ENY2</t>
  </si>
  <si>
    <t>EXOSC4</t>
  </si>
  <si>
    <t>OSGEP</t>
  </si>
  <si>
    <t>ACP6</t>
  </si>
  <si>
    <t>ACOT13</t>
  </si>
  <si>
    <t>RIC8A</t>
  </si>
  <si>
    <t>TIGAR</t>
  </si>
  <si>
    <t>A1CF</t>
  </si>
  <si>
    <t>RPRD1B</t>
  </si>
  <si>
    <t>XPNPEP3</t>
  </si>
  <si>
    <t>PFDN4</t>
  </si>
  <si>
    <t>NIT2</t>
  </si>
  <si>
    <t>AVEN</t>
  </si>
  <si>
    <t>KIF13B</t>
  </si>
  <si>
    <t>XPNPEP1</t>
  </si>
  <si>
    <t>GPHN</t>
  </si>
  <si>
    <t>ACSS2</t>
  </si>
  <si>
    <t>DIABLO</t>
  </si>
  <si>
    <t>DDX21</t>
  </si>
  <si>
    <t>NANS</t>
  </si>
  <si>
    <t>SH3GLB2</t>
  </si>
  <si>
    <t>EIF2B3</t>
  </si>
  <si>
    <t>CTPS2</t>
  </si>
  <si>
    <t>POLE3</t>
  </si>
  <si>
    <t>SDR39U1</t>
  </si>
  <si>
    <t>AASDHPPT</t>
  </si>
  <si>
    <t>ACN9</t>
  </si>
  <si>
    <t>UBQLN4</t>
  </si>
  <si>
    <t>HEBP1</t>
  </si>
  <si>
    <t>VPS45</t>
  </si>
  <si>
    <t>PHPT1</t>
  </si>
  <si>
    <t>ARHGAP35</t>
  </si>
  <si>
    <t>FAM114A2</t>
  </si>
  <si>
    <t>LANCL2</t>
  </si>
  <si>
    <t>CTNNBIP1</t>
  </si>
  <si>
    <t>IARS2</t>
  </si>
  <si>
    <t>KLC4</t>
  </si>
  <si>
    <t>NRBP2</t>
  </si>
  <si>
    <t>BMP2K</t>
  </si>
  <si>
    <t>STARD5</t>
  </si>
  <si>
    <t>ATG3</t>
  </si>
  <si>
    <t>SIRT3</t>
  </si>
  <si>
    <t>PDS5B</t>
  </si>
  <si>
    <t>MAN2C1</t>
  </si>
  <si>
    <t>OLA1</t>
  </si>
  <si>
    <t>ECHDC1</t>
  </si>
  <si>
    <t>RBM12</t>
  </si>
  <si>
    <t>LYRM2</t>
  </si>
  <si>
    <t>DECR2</t>
  </si>
  <si>
    <t>ABHD10</t>
  </si>
  <si>
    <t>C19orf66</t>
  </si>
  <si>
    <t>BLOC1S4</t>
  </si>
  <si>
    <t>SPATS2L</t>
  </si>
  <si>
    <t>ABCF3</t>
  </si>
  <si>
    <t>FAM49B</t>
  </si>
  <si>
    <t>GIMAP4</t>
  </si>
  <si>
    <t>TBC1D23</t>
  </si>
  <si>
    <t>NUDT15</t>
  </si>
  <si>
    <t>MRGBP</t>
  </si>
  <si>
    <t>EXOC1</t>
  </si>
  <si>
    <t>PARVA</t>
  </si>
  <si>
    <t>PANK4</t>
  </si>
  <si>
    <t>ETNK2</t>
  </si>
  <si>
    <t>TBC1D13</t>
  </si>
  <si>
    <t>TMLHE</t>
  </si>
  <si>
    <t>DNAJC17</t>
  </si>
  <si>
    <t>DNAAF2</t>
  </si>
  <si>
    <t>PNPO</t>
  </si>
  <si>
    <t>ARMC1</t>
  </si>
  <si>
    <t>NLE1</t>
  </si>
  <si>
    <t>NECAP2</t>
  </si>
  <si>
    <t>RBM22</t>
  </si>
  <si>
    <t>BSDC1</t>
  </si>
  <si>
    <t>WDR70</t>
  </si>
  <si>
    <t>ARGLU1</t>
  </si>
  <si>
    <t>SLTM</t>
  </si>
  <si>
    <t>AURKAIP1</t>
  </si>
  <si>
    <t>OXSM</t>
  </si>
  <si>
    <t>GID8</t>
  </si>
  <si>
    <t>C1orf123</t>
  </si>
  <si>
    <t>NMRK1</t>
  </si>
  <si>
    <t>THG1L</t>
  </si>
  <si>
    <t>C4orf27</t>
  </si>
  <si>
    <t>IRAK4</t>
  </si>
  <si>
    <t>COMMD8</t>
  </si>
  <si>
    <t>FAM206A</t>
  </si>
  <si>
    <t>ADPRHL2</t>
  </si>
  <si>
    <t>HYPK</t>
  </si>
  <si>
    <t>SIRT5</t>
  </si>
  <si>
    <t>MTMR10</t>
  </si>
  <si>
    <t>THUMPD1</t>
  </si>
  <si>
    <t>TRMT1</t>
  </si>
  <si>
    <t>BRE</t>
  </si>
  <si>
    <t>ARL15</t>
  </si>
  <si>
    <t>CDKN2AIP</t>
  </si>
  <si>
    <t>DNAJB12</t>
  </si>
  <si>
    <t>PPP4R2</t>
  </si>
  <si>
    <t>DPP3</t>
  </si>
  <si>
    <t>TERF2IP</t>
  </si>
  <si>
    <t>BCLAF1</t>
  </si>
  <si>
    <t>COA4</t>
  </si>
  <si>
    <t>TAB2</t>
  </si>
  <si>
    <t>MLTK</t>
  </si>
  <si>
    <t>TMOD3</t>
  </si>
  <si>
    <t>HAO2</t>
  </si>
  <si>
    <t>UGGT1</t>
  </si>
  <si>
    <t>FASTKD2</t>
  </si>
  <si>
    <t>ERAP1</t>
  </si>
  <si>
    <t>UBAP1</t>
  </si>
  <si>
    <t>ACTR10</t>
  </si>
  <si>
    <t>CISD1</t>
  </si>
  <si>
    <t>C9orf78</t>
  </si>
  <si>
    <t>FAM120A</t>
  </si>
  <si>
    <t>MOCS1</t>
  </si>
  <si>
    <t>COQ3</t>
  </si>
  <si>
    <t>NUDT4</t>
  </si>
  <si>
    <t>HSPBP1</t>
  </si>
  <si>
    <t>MAT2B</t>
  </si>
  <si>
    <t>ITSN2</t>
  </si>
  <si>
    <t>ARHGEF12</t>
  </si>
  <si>
    <t>CNOT2</t>
  </si>
  <si>
    <t>AIPL1</t>
  </si>
  <si>
    <t>C1RL</t>
  </si>
  <si>
    <t>OGFR</t>
  </si>
  <si>
    <t>LMCD1</t>
  </si>
  <si>
    <t>CHMP5</t>
  </si>
  <si>
    <t>COMMD9</t>
  </si>
  <si>
    <t>CWC15</t>
  </si>
  <si>
    <t>THYN1</t>
  </si>
  <si>
    <t>PDP1</t>
  </si>
  <si>
    <t>RAI14</t>
  </si>
  <si>
    <t>VAPA</t>
  </si>
  <si>
    <t>C6orf203</t>
  </si>
  <si>
    <t>GSKIP</t>
  </si>
  <si>
    <t>PIPOX</t>
  </si>
  <si>
    <t>ABRACL</t>
  </si>
  <si>
    <t>ACTR3B</t>
  </si>
  <si>
    <t>CAMSAP3</t>
  </si>
  <si>
    <t>CALCOCO1</t>
  </si>
  <si>
    <t>KIAA1522</t>
  </si>
  <si>
    <t>RCC2</t>
  </si>
  <si>
    <t>KIAA1468</t>
  </si>
  <si>
    <t>DIP2B</t>
  </si>
  <si>
    <t>SLAIN2</t>
  </si>
  <si>
    <t>BCCIP</t>
  </si>
  <si>
    <t>COPZ2</t>
  </si>
  <si>
    <t>HEATR5B</t>
  </si>
  <si>
    <t>RRBP1</t>
  </si>
  <si>
    <t>EIF2AK4</t>
  </si>
  <si>
    <t>CGN</t>
  </si>
  <si>
    <t>RBM27</t>
  </si>
  <si>
    <t>ANKFY1</t>
  </si>
  <si>
    <t>IMPACT</t>
  </si>
  <si>
    <t>ATXN10</t>
  </si>
  <si>
    <t>EPS15L1</t>
  </si>
  <si>
    <t>SAE1</t>
  </si>
  <si>
    <t>COPG2</t>
  </si>
  <si>
    <t>RNF7</t>
  </si>
  <si>
    <t>MTRR</t>
  </si>
  <si>
    <t>UXT</t>
  </si>
  <si>
    <t>ASH2L</t>
  </si>
  <si>
    <t>HDAC6</t>
  </si>
  <si>
    <t>SPAST</t>
  </si>
  <si>
    <t>METTL1</t>
  </si>
  <si>
    <t>VPS29</t>
  </si>
  <si>
    <t>GRHPR</t>
  </si>
  <si>
    <t>UPB1</t>
  </si>
  <si>
    <t>CTSZ</t>
  </si>
  <si>
    <t>DNAJB11</t>
  </si>
  <si>
    <t>RNF14</t>
  </si>
  <si>
    <t>UBA2</t>
  </si>
  <si>
    <t>PEF1</t>
  </si>
  <si>
    <t>COPS7A</t>
  </si>
  <si>
    <t>AASS</t>
  </si>
  <si>
    <t>SEC14L4</t>
  </si>
  <si>
    <t>TJP2</t>
  </si>
  <si>
    <t>DNAJB4</t>
  </si>
  <si>
    <t>ADD3</t>
  </si>
  <si>
    <t>C19orf25</t>
  </si>
  <si>
    <t>NIPSNAP3A</t>
  </si>
  <si>
    <t>CGGBP1</t>
  </si>
  <si>
    <t>MTRF1L</t>
  </si>
  <si>
    <t>TES</t>
  </si>
  <si>
    <t>LIMD1</t>
  </si>
  <si>
    <t>ARMCX3</t>
  </si>
  <si>
    <t>SWAP70</t>
  </si>
  <si>
    <t>MLX</t>
  </si>
  <si>
    <t>LAMTOR3</t>
  </si>
  <si>
    <t>LIMA1</t>
  </si>
  <si>
    <t>SRP68</t>
  </si>
  <si>
    <t>CHORDC1</t>
  </si>
  <si>
    <t>SEPT9</t>
  </si>
  <si>
    <t>UBQLN2</t>
  </si>
  <si>
    <t>SHPK</t>
  </si>
  <si>
    <t>DPP7</t>
  </si>
  <si>
    <t>BAIAP2L1</t>
  </si>
  <si>
    <t>SAP30BP</t>
  </si>
  <si>
    <t>PFDN2</t>
  </si>
  <si>
    <t>PUF60</t>
  </si>
  <si>
    <t>ENOPH1</t>
  </si>
  <si>
    <t>EVL</t>
  </si>
  <si>
    <t>EIF2B4</t>
  </si>
  <si>
    <t>ATP6V1H</t>
  </si>
  <si>
    <t>DMGDH</t>
  </si>
  <si>
    <t>GLS2</t>
  </si>
  <si>
    <t>XPO7</t>
  </si>
  <si>
    <t>VPS51</t>
  </si>
  <si>
    <t>ATPIF1</t>
  </si>
  <si>
    <t>AK3</t>
  </si>
  <si>
    <t>KCNG1</t>
  </si>
  <si>
    <t>RABGEF1</t>
  </si>
  <si>
    <t>MSRA</t>
  </si>
  <si>
    <t>NAGK</t>
  </si>
  <si>
    <t>TRMT6</t>
  </si>
  <si>
    <t>SH3BGRL2</t>
  </si>
  <si>
    <t>ERRFI1</t>
  </si>
  <si>
    <t>HAO1</t>
  </si>
  <si>
    <t>DBNL</t>
  </si>
  <si>
    <t>DCTN4</t>
  </si>
  <si>
    <t>GGA1</t>
  </si>
  <si>
    <t>FBXO2</t>
  </si>
  <si>
    <t>VPS28</t>
  </si>
  <si>
    <t>LSM7</t>
  </si>
  <si>
    <t>DBR1</t>
  </si>
  <si>
    <t>FBXO3</t>
  </si>
  <si>
    <t>DNAJC12</t>
  </si>
  <si>
    <t>APPL1</t>
  </si>
  <si>
    <t>CROT</t>
  </si>
  <si>
    <t>NUDT5</t>
  </si>
  <si>
    <t>PCTP</t>
  </si>
  <si>
    <t>PACSIN3</t>
  </si>
  <si>
    <t>FBXO4</t>
  </si>
  <si>
    <t>ACAD8</t>
  </si>
  <si>
    <t>AGO2</t>
  </si>
  <si>
    <t>NUP50</t>
  </si>
  <si>
    <t>CDV3</t>
  </si>
  <si>
    <t>SARDH</t>
  </si>
  <si>
    <t>RAB21</t>
  </si>
  <si>
    <t>PNMA2</t>
  </si>
  <si>
    <t>PSME2</t>
  </si>
  <si>
    <t>DNPEP</t>
  </si>
  <si>
    <t>MCTS1</t>
  </si>
  <si>
    <t>ACSL5</t>
  </si>
  <si>
    <t>OGDHL</t>
  </si>
  <si>
    <t>MTUS1</t>
  </si>
  <si>
    <t>MKL2</t>
  </si>
  <si>
    <t>TBC1D24</t>
  </si>
  <si>
    <t>HECTD1</t>
  </si>
  <si>
    <t>CORO1C</t>
  </si>
  <si>
    <t>PYCARD</t>
  </si>
  <si>
    <t>EPDR1</t>
  </si>
  <si>
    <t>DDX19B</t>
  </si>
  <si>
    <t>NFU1</t>
  </si>
  <si>
    <t>PRPF19</t>
  </si>
  <si>
    <t>UBQLN1</t>
  </si>
  <si>
    <t>NENF</t>
  </si>
  <si>
    <t>SNX12</t>
  </si>
  <si>
    <t>SYNRG</t>
  </si>
  <si>
    <t>NDRG2</t>
  </si>
  <si>
    <t>VPS4A</t>
  </si>
  <si>
    <t>G3BP2</t>
  </si>
  <si>
    <t>STUB1</t>
  </si>
  <si>
    <t>PACSIN2</t>
  </si>
  <si>
    <t>MAGED2</t>
  </si>
  <si>
    <t>SNX6</t>
  </si>
  <si>
    <t>PSMD13</t>
  </si>
  <si>
    <t>FAF1</t>
  </si>
  <si>
    <t>COPS3</t>
  </si>
  <si>
    <t>NSFL1C</t>
  </si>
  <si>
    <t>COG5</t>
  </si>
  <si>
    <t>SCAF8</t>
  </si>
  <si>
    <t>PPP6R1</t>
  </si>
  <si>
    <t>TRIM33</t>
  </si>
  <si>
    <t>TNRC6B</t>
  </si>
  <si>
    <t>EXOC7</t>
  </si>
  <si>
    <t>USP24</t>
  </si>
  <si>
    <t>TBC1D2B</t>
  </si>
  <si>
    <t>DICER1</t>
  </si>
  <si>
    <t>MAPRE3</t>
  </si>
  <si>
    <t>SRRM2</t>
  </si>
  <si>
    <t>PA2G4</t>
  </si>
  <si>
    <t>CDK11A</t>
  </si>
  <si>
    <t>BAIAP2</t>
  </si>
  <si>
    <t>SMC3</t>
  </si>
  <si>
    <t>CHMP2B</t>
  </si>
  <si>
    <t>MTMR6</t>
  </si>
  <si>
    <t>GNE</t>
  </si>
  <si>
    <t>C14orf166</t>
  </si>
  <si>
    <t>RUVBL2</t>
  </si>
  <si>
    <t>PIN4</t>
  </si>
  <si>
    <t>CHKB</t>
  </si>
  <si>
    <t>EIF3L</t>
  </si>
  <si>
    <t>PLAA</t>
  </si>
  <si>
    <t>RUVBL1</t>
  </si>
  <si>
    <t>NUDC</t>
  </si>
  <si>
    <t>CFL2</t>
  </si>
  <si>
    <t>DRG1</t>
  </si>
  <si>
    <t>NCKAP1</t>
  </si>
  <si>
    <t>CNPY2</t>
  </si>
  <si>
    <t>EXOC6B</t>
  </si>
  <si>
    <t>AKAP2</t>
  </si>
  <si>
    <t>DIP2C</t>
  </si>
  <si>
    <t>PLEKHA6</t>
  </si>
  <si>
    <t>NISCH</t>
  </si>
  <si>
    <t>TRAPPC8</t>
  </si>
  <si>
    <t>SLC27A5</t>
  </si>
  <si>
    <t>GSTK1</t>
  </si>
  <si>
    <t>LAMTOR2</t>
  </si>
  <si>
    <t>MRPS28</t>
  </si>
  <si>
    <t>COA3</t>
  </si>
  <si>
    <t>CRYL1</t>
  </si>
  <si>
    <t>TMA7</t>
  </si>
  <si>
    <t>POLDIP2</t>
  </si>
  <si>
    <t>AP3M1</t>
  </si>
  <si>
    <t>GDA</t>
  </si>
  <si>
    <t>LEMD3</t>
  </si>
  <si>
    <t>CARHSP1</t>
  </si>
  <si>
    <t>THRAP3</t>
  </si>
  <si>
    <t>NOP58</t>
  </si>
  <si>
    <t>SUGT1</t>
  </si>
  <si>
    <t>MTO1</t>
  </si>
  <si>
    <t>YARS2</t>
  </si>
  <si>
    <t>COQ6</t>
  </si>
  <si>
    <t>AMDHD2</t>
  </si>
  <si>
    <t>ACOT9</t>
  </si>
  <si>
    <t>AAR2</t>
  </si>
  <si>
    <t>NOSIP</t>
  </si>
  <si>
    <t>DERA</t>
  </si>
  <si>
    <t>MEMO1</t>
  </si>
  <si>
    <t>CAB39</t>
  </si>
  <si>
    <t>LUC7L2</t>
  </si>
  <si>
    <t>UBE2J1</t>
  </si>
  <si>
    <t>MRPS2</t>
  </si>
  <si>
    <t>SBDS</t>
  </si>
  <si>
    <t>RRP15</t>
  </si>
  <si>
    <t>NOP16</t>
  </si>
  <si>
    <t>TPRKB</t>
  </si>
  <si>
    <t>PPIL1</t>
  </si>
  <si>
    <t>UFC1</t>
  </si>
  <si>
    <t>FAM96B</t>
  </si>
  <si>
    <t>MSRB2</t>
  </si>
  <si>
    <t>FIS1</t>
  </si>
  <si>
    <t>BOLA1</t>
  </si>
  <si>
    <t>CHMP3</t>
  </si>
  <si>
    <t>STRAP</t>
  </si>
  <si>
    <t>C22orf28</t>
  </si>
  <si>
    <t>FBXO7</t>
  </si>
  <si>
    <t>RAP2C</t>
  </si>
  <si>
    <t>RABGAP1</t>
  </si>
  <si>
    <t>ZNF330</t>
  </si>
  <si>
    <t>CCDC9</t>
  </si>
  <si>
    <t>CHTOP</t>
  </si>
  <si>
    <t>SAMHD1</t>
  </si>
  <si>
    <t>HBS1L</t>
  </si>
  <si>
    <t>TLN1</t>
  </si>
  <si>
    <t>VPRBP</t>
  </si>
  <si>
    <t>FAM115A</t>
  </si>
  <si>
    <t>USP15</t>
  </si>
  <si>
    <t>FARP1</t>
  </si>
  <si>
    <t>TLN2</t>
  </si>
  <si>
    <t>IRS2</t>
  </si>
  <si>
    <t>AIM1</t>
  </si>
  <si>
    <t>TRAF6</t>
  </si>
  <si>
    <t>WIPI2</t>
  </si>
  <si>
    <t>MMACHC</t>
  </si>
  <si>
    <t>AFG3L2</t>
  </si>
  <si>
    <t>ARIH1</t>
  </si>
  <si>
    <t>LSM4</t>
  </si>
  <si>
    <t>RNF114</t>
  </si>
  <si>
    <t>PRRC2C</t>
  </si>
  <si>
    <t>PPME1</t>
  </si>
  <si>
    <t>YTHDF2</t>
  </si>
  <si>
    <t>CTDP1</t>
  </si>
  <si>
    <t>SUPT16H</t>
  </si>
  <si>
    <t>TIMM9</t>
  </si>
  <si>
    <t>TIMM8B</t>
  </si>
  <si>
    <t>UCHL5</t>
  </si>
  <si>
    <t>CD2AP</t>
  </si>
  <si>
    <t>ATP6V1D</t>
  </si>
  <si>
    <t>TNPO3</t>
  </si>
  <si>
    <t>TIMM13</t>
  </si>
  <si>
    <t>COL4A3BP</t>
  </si>
  <si>
    <t>GMPPB</t>
  </si>
  <si>
    <t>TRAPPC1</t>
  </si>
  <si>
    <t>CDC42BPB</t>
  </si>
  <si>
    <t>RBM8A</t>
  </si>
  <si>
    <t>SNX9</t>
  </si>
  <si>
    <t>SNX5</t>
  </si>
  <si>
    <t>HEBP2</t>
  </si>
  <si>
    <t>LRRFIP2</t>
  </si>
  <si>
    <t>PSAT1</t>
  </si>
  <si>
    <t>CPQ</t>
  </si>
  <si>
    <t>COPG1</t>
  </si>
  <si>
    <t>CLIC4</t>
  </si>
  <si>
    <t>NFS1</t>
  </si>
  <si>
    <t>C16orf80</t>
  </si>
  <si>
    <t>SAR1B</t>
  </si>
  <si>
    <t>ARFGEF2</t>
  </si>
  <si>
    <t>ARFGEF1</t>
  </si>
  <si>
    <t>MAD1L1</t>
  </si>
  <si>
    <t>COMMD10</t>
  </si>
  <si>
    <t>DYNC1LI1</t>
  </si>
  <si>
    <t>CHCHD2</t>
  </si>
  <si>
    <t>EPN1</t>
  </si>
  <si>
    <t>TEX264</t>
  </si>
  <si>
    <t>OAS3</t>
  </si>
  <si>
    <t>IKBKG</t>
  </si>
  <si>
    <t>SQRDL</t>
  </si>
  <si>
    <t>PCLO</t>
  </si>
  <si>
    <t>CAPN7</t>
  </si>
  <si>
    <t>WASF2</t>
  </si>
  <si>
    <t>ENPP4</t>
  </si>
  <si>
    <t>ZW10</t>
  </si>
  <si>
    <t>NELFE</t>
  </si>
  <si>
    <t>EXOSC2</t>
  </si>
  <si>
    <t>RAB3GAP1</t>
  </si>
  <si>
    <t>C10orf11</t>
  </si>
  <si>
    <t>PRCC</t>
  </si>
  <si>
    <t>HN1L</t>
  </si>
  <si>
    <t>HSPB11</t>
  </si>
  <si>
    <t>DIAPH2</t>
  </si>
  <si>
    <t>SHROOM1</t>
  </si>
  <si>
    <t>TP53BP1</t>
  </si>
  <si>
    <t>DSCR3</t>
  </si>
  <si>
    <t>NAE1</t>
  </si>
  <si>
    <t>HOOK1</t>
  </si>
  <si>
    <t>TUBA4A</t>
  </si>
  <si>
    <t>CDH2</t>
  </si>
  <si>
    <t>SRRM1</t>
  </si>
  <si>
    <t>BAG6</t>
  </si>
  <si>
    <t>PSMB9</t>
  </si>
  <si>
    <t>CAPZB</t>
  </si>
  <si>
    <t>CFHR1</t>
  </si>
  <si>
    <t>NFIA</t>
  </si>
  <si>
    <t>PEA15</t>
  </si>
  <si>
    <t>UHRF2</t>
  </si>
  <si>
    <t>CDC37L1</t>
  </si>
  <si>
    <t>PALM2-AKAP2</t>
  </si>
  <si>
    <t>TRAF2</t>
  </si>
  <si>
    <t>GUK1</t>
  </si>
  <si>
    <t>HDAC2</t>
  </si>
  <si>
    <t>LZTFL1</t>
  </si>
  <si>
    <t>PHF23</t>
  </si>
  <si>
    <t>DDX58</t>
  </si>
  <si>
    <t>RXRA</t>
  </si>
  <si>
    <t>RPUSD2</t>
  </si>
  <si>
    <t>CNN2</t>
  </si>
  <si>
    <t>MON1B</t>
  </si>
  <si>
    <t>CTNNBL1</t>
  </si>
  <si>
    <t>NSF</t>
  </si>
  <si>
    <t>MRPS18B</t>
  </si>
  <si>
    <t>HUS1</t>
  </si>
  <si>
    <t>COMMD1</t>
  </si>
  <si>
    <t>CTNNB1</t>
  </si>
  <si>
    <t>PIP4K2A</t>
  </si>
  <si>
    <t>MAP1S</t>
  </si>
  <si>
    <t>ACSF2</t>
  </si>
  <si>
    <t>TGM2</t>
  </si>
  <si>
    <t>GLMN</t>
  </si>
  <si>
    <t>RAB5A</t>
  </si>
  <si>
    <t>H2AFY</t>
  </si>
  <si>
    <t>SNRPD3</t>
  </si>
  <si>
    <t>CS</t>
  </si>
  <si>
    <t>AKR1C2</t>
  </si>
  <si>
    <t>ZYG11B</t>
  </si>
  <si>
    <t>COMP</t>
  </si>
  <si>
    <t>LSR</t>
  </si>
  <si>
    <t>ATP5C1</t>
  </si>
  <si>
    <t>CHURC1-FNTB</t>
  </si>
  <si>
    <t>DDX5</t>
  </si>
  <si>
    <t>PTGES3</t>
  </si>
  <si>
    <t>WDR77</t>
  </si>
  <si>
    <t>MKRN2</t>
  </si>
  <si>
    <t>TOX4</t>
  </si>
  <si>
    <t>EIF2A</t>
  </si>
  <si>
    <t>GOSR1</t>
  </si>
  <si>
    <t>PGD</t>
  </si>
  <si>
    <t>MAEA</t>
  </si>
  <si>
    <t>STK24</t>
  </si>
  <si>
    <t>CHM</t>
  </si>
  <si>
    <t>KIF3B</t>
  </si>
  <si>
    <t>ANXA7</t>
  </si>
  <si>
    <t>LSM14A</t>
  </si>
  <si>
    <t>BPNT1</t>
  </si>
  <si>
    <t>RBKS</t>
  </si>
  <si>
    <t>EIF3D</t>
  </si>
  <si>
    <t>HACL1</t>
  </si>
  <si>
    <t>MCM3</t>
  </si>
  <si>
    <t>KRT72</t>
  </si>
  <si>
    <t>CLPB</t>
  </si>
  <si>
    <t>RMDN1</t>
  </si>
  <si>
    <t>LRCH3</t>
  </si>
  <si>
    <t>ATE1</t>
  </si>
  <si>
    <t>CFB</t>
  </si>
  <si>
    <t>SFRS3</t>
  </si>
  <si>
    <t>CANX</t>
  </si>
  <si>
    <t>HADHB</t>
  </si>
  <si>
    <t>IGFBP4</t>
  </si>
  <si>
    <t>CECR1</t>
  </si>
  <si>
    <t>RPA3</t>
  </si>
  <si>
    <t>RPS7</t>
  </si>
  <si>
    <t>SEPT2</t>
  </si>
  <si>
    <t>FHAD1</t>
  </si>
  <si>
    <t>PGRMC1</t>
  </si>
  <si>
    <t>ATP6V1A</t>
  </si>
  <si>
    <t>CHN2</t>
  </si>
  <si>
    <t>PDIA6</t>
  </si>
  <si>
    <t>PPM1F</t>
  </si>
  <si>
    <t>LAMP2</t>
  </si>
  <si>
    <t>ENO2</t>
  </si>
  <si>
    <t>COG2</t>
  </si>
  <si>
    <t>NDRG3</t>
  </si>
  <si>
    <t>CAP2</t>
  </si>
  <si>
    <t>GAB1</t>
  </si>
  <si>
    <t>ALAD</t>
  </si>
  <si>
    <t>FGD4</t>
  </si>
  <si>
    <t>DNASE2</t>
  </si>
  <si>
    <t>RPN1</t>
  </si>
  <si>
    <t>WBP4</t>
  </si>
  <si>
    <t>TANGO2</t>
  </si>
  <si>
    <t>WARS2</t>
  </si>
  <si>
    <t>DECR1</t>
  </si>
  <si>
    <t>SMPDL3A</t>
  </si>
  <si>
    <t>RANBP3</t>
  </si>
  <si>
    <t>GRB14</t>
  </si>
  <si>
    <t>USP7</t>
  </si>
  <si>
    <t>RFX5</t>
  </si>
  <si>
    <t>PTPN3</t>
  </si>
  <si>
    <t>NADK2</t>
  </si>
  <si>
    <t>STK25</t>
  </si>
  <si>
    <t>C2orf43</t>
  </si>
  <si>
    <t>WIZ</t>
  </si>
  <si>
    <t>UGT1A4S</t>
  </si>
  <si>
    <t>EVA1A</t>
  </si>
  <si>
    <t>MPP6</t>
  </si>
  <si>
    <t>PTMA</t>
  </si>
  <si>
    <t>VAMP8</t>
  </si>
  <si>
    <t>TCEB2</t>
  </si>
  <si>
    <t>CUTA</t>
  </si>
  <si>
    <t>PCYT1A</t>
  </si>
  <si>
    <t>SRI</t>
  </si>
  <si>
    <t>RNF181</t>
  </si>
  <si>
    <t>ARF5</t>
  </si>
  <si>
    <t>UBE2F</t>
  </si>
  <si>
    <t>NAA50</t>
  </si>
  <si>
    <t>PDCD10</t>
  </si>
  <si>
    <t>RPSA</t>
  </si>
  <si>
    <t>MBLAC1</t>
  </si>
  <si>
    <t>FXN</t>
  </si>
  <si>
    <t>TF</t>
  </si>
  <si>
    <t>PSPH</t>
  </si>
  <si>
    <t>POLR2H</t>
  </si>
  <si>
    <t>BUD31</t>
  </si>
  <si>
    <t>NSDHL</t>
  </si>
  <si>
    <t>EIF4E2</t>
  </si>
  <si>
    <t>GPS1</t>
  </si>
  <si>
    <t>MRPL39</t>
  </si>
  <si>
    <t>AAMP</t>
  </si>
  <si>
    <t>RMDN2</t>
  </si>
  <si>
    <t>ATG4B</t>
  </si>
  <si>
    <t>WDFY1</t>
  </si>
  <si>
    <t>TSSC4</t>
  </si>
  <si>
    <t>OARD1</t>
  </si>
  <si>
    <t>SMARCAL1</t>
  </si>
  <si>
    <t>ARF4</t>
  </si>
  <si>
    <t>CCDC58</t>
  </si>
  <si>
    <t>PPIH</t>
  </si>
  <si>
    <t>NDUFAF7</t>
  </si>
  <si>
    <t>MTMR14</t>
  </si>
  <si>
    <t>HARS2</t>
  </si>
  <si>
    <t>L2HGDH</t>
  </si>
  <si>
    <t>RCC1</t>
  </si>
  <si>
    <t>RPL24</t>
  </si>
  <si>
    <t>DNAJB2</t>
  </si>
  <si>
    <t>LBR</t>
  </si>
  <si>
    <t>DHRS2</t>
  </si>
  <si>
    <t>UBE2H</t>
  </si>
  <si>
    <t>IFIT1</t>
  </si>
  <si>
    <t>CXADR</t>
  </si>
  <si>
    <t>HNRNPAB</t>
  </si>
  <si>
    <t>AMACR</t>
  </si>
  <si>
    <t>OCIAD1</t>
  </si>
  <si>
    <t>RBM47</t>
  </si>
  <si>
    <t>LEMD2</t>
  </si>
  <si>
    <t>HSD17B11</t>
  </si>
  <si>
    <t>PSMG4</t>
  </si>
  <si>
    <t>SEPT11</t>
  </si>
  <si>
    <t>RNASET2</t>
  </si>
  <si>
    <t>VWA8</t>
  </si>
  <si>
    <t>C15orf38-AP3S2</t>
  </si>
  <si>
    <t>SLC39A14</t>
  </si>
  <si>
    <t>STMN2</t>
  </si>
  <si>
    <t>KIAA0146</t>
  </si>
  <si>
    <t>TCEB1</t>
  </si>
  <si>
    <t>RPL30</t>
  </si>
  <si>
    <t>DMTN</t>
  </si>
  <si>
    <t>CHCHD7</t>
  </si>
  <si>
    <t>AP3B1</t>
  </si>
  <si>
    <t>NUDT18</t>
  </si>
  <si>
    <t>SKP1</t>
  </si>
  <si>
    <t>MTDH</t>
  </si>
  <si>
    <t>DCTN6</t>
  </si>
  <si>
    <t>COPS6</t>
  </si>
  <si>
    <t>AP3D1</t>
  </si>
  <si>
    <t>ASAH1</t>
  </si>
  <si>
    <t>TNIP1</t>
  </si>
  <si>
    <t>TACC2</t>
  </si>
  <si>
    <t>SYNE1</t>
  </si>
  <si>
    <t>SEC24C</t>
  </si>
  <si>
    <t>TOM1</t>
  </si>
  <si>
    <t>PDXDC1</t>
  </si>
  <si>
    <t>TANK</t>
  </si>
  <si>
    <t>POLR1C</t>
  </si>
  <si>
    <t>KIAA0196</t>
  </si>
  <si>
    <t>ACIN1</t>
  </si>
  <si>
    <t>FAM91A1</t>
  </si>
  <si>
    <t>ITSN1</t>
  </si>
  <si>
    <t>HMGB3</t>
  </si>
  <si>
    <t>PCM1</t>
  </si>
  <si>
    <t>RBMS1</t>
  </si>
  <si>
    <t>BZW2</t>
  </si>
  <si>
    <t>CSNK2A1</t>
  </si>
  <si>
    <t>GTF2F1</t>
  </si>
  <si>
    <t>NUP54</t>
  </si>
  <si>
    <t>CYFIP2</t>
  </si>
  <si>
    <t>RPE</t>
  </si>
  <si>
    <t>SEPT10</t>
  </si>
  <si>
    <t>EXOC6</t>
  </si>
  <si>
    <t>PDHX</t>
  </si>
  <si>
    <t>COG1</t>
  </si>
  <si>
    <t>EIF2B5</t>
  </si>
  <si>
    <t>UBR7</t>
  </si>
  <si>
    <t>HNRNPH1</t>
  </si>
  <si>
    <t>ARHGEF7</t>
  </si>
  <si>
    <t>IBTK</t>
  </si>
  <si>
    <t>AR</t>
  </si>
  <si>
    <t>DIAPH1</t>
  </si>
  <si>
    <t>ST7</t>
  </si>
  <si>
    <t>NUP155</t>
  </si>
  <si>
    <t>CEP170B</t>
  </si>
  <si>
    <t>EGFR</t>
  </si>
  <si>
    <t>PPP2R5D</t>
  </si>
  <si>
    <t>AAK1</t>
  </si>
  <si>
    <t>PPIG</t>
  </si>
  <si>
    <t>TNS1</t>
  </si>
  <si>
    <t>MGEA5</t>
  </si>
  <si>
    <t>FAM13A</t>
  </si>
  <si>
    <t>TSN</t>
  </si>
  <si>
    <t>MED22</t>
  </si>
  <si>
    <t>PRDX3</t>
  </si>
  <si>
    <t>CLEC3B</t>
  </si>
  <si>
    <t>LARS2</t>
  </si>
  <si>
    <t>POLR2D</t>
  </si>
  <si>
    <t>SSFA2</t>
  </si>
  <si>
    <t>GLI1</t>
  </si>
  <si>
    <t>STX17</t>
  </si>
  <si>
    <t>TXNRD1</t>
  </si>
  <si>
    <t>UBXN1</t>
  </si>
  <si>
    <t>CYHR1</t>
  </si>
  <si>
    <t>ZCCHC11</t>
  </si>
  <si>
    <t>EEF1D</t>
  </si>
  <si>
    <t>SNX15</t>
  </si>
  <si>
    <t>PARP10</t>
  </si>
  <si>
    <t>SORL1</t>
  </si>
  <si>
    <t>PRMT1</t>
  </si>
  <si>
    <t>TRAPPC4</t>
  </si>
  <si>
    <t>TTC9C</t>
  </si>
  <si>
    <t>PPIE</t>
  </si>
  <si>
    <t>HYOU1</t>
  </si>
  <si>
    <t>NEDD8-MDP1</t>
  </si>
  <si>
    <t>MTFR1L</t>
  </si>
  <si>
    <t>NPEPPS</t>
  </si>
  <si>
    <t>USP47</t>
  </si>
  <si>
    <t>CLNS1A</t>
  </si>
  <si>
    <t>FAM118B</t>
  </si>
  <si>
    <t>DRAP1</t>
  </si>
  <si>
    <t>TPD52L1</t>
  </si>
  <si>
    <t>STX5</t>
  </si>
  <si>
    <t>CD59</t>
  </si>
  <si>
    <t>RPL8</t>
  </si>
  <si>
    <t>ANO1</t>
  </si>
  <si>
    <t>CHID1</t>
  </si>
  <si>
    <t>ZC3H11A</t>
  </si>
  <si>
    <t>PDE4DIP</t>
  </si>
  <si>
    <t>PPP6R3</t>
  </si>
  <si>
    <t>MAPK3</t>
  </si>
  <si>
    <t>ACP2</t>
  </si>
  <si>
    <t>RPS6KA1</t>
  </si>
  <si>
    <t>C11orf58</t>
  </si>
  <si>
    <t>TUBGCP2</t>
  </si>
  <si>
    <t>CPNE1</t>
  </si>
  <si>
    <t>XPO4</t>
  </si>
  <si>
    <t>ESYT2</t>
  </si>
  <si>
    <t>TSEN15</t>
  </si>
  <si>
    <t>ADA</t>
  </si>
  <si>
    <t>CCDC53</t>
  </si>
  <si>
    <t>WNK1</t>
  </si>
  <si>
    <t>SMAD5</t>
  </si>
  <si>
    <t>CHD4</t>
  </si>
  <si>
    <t>TRMT112</t>
  </si>
  <si>
    <t>SUCLA2</t>
  </si>
  <si>
    <t>C8B</t>
  </si>
  <si>
    <t>RPS6KA3</t>
  </si>
  <si>
    <t>STRN4</t>
  </si>
  <si>
    <t>OTUB1</t>
  </si>
  <si>
    <t>PXN</t>
  </si>
  <si>
    <t>MED15</t>
  </si>
  <si>
    <t>CD163</t>
  </si>
  <si>
    <t>TRIM21</t>
  </si>
  <si>
    <t>TPD52</t>
  </si>
  <si>
    <t>SEC23IP</t>
  </si>
  <si>
    <t>GLTP</t>
  </si>
  <si>
    <t>RAB35</t>
  </si>
  <si>
    <t>TXNRD2</t>
  </si>
  <si>
    <t>LRBA</t>
  </si>
  <si>
    <t>STARD10</t>
  </si>
  <si>
    <t>FMO3</t>
  </si>
  <si>
    <t>UACA</t>
  </si>
  <si>
    <t>KIAA1715</t>
  </si>
  <si>
    <t>TJP3</t>
  </si>
  <si>
    <t>XAB2</t>
  </si>
  <si>
    <t>HMBS</t>
  </si>
  <si>
    <t>SEC23A</t>
  </si>
  <si>
    <t>TSG101</t>
  </si>
  <si>
    <t>KPNA6</t>
  </si>
  <si>
    <t>PEX14</t>
  </si>
  <si>
    <t>CYP3A5</t>
  </si>
  <si>
    <t>HDAC4</t>
  </si>
  <si>
    <t>CLASP2</t>
  </si>
  <si>
    <t>LARS</t>
  </si>
  <si>
    <t>FARSB</t>
  </si>
  <si>
    <t>AIDA</t>
  </si>
  <si>
    <t>WBP11</t>
  </si>
  <si>
    <t>MGST1</t>
  </si>
  <si>
    <t>OGDH</t>
  </si>
  <si>
    <t>TRAP1</t>
  </si>
  <si>
    <t>XRCC1</t>
  </si>
  <si>
    <t>MVK</t>
  </si>
  <si>
    <t>EPN2</t>
  </si>
  <si>
    <t>SIPA1</t>
  </si>
  <si>
    <t>PDE12</t>
  </si>
  <si>
    <t>SMARCA1</t>
  </si>
  <si>
    <t>HS1BP3</t>
  </si>
  <si>
    <t>PPP3R1</t>
  </si>
  <si>
    <t>ATP7B</t>
  </si>
  <si>
    <t>ATXN2</t>
  </si>
  <si>
    <t>CSRP2</t>
  </si>
  <si>
    <t>METTL7A</t>
  </si>
  <si>
    <t>RPLP0</t>
  </si>
  <si>
    <t>SLC38A4</t>
  </si>
  <si>
    <t>METAP2</t>
  </si>
  <si>
    <t>SCYL2</t>
  </si>
  <si>
    <t>NFYB</t>
  </si>
  <si>
    <t>DENR</t>
  </si>
  <si>
    <t>COQ5</t>
  </si>
  <si>
    <t>MON2</t>
  </si>
  <si>
    <t>OAS1</t>
  </si>
  <si>
    <t>CDK4</t>
  </si>
  <si>
    <t>NACA</t>
  </si>
  <si>
    <t>C17orf49</t>
  </si>
  <si>
    <t>BTD</t>
  </si>
  <si>
    <t>MYL6</t>
  </si>
  <si>
    <t>APTX</t>
  </si>
  <si>
    <t>MAP3K2</t>
  </si>
  <si>
    <t>GMPS</t>
  </si>
  <si>
    <t>GOLIM4</t>
  </si>
  <si>
    <t>RPL10</t>
  </si>
  <si>
    <t>FAM21A</t>
  </si>
  <si>
    <t>HOMER2</t>
  </si>
  <si>
    <t>VEZT</t>
  </si>
  <si>
    <t>TIA1</t>
  </si>
  <si>
    <t>ABLIM1</t>
  </si>
  <si>
    <t>RTN4</t>
  </si>
  <si>
    <t>GAPVD1</t>
  </si>
  <si>
    <t>CCDC93</t>
  </si>
  <si>
    <t>NEK7</t>
  </si>
  <si>
    <t>F10</t>
  </si>
  <si>
    <t>IPO11</t>
  </si>
  <si>
    <t>DLGAP4</t>
  </si>
  <si>
    <t>CPSF6</t>
  </si>
  <si>
    <t>PCBP2</t>
  </si>
  <si>
    <t>CASP1</t>
  </si>
  <si>
    <t>LIN7C</t>
  </si>
  <si>
    <t>DIS3</t>
  </si>
  <si>
    <t>LOH12CR1</t>
  </si>
  <si>
    <t>ZCRB1</t>
  </si>
  <si>
    <t>ASPG</t>
  </si>
  <si>
    <t>METTL10</t>
  </si>
  <si>
    <t>RNASE1</t>
  </si>
  <si>
    <t>MYO5A</t>
  </si>
  <si>
    <t>DCAF8</t>
  </si>
  <si>
    <t>ATXN3</t>
  </si>
  <si>
    <t>HNRNPC</t>
  </si>
  <si>
    <t>CHD2</t>
  </si>
  <si>
    <t>CTAGE5</t>
  </si>
  <si>
    <t>ARID1B</t>
  </si>
  <si>
    <t>PAPOLA</t>
  </si>
  <si>
    <t>CFI</t>
  </si>
  <si>
    <t>MRPS22</t>
  </si>
  <si>
    <t>FNDC3A</t>
  </si>
  <si>
    <t>WIPI1</t>
  </si>
  <si>
    <t>PDIA3</t>
  </si>
  <si>
    <t>COBLL1</t>
  </si>
  <si>
    <t>PUS1</t>
  </si>
  <si>
    <t>MIA3</t>
  </si>
  <si>
    <t>RPL35</t>
  </si>
  <si>
    <t>PXDC1</t>
  </si>
  <si>
    <t>EIF4G2</t>
  </si>
  <si>
    <t>IMPDH2</t>
  </si>
  <si>
    <t>NBAS</t>
  </si>
  <si>
    <t>GSE1</t>
  </si>
  <si>
    <t>UFM1</t>
  </si>
  <si>
    <t>RASAL2</t>
  </si>
  <si>
    <t>PYCRL</t>
  </si>
  <si>
    <t>GOLGA4</t>
  </si>
  <si>
    <t>TOP3B</t>
  </si>
  <si>
    <t>CPEB2</t>
  </si>
  <si>
    <t>WDR26</t>
  </si>
  <si>
    <t>PCBD2</t>
  </si>
  <si>
    <t>MAN2B2</t>
  </si>
  <si>
    <t>TACC1</t>
  </si>
  <si>
    <t>IMPA1</t>
  </si>
  <si>
    <t>STIM1</t>
  </si>
  <si>
    <t>MRPL49</t>
  </si>
  <si>
    <t>PPP5C</t>
  </si>
  <si>
    <t>C11orf31</t>
  </si>
  <si>
    <t>SSSCA1</t>
  </si>
  <si>
    <t>PUM1</t>
  </si>
  <si>
    <t>RPS2</t>
  </si>
  <si>
    <t>SMPD1</t>
  </si>
  <si>
    <t>FRG1B</t>
  </si>
  <si>
    <t>LAMTOR1</t>
  </si>
  <si>
    <t>PPOX</t>
  </si>
  <si>
    <t>REXO2</t>
  </si>
  <si>
    <t>ARHGDIB</t>
  </si>
  <si>
    <t>NAP1L1</t>
  </si>
  <si>
    <t>RAB3IP</t>
  </si>
  <si>
    <t>R3HDM2</t>
  </si>
  <si>
    <t>IDH3A</t>
  </si>
  <si>
    <t>TRIP4</t>
  </si>
  <si>
    <t>SHF</t>
  </si>
  <si>
    <t>GMPR2</t>
  </si>
  <si>
    <t>ANXA2</t>
  </si>
  <si>
    <t>ANP32A</t>
  </si>
  <si>
    <t>C15orf57</t>
  </si>
  <si>
    <t>WDR61</t>
  </si>
  <si>
    <t>AKR7A2</t>
  </si>
  <si>
    <t>NOL3</t>
  </si>
  <si>
    <t>AKTIP</t>
  </si>
  <si>
    <t>PRMT7</t>
  </si>
  <si>
    <t>MPI</t>
  </si>
  <si>
    <t>MACF1</t>
  </si>
  <si>
    <t>TRAPPC2L</t>
  </si>
  <si>
    <t>CDAN1</t>
  </si>
  <si>
    <t>RNF166</t>
  </si>
  <si>
    <t>KLHDC4</t>
  </si>
  <si>
    <t>EDC3</t>
  </si>
  <si>
    <t>COG8</t>
  </si>
  <si>
    <t>hCG_2044799</t>
  </si>
  <si>
    <t>ZFYVE19</t>
  </si>
  <si>
    <t>UBFD1</t>
  </si>
  <si>
    <t>PPCDC</t>
  </si>
  <si>
    <t>EIF3C</t>
  </si>
  <si>
    <t>HEXA</t>
  </si>
  <si>
    <t>LRRC57</t>
  </si>
  <si>
    <t>EARS2</t>
  </si>
  <si>
    <t>BCKDK</t>
  </si>
  <si>
    <t>RPL4</t>
  </si>
  <si>
    <t>ARL2BP</t>
  </si>
  <si>
    <t>COMMD4</t>
  </si>
  <si>
    <t>SP1</t>
  </si>
  <si>
    <t>LGALS8</t>
  </si>
  <si>
    <t>TPRN</t>
  </si>
  <si>
    <t>CYP2D6</t>
  </si>
  <si>
    <t>MKI67IP</t>
  </si>
  <si>
    <t>GTF3C3</t>
  </si>
  <si>
    <t>ZNF259</t>
  </si>
  <si>
    <t>NHEJ1</t>
  </si>
  <si>
    <t>UHRF1BP1</t>
  </si>
  <si>
    <t>CC2D1B</t>
  </si>
  <si>
    <t>NOL7</t>
  </si>
  <si>
    <t>GCA</t>
  </si>
  <si>
    <t>SDCCAG3</t>
  </si>
  <si>
    <t>CWF19L2</t>
  </si>
  <si>
    <t>GNS</t>
  </si>
  <si>
    <t>BUD13</t>
  </si>
  <si>
    <t>ARID4A</t>
  </si>
  <si>
    <t>MBNL1</t>
  </si>
  <si>
    <t>IAH1</t>
  </si>
  <si>
    <t>GCOM1</t>
  </si>
  <si>
    <t>SPAG7</t>
  </si>
  <si>
    <t>GOSR2</t>
  </si>
  <si>
    <t>ELP5</t>
  </si>
  <si>
    <t>CLUH</t>
  </si>
  <si>
    <t>CIC</t>
  </si>
  <si>
    <t>EIF5A</t>
  </si>
  <si>
    <t>RPS15A</t>
  </si>
  <si>
    <t>TOM1L1</t>
  </si>
  <si>
    <t>NFKBIB</t>
  </si>
  <si>
    <t>NPC2</t>
  </si>
  <si>
    <t>PSMD9</t>
  </si>
  <si>
    <t>TBC1D8B</t>
  </si>
  <si>
    <t>ANKRD44</t>
  </si>
  <si>
    <t>GTF2A1</t>
  </si>
  <si>
    <t>CCS</t>
  </si>
  <si>
    <t>EIF3M</t>
  </si>
  <si>
    <t>SEC16A</t>
  </si>
  <si>
    <t>SIPA1L1</t>
  </si>
  <si>
    <t>NUP98</t>
  </si>
  <si>
    <t>FAM21C</t>
  </si>
  <si>
    <t>PROX1</t>
  </si>
  <si>
    <t>PRG4</t>
  </si>
  <si>
    <t>SYNJ1</t>
  </si>
  <si>
    <t>FAM83H</t>
  </si>
  <si>
    <t>MPST</t>
  </si>
  <si>
    <t>GBA</t>
  </si>
  <si>
    <t>PPP2R5E</t>
  </si>
  <si>
    <t>COBL</t>
  </si>
  <si>
    <t>MRPS7</t>
  </si>
  <si>
    <t>GGA3</t>
  </si>
  <si>
    <t>MPRIP</t>
  </si>
  <si>
    <t>HN1</t>
  </si>
  <si>
    <t>ARHGDIA</t>
  </si>
  <si>
    <t>RPL23</t>
  </si>
  <si>
    <t>NEB</t>
  </si>
  <si>
    <t>FAM213B</t>
  </si>
  <si>
    <t>SMARCE1</t>
  </si>
  <si>
    <t>SRSF2</t>
  </si>
  <si>
    <t>SCO1</t>
  </si>
  <si>
    <t>SNRPN</t>
  </si>
  <si>
    <t>SNRPD1</t>
  </si>
  <si>
    <t>NUP85</t>
  </si>
  <si>
    <t>ALDH3A2</t>
  </si>
  <si>
    <t>RSL1D1</t>
  </si>
  <si>
    <t>BUB3</t>
  </si>
  <si>
    <t>CRBN</t>
  </si>
  <si>
    <t>C17orf75</t>
  </si>
  <si>
    <t>HYI</t>
  </si>
  <si>
    <t>MBD3</t>
  </si>
  <si>
    <t>WBP2</t>
  </si>
  <si>
    <t>SMAD4</t>
  </si>
  <si>
    <t>RPS15</t>
  </si>
  <si>
    <t>hCG_27535</t>
  </si>
  <si>
    <t>AP1M1</t>
  </si>
  <si>
    <t>H3F3B</t>
  </si>
  <si>
    <t>NAGS</t>
  </si>
  <si>
    <t>LONP1</t>
  </si>
  <si>
    <t>PPL</t>
  </si>
  <si>
    <t>CIRBP</t>
  </si>
  <si>
    <t>PSMG2</t>
  </si>
  <si>
    <t>PRODH2</t>
  </si>
  <si>
    <t>UBXN6</t>
  </si>
  <si>
    <t>C19orf12</t>
  </si>
  <si>
    <t>HDHD2</t>
  </si>
  <si>
    <t>APOC1</t>
  </si>
  <si>
    <t>EIF3K</t>
  </si>
  <si>
    <t>RAD23A</t>
  </si>
  <si>
    <t>SARS2</t>
  </si>
  <si>
    <t>PAF1</t>
  </si>
  <si>
    <t>ZC3H4</t>
  </si>
  <si>
    <t>DTNA</t>
  </si>
  <si>
    <t>ARHGEF18</t>
  </si>
  <si>
    <t>RPS5</t>
  </si>
  <si>
    <t>BABAM1</t>
  </si>
  <si>
    <t>PIH1D1</t>
  </si>
  <si>
    <t>RELA</t>
  </si>
  <si>
    <t>POLD3</t>
  </si>
  <si>
    <t>FBXW2</t>
  </si>
  <si>
    <t>DKFZp686F13224</t>
  </si>
  <si>
    <t>PPIA</t>
  </si>
  <si>
    <t>FLNA</t>
  </si>
  <si>
    <t>TUBB</t>
  </si>
  <si>
    <t>MOV10</t>
  </si>
  <si>
    <t>RHOC</t>
  </si>
  <si>
    <t>FIG4</t>
  </si>
  <si>
    <t>HMGN5</t>
  </si>
  <si>
    <t>GMEB2</t>
  </si>
  <si>
    <t>VPS16</t>
  </si>
  <si>
    <t>STAU1</t>
  </si>
  <si>
    <t>PEX19</t>
  </si>
  <si>
    <t>RALY</t>
  </si>
  <si>
    <t>PSMF1</t>
  </si>
  <si>
    <t>AGER</t>
  </si>
  <si>
    <t>SH3BGRL3</t>
  </si>
  <si>
    <t>SRSF11</t>
  </si>
  <si>
    <t>ITIH2</t>
  </si>
  <si>
    <t>AGO1</t>
  </si>
  <si>
    <t>TAF4</t>
  </si>
  <si>
    <t>TPM2</t>
  </si>
  <si>
    <t>CUTC</t>
  </si>
  <si>
    <t>C6orf106</t>
  </si>
  <si>
    <t>DYNLT1</t>
  </si>
  <si>
    <t>ADAMTS4</t>
  </si>
  <si>
    <t>RPP30</t>
  </si>
  <si>
    <t>DKFZp313H139</t>
  </si>
  <si>
    <t>Em:AP000351.3</t>
  </si>
  <si>
    <t>RECQL5</t>
  </si>
  <si>
    <t>CSNK1A1</t>
  </si>
  <si>
    <t>LGMN</t>
  </si>
  <si>
    <t>TXNDC5</t>
  </si>
  <si>
    <t>WASF3</t>
  </si>
  <si>
    <t>PTK2</t>
  </si>
  <si>
    <t>RPS21</t>
  </si>
  <si>
    <t>LGALS9</t>
  </si>
  <si>
    <t>ETF1</t>
  </si>
  <si>
    <t>POLD4</t>
  </si>
  <si>
    <t>MYO5B</t>
  </si>
  <si>
    <t>CDH1</t>
  </si>
  <si>
    <t>PSMD8</t>
  </si>
  <si>
    <t>BMI1</t>
  </si>
  <si>
    <t>YTHDF3</t>
  </si>
  <si>
    <t>S100A6</t>
  </si>
  <si>
    <t>DENND4C</t>
  </si>
  <si>
    <t>AMFR</t>
  </si>
  <si>
    <t>PSMC3</t>
  </si>
  <si>
    <t>Ubiquitin-like modifier-activating enzyme 6</t>
  </si>
  <si>
    <t>UHRF1-binding protein 1-like</t>
  </si>
  <si>
    <t>Shootin-1</t>
  </si>
  <si>
    <t>Uncharacterized protein C1orf226</t>
  </si>
  <si>
    <t>Uncharacterized protein C17orf89</t>
  </si>
  <si>
    <t>Pleckstrin homology domain-containing family G member 3</t>
  </si>
  <si>
    <t>Isoform 2 of O-acetyl-ADP-ribose deacetylase MACROD2</t>
  </si>
  <si>
    <t>Isoform 2 of Fucose mutarotase</t>
  </si>
  <si>
    <t>Isoform 2 of Isoprenoid synthase domain-containing protein</t>
  </si>
  <si>
    <t>Isoform 2 of WD repeat-containing protein 91</t>
  </si>
  <si>
    <t>Isoform 2 of CCR4-NOT transcription complex subunit 1</t>
  </si>
  <si>
    <t>Putative L-aspartate dehydrogenase</t>
  </si>
  <si>
    <t>Paralemmin-3</t>
  </si>
  <si>
    <t>Phosphoglycolate phosphatase</t>
  </si>
  <si>
    <t>UPF0600 protein C5orf51</t>
  </si>
  <si>
    <t>RCC1 domain-containing protein 1</t>
  </si>
  <si>
    <t>Protein unc-119 homolog B</t>
  </si>
  <si>
    <t>Glyoxalase domain-containing protein 5</t>
  </si>
  <si>
    <t>Putative lipoyltransferase 2, mitochondrial</t>
  </si>
  <si>
    <t>Coiled-coil domain-containing protein 85C</t>
  </si>
  <si>
    <t>Purkinje cell protein 4-like protein 1</t>
  </si>
  <si>
    <t>Tetratricopeptide repeat protein 36</t>
  </si>
  <si>
    <t>LYR motif-containing protein 9</t>
  </si>
  <si>
    <t>Nucleoside diphosphate-linked moiety X motif 19, mitochondrial</t>
  </si>
  <si>
    <t>Espin</t>
  </si>
  <si>
    <t>Rab GTPase-activating protein 1-like, isoform 10</t>
  </si>
  <si>
    <t>Protein phosphatase 1 regulatory subunit 3G</t>
  </si>
  <si>
    <t>Putative WAS protein family homolog 3</t>
  </si>
  <si>
    <t>Insulin, isoform 2</t>
  </si>
  <si>
    <t>Isoform 2 of UBX domain-containing protein 8</t>
  </si>
  <si>
    <t>Thymidine kinase 2, mitochondrial</t>
  </si>
  <si>
    <t>PDZ and LIM domain protein 1</t>
  </si>
  <si>
    <t>Isoform 4 of Cytosolic acyl coenzyme A thioester hydrolase</t>
  </si>
  <si>
    <t>Isoform SNAP-23b of Synaptosomal-associated protein 23</t>
  </si>
  <si>
    <t>AH receptor-interacting protein</t>
  </si>
  <si>
    <t>26S proteasome non-ATPase regulatory subunit 11</t>
  </si>
  <si>
    <t>26S proteasome non-ATPase regulatory subunit 12</t>
  </si>
  <si>
    <t>Copper transport protein ATOX1</t>
  </si>
  <si>
    <t>Isoform 2 of Transcription elongation factor SPT5</t>
  </si>
  <si>
    <t>DNA fragmentation factor subunit alpha</t>
  </si>
  <si>
    <t>Chloride intracellular channel protein 1</t>
  </si>
  <si>
    <t>Neural Wiskott-Aldrich syndrome protein</t>
  </si>
  <si>
    <t>Importin-5</t>
  </si>
  <si>
    <t>Isoform 3 of Dynamin-1-like protein</t>
  </si>
  <si>
    <t>RNA 3-terminal phosphate cyclase</t>
  </si>
  <si>
    <t>Phosphatidylinositol 3-kinase regulatory subunit beta</t>
  </si>
  <si>
    <t>Beta-mannosidase</t>
  </si>
  <si>
    <t>Exocyst complex component 5</t>
  </si>
  <si>
    <t>High mobility group nucleosome-binding domain-containing protein 4</t>
  </si>
  <si>
    <t>26S proteasome non-ATPase regulatory subunit 14</t>
  </si>
  <si>
    <t>Isoform II2 of Myc box-dependent-interacting protein 1</t>
  </si>
  <si>
    <t>Importin subunit alpha-3</t>
  </si>
  <si>
    <t>Ladinin-1</t>
  </si>
  <si>
    <t>von Willebrand factor A domain-containing protein 5A</t>
  </si>
  <si>
    <t>Nucleolar protein 56</t>
  </si>
  <si>
    <t>ATP-dependent RNA helicase DDX3X</t>
  </si>
  <si>
    <t>Pirin</t>
  </si>
  <si>
    <t>Importin subunit alpha-4</t>
  </si>
  <si>
    <t>Serine/threonine-protein phosphatase 6 catalytic subunit</t>
  </si>
  <si>
    <t>Cocaine esterase</t>
  </si>
  <si>
    <t>Lysosomal alpha-mannosidase</t>
  </si>
  <si>
    <t>Fructose-1,6-bisphosphatase isozyme 2</t>
  </si>
  <si>
    <t>Acetyl-CoA carboxylase 2</t>
  </si>
  <si>
    <t>Pyridoxal kinase</t>
  </si>
  <si>
    <t>AT-rich interactive domain-containing protein 1A</t>
  </si>
  <si>
    <t>TRAF-type zinc finger domain-containing protein 1</t>
  </si>
  <si>
    <t>Acyl carrier protein, mitochondrial</t>
  </si>
  <si>
    <t>Isoform 3 of Citron Rho-interacting kinase</t>
  </si>
  <si>
    <t>Coatomer subunit epsilon</t>
  </si>
  <si>
    <t>Histone-lysine N-methyltransferase MLL2</t>
  </si>
  <si>
    <t>Isoform 2 of Inositol monophosphatase 2</t>
  </si>
  <si>
    <t>Acyl-coenzyme A thioesterase 8</t>
  </si>
  <si>
    <t>Programmed cell death protein 5</t>
  </si>
  <si>
    <t>Protein arginine N-methyltransferase 5</t>
  </si>
  <si>
    <t>Na(+)/H(+) exchange regulatory cofactor NHE-RF1</t>
  </si>
  <si>
    <t>17-beta-hydroxysteroid dehydrogenase type 6</t>
  </si>
  <si>
    <t>Fucose-1-phosphate guanylyltransferase</t>
  </si>
  <si>
    <t>Isoform 2 of Tripeptidyl-peptidase 1</t>
  </si>
  <si>
    <t>Isoform 2 of Transcription elongation regulator 1</t>
  </si>
  <si>
    <t>Isoform 2 of Transportin-2</t>
  </si>
  <si>
    <t>Proteasome subunit alpha type-7</t>
  </si>
  <si>
    <t>Secretory carrier-associated membrane protein 3</t>
  </si>
  <si>
    <t>Phytanoyl-CoA dioxygenase, peroxisomal</t>
  </si>
  <si>
    <t>5-oxoprolinase</t>
  </si>
  <si>
    <t>Interferon-induced protein with tetratricopeptide repeats 3</t>
  </si>
  <si>
    <t>Interferon regulatory factor 6</t>
  </si>
  <si>
    <t>Tax1-binding protein 3</t>
  </si>
  <si>
    <t>PDZ domain-containing protein GIPC1</t>
  </si>
  <si>
    <t>Histone acetyltransferase type B catalytic subunit</t>
  </si>
  <si>
    <t>Ubiquitin/ISG15-conjugating enzyme E2 L6</t>
  </si>
  <si>
    <t>Isoform 3 of Peripheral plasma membrane protein CASK</t>
  </si>
  <si>
    <t>Hepatocyte growth factor-regulated tyrosine kinase substrate</t>
  </si>
  <si>
    <t>Protein phosphatase 1 regulatory subunit 12A</t>
  </si>
  <si>
    <t>Cyclin-G-associated kinase</t>
  </si>
  <si>
    <t>Isoform 3 of Heterogeneous nuclear ribonucleoprotein D-like</t>
  </si>
  <si>
    <t>Exportin-1</t>
  </si>
  <si>
    <t>Spectrin beta chain, non-erythrocytic 2</t>
  </si>
  <si>
    <t>Isoform 2 of Microtubule-associated serine/threonine-protein kinase 4</t>
  </si>
  <si>
    <t>Phosphoribosylformylglycinamidine synthase</t>
  </si>
  <si>
    <t>Serine/threonine-protein phosphatase 6 regulatory ankyrin repeat subunit A</t>
  </si>
  <si>
    <t>Rho guanine nucleotide exchange factor 11</t>
  </si>
  <si>
    <t>Actin-related protein 2/3 complex subunit 1B</t>
  </si>
  <si>
    <t>Actin-related protein 2/3 complex subunit 2</t>
  </si>
  <si>
    <t>Actin-related protein 2/3 complex subunit 3</t>
  </si>
  <si>
    <t>Membrane-associated progesterone receptor component 2</t>
  </si>
  <si>
    <t>Prefoldin subunit 6</t>
  </si>
  <si>
    <t>Glutathione S-transferase A4</t>
  </si>
  <si>
    <t>Isoform 3 of Kynurenine 3-monooxygenase</t>
  </si>
  <si>
    <t>Peroxisomal acyl-coenzyme A oxidase 3</t>
  </si>
  <si>
    <t>Isoform 1 of UDP-N-acetylglucosamine--peptide N-acetylglucosaminyltransferase 110 kDa subunit</t>
  </si>
  <si>
    <t>Phosphomannomutase 2</t>
  </si>
  <si>
    <t>Protein phosphatase 1G</t>
  </si>
  <si>
    <t>Eukaryotic translation initiation factor 3 subunit H</t>
  </si>
  <si>
    <t>Histone deacetylase 3</t>
  </si>
  <si>
    <t>Branched-chain-amino-acid aminotransferase, mitochondrial</t>
  </si>
  <si>
    <t>Importin-8</t>
  </si>
  <si>
    <t>Isoform 2 of Syntaxin-7</t>
  </si>
  <si>
    <t>DNA-directed RNA polymerase I subunit RPA34</t>
  </si>
  <si>
    <t>Isoform Delta of Glycogenin-2</t>
  </si>
  <si>
    <t>Synaptobrevin homolog YKT6</t>
  </si>
  <si>
    <t>Actin-related protein 2/3 complex subunit 5</t>
  </si>
  <si>
    <t>RING finger protein 113A</t>
  </si>
  <si>
    <t>Putative pre-mRNA-splicing factor ATP-dependent RNA helicase DHX15</t>
  </si>
  <si>
    <t>mRNA cap guanine-N7 methyltransferase</t>
  </si>
  <si>
    <t>Isoform 2 of E3 ubiquitin-protein ligase Praja-2</t>
  </si>
  <si>
    <t>D-3-phosphoglycerate dehydrogenase</t>
  </si>
  <si>
    <t>Isoform 5 of Septin-4</t>
  </si>
  <si>
    <t>Cytoplasmic dynein 1 light intermediate chain 2</t>
  </si>
  <si>
    <t>26S proteasome non-ATPase regulatory subunit 3</t>
  </si>
  <si>
    <t>Bifunctional 3-phosphoadenosine 5-phosphosulfate synthase 1</t>
  </si>
  <si>
    <t>U4/U6.U5 tri-snRNP-associated protein 1</t>
  </si>
  <si>
    <t>Isoform 3 of Metastasis suppressor protein 1</t>
  </si>
  <si>
    <t>Isoform 2 of Inositol hexakisphosphate and diphosphoinositol-pentakisphosphate kinase 2</t>
  </si>
  <si>
    <t>Isoform 1A of Mitogen-activated protein kinase kinase kinase 7</t>
  </si>
  <si>
    <t>LYR motif-containing protein 1</t>
  </si>
  <si>
    <t>Heterogeneous nuclear ribonucleoprotein R</t>
  </si>
  <si>
    <t>Thioredoxin-like protein 1</t>
  </si>
  <si>
    <t>Tumor protein D54</t>
  </si>
  <si>
    <t>Isoform 3 of ERI1 exoribonuclease 3</t>
  </si>
  <si>
    <t>Eukaryotic translation initiation factor 4 gamma 3</t>
  </si>
  <si>
    <t>Serine protease HTRA2, mitochondrial</t>
  </si>
  <si>
    <t>Isoform 3 of Band 4.1-like protein 2</t>
  </si>
  <si>
    <t>Isoform TGN46 of Trans-Golgi network integral membrane protein 2</t>
  </si>
  <si>
    <t>Isoform 3 of Regulator of G-protein signaling 14</t>
  </si>
  <si>
    <t>Exportin-T</t>
  </si>
  <si>
    <t>2-deoxynucleoside 5-phosphate N-hydrolase 1</t>
  </si>
  <si>
    <t>Mitochondrial import inner membrane translocase subunit TIM44</t>
  </si>
  <si>
    <t>Isoform 2 of Trafficking protein particle complex subunit 3</t>
  </si>
  <si>
    <t>Charged multivesicular body protein 2a</t>
  </si>
  <si>
    <t>Isoform 2 of Zinc finger protein 207</t>
  </si>
  <si>
    <t>NADH dehydrogenase [ubiquinone] 1 alpha subcomplex subunit 2</t>
  </si>
  <si>
    <t>ATPase ASNA1</t>
  </si>
  <si>
    <t>Sulfotransferase family cytosolic 1B member 1</t>
  </si>
  <si>
    <t>Alpha-actinin-4</t>
  </si>
  <si>
    <t>Maleylacetoacetate isomerase</t>
  </si>
  <si>
    <t>TP53-regulated inhibitor of apoptosis 1</t>
  </si>
  <si>
    <t>Glutamyl-tRNA(Gln) amidotransferase subunit C, mitochondrial</t>
  </si>
  <si>
    <t>HIV Tat-specific factor 1</t>
  </si>
  <si>
    <t>5-AMP-activated protein kinase subunit beta-2</t>
  </si>
  <si>
    <t>AP-1 complex subunit gamma-1</t>
  </si>
  <si>
    <t>Small glutamine-rich tetratricopeptide repeat-containing protein alpha</t>
  </si>
  <si>
    <t>Isoform 2 of Lipoyl synthase, mitochondrial</t>
  </si>
  <si>
    <t>Isoform 2 of Alpha-endosulfine</t>
  </si>
  <si>
    <t>Asparagine--tRNA ligase, cytoplasmic</t>
  </si>
  <si>
    <t>Isoform 2 of Unconventional myosin-Ib</t>
  </si>
  <si>
    <t>Sjoegren syndrome nuclear autoantigen 1</t>
  </si>
  <si>
    <t>Cleavage and polyadenylation specificity factor subunit 5</t>
  </si>
  <si>
    <t>LanC-like protein 1</t>
  </si>
  <si>
    <t>Isoform 2 of Striatin</t>
  </si>
  <si>
    <t>Isoform 4 of Hyaluronidase-3</t>
  </si>
  <si>
    <t>Isocitrate dehydrogenase [NAD] subunit beta, mitochondrial</t>
  </si>
  <si>
    <t>Nardilysin</t>
  </si>
  <si>
    <t>Calumenin</t>
  </si>
  <si>
    <t>Putative adenosylhomocysteinase 2</t>
  </si>
  <si>
    <t>Growth arrest-specific protein 2</t>
  </si>
  <si>
    <t>Double-strand-break repair protein rad21 homolog</t>
  </si>
  <si>
    <t>Aldo-keto reductase family 1 member B10</t>
  </si>
  <si>
    <t>Mitochondrial import inner membrane translocase subunit Tim8 A</t>
  </si>
  <si>
    <t>Putative pre-mRNA-splicing factor ATP-dependent RNA helicase DHX16</t>
  </si>
  <si>
    <t>Perilipin-1</t>
  </si>
  <si>
    <t>Phosphoribosyl pyrophosphate synthase-associated protein 2</t>
  </si>
  <si>
    <t>Isoform 5 of E3 ubiquitin-protein ligase parkin</t>
  </si>
  <si>
    <t>Isoform 4 of C-Jun-amino-terminal kinase-interacting protein 4</t>
  </si>
  <si>
    <t>Lysine-specific histone demethylase 1A</t>
  </si>
  <si>
    <t>Isoform 2 of TBC1 domain family member 4</t>
  </si>
  <si>
    <t>Non-syndromic hearing impairment protein 5</t>
  </si>
  <si>
    <t>Sorting nexin-3</t>
  </si>
  <si>
    <t>Isoform Beta of Vinexin</t>
  </si>
  <si>
    <t>Isoform 2 of Heterogeneous nuclear ribonucleoprotein Q</t>
  </si>
  <si>
    <t>Ran-binding protein 6</t>
  </si>
  <si>
    <t>Isoform 2 of GDP-mannose 4,6 dehydratase</t>
  </si>
  <si>
    <t>Glycylpeptide N-tetradecanoyltransferase 2</t>
  </si>
  <si>
    <t>15 kDa selenoprotein</t>
  </si>
  <si>
    <t>Isoform 3 of Exocyst complex component 3</t>
  </si>
  <si>
    <t>Isoform 4 of Perilipin-3</t>
  </si>
  <si>
    <t>Cell cycle checkpoint protein RAD1</t>
  </si>
  <si>
    <t>UDP-glucose 6-dehydrogenase</t>
  </si>
  <si>
    <t>Isoform 1A of Catenin delta-1</t>
  </si>
  <si>
    <t>Sorting nexin-2</t>
  </si>
  <si>
    <t>General vesicular transport factor p115</t>
  </si>
  <si>
    <t>Coiled-coil domain-containing protein 22</t>
  </si>
  <si>
    <t>Isoform 2 of Polyglutamine-binding protein 1</t>
  </si>
  <si>
    <t>Eukaryotic translation initiation factor 5B</t>
  </si>
  <si>
    <t>Endothelial differentiation-related factor 1</t>
  </si>
  <si>
    <t>DnaJ homolog subfamily A member 2</t>
  </si>
  <si>
    <t>Bromodomain-containing protein 4</t>
  </si>
  <si>
    <t>Prefoldin subunit 1</t>
  </si>
  <si>
    <t>Protein phosphatase 1 regulatory subunit 11</t>
  </si>
  <si>
    <t>Nibrin</t>
  </si>
  <si>
    <t>Isoform 3 of Carboxyl-terminal PDZ ligand of neuronal nitric oxide synthase protein</t>
  </si>
  <si>
    <t>Isoform 2 of Protein CBFA2T3</t>
  </si>
  <si>
    <t>WD repeat-containing protein 1</t>
  </si>
  <si>
    <t>Rho-associated protein kinase 2</t>
  </si>
  <si>
    <t>Copine-3</t>
  </si>
  <si>
    <t>Huntingtin-interacting protein 1-related protein</t>
  </si>
  <si>
    <t>E3 ubiquitin-protein ligase BRE1B</t>
  </si>
  <si>
    <t>Lysine-specific demethylase PHF2</t>
  </si>
  <si>
    <t>Isoform 2 of Cullin-associated NEDD8-dissociated protein 2</t>
  </si>
  <si>
    <t>DnaJ homolog subfamily C member 13</t>
  </si>
  <si>
    <t>Isoform 4 of Serine/threonine-protein phosphatase 6 regulatory subunit 2</t>
  </si>
  <si>
    <t>CCR4-NOT transcription complex subunit 3</t>
  </si>
  <si>
    <t>Calcium-responsive transactivator</t>
  </si>
  <si>
    <t>Isoform 6 of Ankyrin repeat domain-containing protein 17</t>
  </si>
  <si>
    <t>Xylulose kinase</t>
  </si>
  <si>
    <t>Ubiquinone biosynthesis protein COQ9, mitochondrial</t>
  </si>
  <si>
    <t>Gamma-glutamylcyclotransferase</t>
  </si>
  <si>
    <t>Protein NipSnap homolog 2</t>
  </si>
  <si>
    <t>Programmed cell death protein 6</t>
  </si>
  <si>
    <t>Tubulin-specific chaperone A</t>
  </si>
  <si>
    <t>V-type proton ATPase subunit G 1</t>
  </si>
  <si>
    <t>Vacuolar protein sorting-associated protein 4B</t>
  </si>
  <si>
    <t>Ectonucleoside triphosphate diphosphohydrolase 5</t>
  </si>
  <si>
    <t>SH3 domain-binding glutamic acid-rich-like protein</t>
  </si>
  <si>
    <t>Isoform 8 of Filamin-B</t>
  </si>
  <si>
    <t>Nuclear receptor corepressor 1</t>
  </si>
  <si>
    <t>NADH dehydrogenase [ubiquinone] iron-sulfur protein 6, mitochondrial</t>
  </si>
  <si>
    <t>Vesicle-trafficking protein SEC22b</t>
  </si>
  <si>
    <t>Isoform 2 of Pre-mRNA-processing factor 40 homolog A</t>
  </si>
  <si>
    <t>Isoform 2 of Nucleoside diphosphate kinase 6</t>
  </si>
  <si>
    <t>Vacuolar protein sorting-associated protein 26A</t>
  </si>
  <si>
    <t>Mitochondrial-processing peptidase subunit beta</t>
  </si>
  <si>
    <t>Retinol dehydrogenase 16</t>
  </si>
  <si>
    <t>PC4 and SFRS1-interacting protein</t>
  </si>
  <si>
    <t>Ceroid-lipofuscinosis neuronal protein 5</t>
  </si>
  <si>
    <t>Heat shock factor-binding protein 1</t>
  </si>
  <si>
    <t>Isoform 2 of Enoyl-CoA delta isomerase 2, mitochondrial</t>
  </si>
  <si>
    <t>Barrier-to-autointegration factor</t>
  </si>
  <si>
    <t>Splicing factor 3B subunit 1</t>
  </si>
  <si>
    <t>Cold shock domain-containing protein E1</t>
  </si>
  <si>
    <t>Peptide chain release factor 1, mitochondrial</t>
  </si>
  <si>
    <t>2-amino-3-ketobutyrate coenzyme A ligase, mitochondrial</t>
  </si>
  <si>
    <t>Nucleoplasmin-3</t>
  </si>
  <si>
    <t>Isoform 2 of Acyl-protein thioesterase 1</t>
  </si>
  <si>
    <t>Protein CREG1</t>
  </si>
  <si>
    <t>U5 small nuclear ribonucleoprotein 200 kDa helicase</t>
  </si>
  <si>
    <t>Mitochondrial tRNA-specific 2-thiouridylase 1</t>
  </si>
  <si>
    <t>TIP41-like protein</t>
  </si>
  <si>
    <t>Protein phosphatase 1B</t>
  </si>
  <si>
    <t>Protein XRP2</t>
  </si>
  <si>
    <t>Transcription elongation factor A protein 3</t>
  </si>
  <si>
    <t>Isoform 2 of Ribonuclease P protein subunit p40</t>
  </si>
  <si>
    <t>Eukaryotic translation initiation factor 3 subunit G</t>
  </si>
  <si>
    <t>Eukaryotic translation initiation factor 3 subunit J</t>
  </si>
  <si>
    <t>Isocitrate dehydrogenase [NADP] cytoplasmic</t>
  </si>
  <si>
    <t>Isoform 3 of Attractin</t>
  </si>
  <si>
    <t>Putative hydrolase RBBP9</t>
  </si>
  <si>
    <t>Signal transducing adapter molecule 2</t>
  </si>
  <si>
    <t>Cytosolic 10-formyltetrahydrofolate dehydrogenase</t>
  </si>
  <si>
    <t>Tumor suppressor candidate 2</t>
  </si>
  <si>
    <t>Cyclin-K</t>
  </si>
  <si>
    <t>Pre-mRNA-splicing factor SPF27</t>
  </si>
  <si>
    <t>Isoform 3 of Dynactin subunit 3</t>
  </si>
  <si>
    <t>Gamma-butyrobetaine dioxygenase</t>
  </si>
  <si>
    <t>DnaJ homolog subfamily C member 8</t>
  </si>
  <si>
    <t>Survival of motor neuron-related-splicing factor 30</t>
  </si>
  <si>
    <t>Isoform 3 of Multiple PDZ domain protein</t>
  </si>
  <si>
    <t>Carboxypeptidase D</t>
  </si>
  <si>
    <t>Glutaredoxin-3</t>
  </si>
  <si>
    <t>ATP-dependent Clp protease ATP-binding subunit clpX-like, mitochondrial</t>
  </si>
  <si>
    <t>SEC14-like protein 2</t>
  </si>
  <si>
    <t>Probable cytosolic iron-sulfur protein assembly protein CIAO1</t>
  </si>
  <si>
    <t>Signal recognition particle subunit SRP72</t>
  </si>
  <si>
    <t>N(G),N(G)-dimethylarginine dimethylaminohydrolase 1</t>
  </si>
  <si>
    <t>Unconventional prefoldin RPB5 interactor 1</t>
  </si>
  <si>
    <t>Metastasis-associated protein MTA2</t>
  </si>
  <si>
    <t>Isoform 4 of Retinal dehydrogenase 2</t>
  </si>
  <si>
    <t>Serine/threonine-protein kinase 10</t>
  </si>
  <si>
    <t>Tubulin polymerization-promoting protein</t>
  </si>
  <si>
    <t>Ubiquitin-like protein ATG12</t>
  </si>
  <si>
    <t>Kelch repeat and BTB domain-containing protein 11</t>
  </si>
  <si>
    <t>Mitochondrial import receptor subunit TOM70</t>
  </si>
  <si>
    <t>Importin-13</t>
  </si>
  <si>
    <t>Isoform 5 of Protein-methionine sulfoxide oxidase MICAL2</t>
  </si>
  <si>
    <t>Protein transport protein Sec24D</t>
  </si>
  <si>
    <t>E3 UFM1-protein ligase 1</t>
  </si>
  <si>
    <t>Isoform 12 of Sorbin and SH3 domain-containing protein 2</t>
  </si>
  <si>
    <t>FERM, RhoGEF and pleckstrin domain-containing protein 2</t>
  </si>
  <si>
    <t>UBX domain-containing protein 7</t>
  </si>
  <si>
    <t>Proline synthase co-transcribed bacterial homolog protein</t>
  </si>
  <si>
    <t>Isoform 2 of Actin-binding LIM protein 3</t>
  </si>
  <si>
    <t>Isoform 7 of Ubiquitin carboxyl-terminal hydrolase 19</t>
  </si>
  <si>
    <t>Isoform 2 of AP-2 complex subunit alpha-2</t>
  </si>
  <si>
    <t>AP-2 complex subunit alpha-2</t>
  </si>
  <si>
    <t>Isoform 3 of Protein transport protein Sec31A</t>
  </si>
  <si>
    <t>Protein HEXIM1</t>
  </si>
  <si>
    <t>Arf-GAP domain and FG repeat-containing protein 2</t>
  </si>
  <si>
    <t>Isoform 3 of Splicing factor, arginine/serine-rich 15</t>
  </si>
  <si>
    <t>Aflatoxin B1 aldehyde reductase member 3</t>
  </si>
  <si>
    <t>Isoform 3 of Ubiquitin conjugation factor E4 B</t>
  </si>
  <si>
    <t>Elongator complex protein 1</t>
  </si>
  <si>
    <t>LETM1 and EF-hand domain-containing protein 1, mitochondrial</t>
  </si>
  <si>
    <t>Starch-binding domain-containing protein 1</t>
  </si>
  <si>
    <t>Isoform 2 of Zinc finger Ran-binding domain-containing protein 2</t>
  </si>
  <si>
    <t>Sorting nexin-4</t>
  </si>
  <si>
    <t>Luc7-like protein 3</t>
  </si>
  <si>
    <t>Isoform 3 of Methyl-CpG-binding domain protein 4</t>
  </si>
  <si>
    <t>Isoform 2 of Histone acetyltransferase KAT7</t>
  </si>
  <si>
    <t>Isoform 7 of Laforin</t>
  </si>
  <si>
    <t>Vesicle-associated membrane protein-associated protein B/C</t>
  </si>
  <si>
    <t>6-phosphogluconolactonase</t>
  </si>
  <si>
    <t>Bifunctional 3-phosphoadenosine 5-phosphosulfate synthase 2</t>
  </si>
  <si>
    <t>Ubiquitin-like modifier-activating enzyme ATG7</t>
  </si>
  <si>
    <t>Phenylalanine--tRNA ligase, mitochondrial</t>
  </si>
  <si>
    <t>Acyl-protein thioesterase 2</t>
  </si>
  <si>
    <t>Importin-7</t>
  </si>
  <si>
    <t>E3 ubiquitin-protein ligase ARIH2</t>
  </si>
  <si>
    <t>Phosphoacetylglucosamine mutase</t>
  </si>
  <si>
    <t>Adenylyltransferase and sulfurtransferase MOCS3</t>
  </si>
  <si>
    <t>Urotensin-2</t>
  </si>
  <si>
    <t>CD2 antigen cytoplasmic tail-binding protein 2</t>
  </si>
  <si>
    <t>Isoform 2 of Supervillin</t>
  </si>
  <si>
    <t>Activator of 90 kDa heat shock protein ATPase homolog 1</t>
  </si>
  <si>
    <t>Isoform 2 of Poly(A)-specific ribonuclease PARN</t>
  </si>
  <si>
    <t>Isoform 2 of Proteasome assembly chaperone 1</t>
  </si>
  <si>
    <t>GDH/6PGL endoplasmic bifunctional protein</t>
  </si>
  <si>
    <t>Protein transport protein Sec24A</t>
  </si>
  <si>
    <t>Isoform 2 of Protein transport protein Sec24B</t>
  </si>
  <si>
    <t>Pantetheinase</t>
  </si>
  <si>
    <t>NAD kinase</t>
  </si>
  <si>
    <t>Isoform 3 of Tyrosyl-DNA phosphodiesterase 2</t>
  </si>
  <si>
    <t>Protein ETHE1, mitochondrial</t>
  </si>
  <si>
    <t>Isoform 5 of CCR4-NOT transcription complex subunit 4</t>
  </si>
  <si>
    <t>STAM-binding protein</t>
  </si>
  <si>
    <t>Isoform 2 of N-acetylserotonin O-methyltransferase-like protein</t>
  </si>
  <si>
    <t>Isoform 2 of FGFR1 oncogene partner</t>
  </si>
  <si>
    <t>Synaptosomal-associated protein 29</t>
  </si>
  <si>
    <t>Serine/threonine-protein kinase</t>
  </si>
  <si>
    <t>Heat shock 70 kDa protein 4L</t>
  </si>
  <si>
    <t>N-alpha-acetyltransferase 38, NatC auxiliary subunit</t>
  </si>
  <si>
    <t>Isoform B of AP-2 complex subunit alpha-1</t>
  </si>
  <si>
    <t>BAG family molecular chaperone regulator 3</t>
  </si>
  <si>
    <t>Malonyl-CoA decarboxylase, mitochondrial</t>
  </si>
  <si>
    <t>Quinone oxidoreductase-like protein 1</t>
  </si>
  <si>
    <t>Isoform 3 of Apoptosis-inducing factor 1, mitochondrial</t>
  </si>
  <si>
    <t>Echinoderm microtubule-associated protein-like 2</t>
  </si>
  <si>
    <t>N(G),N(G)-dimethylarginine dimethylaminohydrolase 2</t>
  </si>
  <si>
    <t>Thioredoxin domain-containing protein 12</t>
  </si>
  <si>
    <t>Formimidoyltransferase-cyclodeaminase</t>
  </si>
  <si>
    <t>Diphosphoinositol polyphosphate phosphohydrolase 1</t>
  </si>
  <si>
    <t>B-cell lymphoma/leukemia 10</t>
  </si>
  <si>
    <t>Molybdopterin synthase catalytic subunit</t>
  </si>
  <si>
    <t>Actin-like protein 6A</t>
  </si>
  <si>
    <t>Molybdopterin synthase sulfur carrier subunit</t>
  </si>
  <si>
    <t>Alcohol dehydrogenase 1B</t>
  </si>
  <si>
    <t>Alcohol dehydrogenase 1C</t>
  </si>
  <si>
    <t>L-lactate dehydrogenase A chain</t>
  </si>
  <si>
    <t>Retinal dehydrogenase 1</t>
  </si>
  <si>
    <t>Dihydrofolate reductase</t>
  </si>
  <si>
    <t>Isoform 2 of NADH-cytochrome b5 reductase 3</t>
  </si>
  <si>
    <t>Isoform Cytoplasmic of Glutathione reductase, mitochondrial</t>
  </si>
  <si>
    <t>Phenylalanine-4-hydroxylase</t>
  </si>
  <si>
    <t>Ceruloplasmin</t>
  </si>
  <si>
    <t>Ornithine carbamoyltransferase, mitochondrial</t>
  </si>
  <si>
    <t>Purine nucleoside phosphorylase</t>
  </si>
  <si>
    <t>Hypoxanthine-guanine phosphoribosyltransferase</t>
  </si>
  <si>
    <t>Aspartate aminotransferase, mitochondrial</t>
  </si>
  <si>
    <t>Phosphoglycerate kinase 1</t>
  </si>
  <si>
    <t>Adenylate kinase isoenzyme 1</t>
  </si>
  <si>
    <t>Prothrombin</t>
  </si>
  <si>
    <t>Complement C1r subcomponent</t>
  </si>
  <si>
    <t>Haptoglobin</t>
  </si>
  <si>
    <t>Coagulation factor IX</t>
  </si>
  <si>
    <t>Plasminogen</t>
  </si>
  <si>
    <t>Coagulation factor XII</t>
  </si>
  <si>
    <t>Argininosuccinate synthase</t>
  </si>
  <si>
    <t>Alpha-1-antitrypsin</t>
  </si>
  <si>
    <t>Alpha-1-antichymotrypsin</t>
  </si>
  <si>
    <t>Angiotensinogen</t>
  </si>
  <si>
    <t>Alpha-2-macroglobulin</t>
  </si>
  <si>
    <t>Complement C3</t>
  </si>
  <si>
    <t>Cystatin-A</t>
  </si>
  <si>
    <t>Isoform LMW of Kininogen-1</t>
  </si>
  <si>
    <t>GTPase NRas</t>
  </si>
  <si>
    <t>Isoform 2B of GTPase KRas</t>
  </si>
  <si>
    <t>Ig heavy chain V-I region HG3</t>
  </si>
  <si>
    <t>Ig heavy chain V-III region TIL</t>
  </si>
  <si>
    <t>Ig kappa chain C region</t>
  </si>
  <si>
    <t>Ig gamma-1 chain C region</t>
  </si>
  <si>
    <t>Ig gamma-2 chain C region</t>
  </si>
  <si>
    <t>Ig gamma-3 chain C region</t>
  </si>
  <si>
    <t>Ig mu chain C region</t>
  </si>
  <si>
    <t>Ig alpha-1 chain C region</t>
  </si>
  <si>
    <t>Ig alpha-2 chain C region</t>
  </si>
  <si>
    <t>Isoform 2 of Collagen alpha-1(IV) chain</t>
  </si>
  <si>
    <t>Keratin, type I cytoskeletal 14</t>
  </si>
  <si>
    <t>Keratin, type II cytoskeletal 6A</t>
  </si>
  <si>
    <t>Prelamin-A/C</t>
  </si>
  <si>
    <t>Apolipoprotein A-I</t>
  </si>
  <si>
    <t>Apolipoprotein E</t>
  </si>
  <si>
    <t>Apolipoprotein A-II</t>
  </si>
  <si>
    <t>Apolipoprotein C-III</t>
  </si>
  <si>
    <t>Isoform 2 of Fibrinogen alpha chain</t>
  </si>
  <si>
    <t>Fibrinogen beta chain</t>
  </si>
  <si>
    <t>Isoform Gamma-A of Fibrinogen gamma chain</t>
  </si>
  <si>
    <t>Serum amyloid P-component</t>
  </si>
  <si>
    <t>Complement component C9</t>
  </si>
  <si>
    <t>Beta-2-glycoprotein 1</t>
  </si>
  <si>
    <t>Leucine-rich alpha-2-glycoprotein</t>
  </si>
  <si>
    <t>Isoform 12 of Fibronectin</t>
  </si>
  <si>
    <t>Protein AMBP</t>
  </si>
  <si>
    <t>Alpha-1-acid glycoprotein 1</t>
  </si>
  <si>
    <t>Alpha-2-HS-glycoprotein</t>
  </si>
  <si>
    <t>Transthyretin</t>
  </si>
  <si>
    <t>Alpha-fetoprotein</t>
  </si>
  <si>
    <t>Vitamin D-binding protein</t>
  </si>
  <si>
    <t>Hemopexin</t>
  </si>
  <si>
    <t>Ferritin light chain</t>
  </si>
  <si>
    <t>Ferritin heavy chain</t>
  </si>
  <si>
    <t>Metallothionein-2</t>
  </si>
  <si>
    <t>Angiogenin</t>
  </si>
  <si>
    <t>C4b-binding protein alpha chain</t>
  </si>
  <si>
    <t>Vitronectin</t>
  </si>
  <si>
    <t>Tissue alpha-L-fucosidase</t>
  </si>
  <si>
    <t>Cystatin-B</t>
  </si>
  <si>
    <t>Annexin A1</t>
  </si>
  <si>
    <t>Apolipoprotein B-100</t>
  </si>
  <si>
    <t>Isoform GR-A beta of Glucocorticoid receptor</t>
  </si>
  <si>
    <t>Superoxide dismutase [Mn], mitochondrial</t>
  </si>
  <si>
    <t>Ornithine aminotransferase, mitochondrial</t>
  </si>
  <si>
    <t>Histidine-rich glycoprotein</t>
  </si>
  <si>
    <t>Ig kappa chain V-III region GOL</t>
  </si>
  <si>
    <t>Isoform 2 of Alpha-1B-glycoprotein</t>
  </si>
  <si>
    <t>Alpha-1B-glycoprotein</t>
  </si>
  <si>
    <t>Keratin, type II cytoskeletal 1</t>
  </si>
  <si>
    <t>Isoform 2 of Glyceraldehyde-3-phosphate dehydrogenase</t>
  </si>
  <si>
    <t>Glyceraldehyde-3-phosphate dehydrogenase</t>
  </si>
  <si>
    <t>Argininosuccinate lyase</t>
  </si>
  <si>
    <t>Calpain small subunit 1</t>
  </si>
  <si>
    <t>Metallothionein-1A</t>
  </si>
  <si>
    <t>Metallothionein-1E</t>
  </si>
  <si>
    <t>Metallothionein-1F</t>
  </si>
  <si>
    <t>Heat shock protein beta-1</t>
  </si>
  <si>
    <t>Guanine nucleotide-binding protein G(i) subunit alpha-2</t>
  </si>
  <si>
    <t>Fructose-bisphosphate aldolase B</t>
  </si>
  <si>
    <t>Arginase-1</t>
  </si>
  <si>
    <t>Apolipoprotein D</t>
  </si>
  <si>
    <t>Aldehyde dehydrogenase, mitochondrial</t>
  </si>
  <si>
    <t>Protein S100-A8</t>
  </si>
  <si>
    <t>Non-histone chromosomal protein HMG-14</t>
  </si>
  <si>
    <t>ADP/ATP translocase 2</t>
  </si>
  <si>
    <t>Plasma serine protease inhibitor</t>
  </si>
  <si>
    <t>Plasma protease C1 inhibitor</t>
  </si>
  <si>
    <t>Ubiquitin-like protein ISG15</t>
  </si>
  <si>
    <t>Isoform H14 of Myeloperoxidase</t>
  </si>
  <si>
    <t>Propionyl-CoA carboxylase alpha chain, mitochondrial</t>
  </si>
  <si>
    <t>Propionyl-CoA carboxylase beta chain, mitochondrial</t>
  </si>
  <si>
    <t>Cytochrome P450 1A2</t>
  </si>
  <si>
    <t>Cytochrome P450 2E1</t>
  </si>
  <si>
    <t>Eukaryotic translation initiation factor 2 subunit 1</t>
  </si>
  <si>
    <t>Non-histone chromosomal protein HMG-17</t>
  </si>
  <si>
    <t>60S acidic ribosomal protein P1</t>
  </si>
  <si>
    <t>60S acidic ribosomal protein P2</t>
  </si>
  <si>
    <t>Lupus La protein</t>
  </si>
  <si>
    <t>Thyroxine-binding globulin</t>
  </si>
  <si>
    <t>Heparin cofactor 2</t>
  </si>
  <si>
    <t>Keratin, type I cytoskeletal 18</t>
  </si>
  <si>
    <t>Keratin, type II cytoskeletal 8</t>
  </si>
  <si>
    <t>Isoform MLC3 of Myosin light chain 1/3, skeletal muscle isoform</t>
  </si>
  <si>
    <t>Uroporphyrinogen decarboxylase</t>
  </si>
  <si>
    <t>Alpha-galactosidase A</t>
  </si>
  <si>
    <t>ATP synthase subunit beta, mitochondrial</t>
  </si>
  <si>
    <t>Protein S100-A9</t>
  </si>
  <si>
    <t>Apolipoprotein A-IV</t>
  </si>
  <si>
    <t>Eukaryotic translation initiation factor 4E</t>
  </si>
  <si>
    <t>Alpha-enolase</t>
  </si>
  <si>
    <t>Isoform 2 of Glycogen phosphorylase, liver form</t>
  </si>
  <si>
    <t>Glucose-6-phosphate isomerase</t>
  </si>
  <si>
    <t>Nucleophosmin</t>
  </si>
  <si>
    <t>Isoform 2 of Tropomyosin alpha-3 chain</t>
  </si>
  <si>
    <t>Isoform 5 of Tropomyosin alpha-3 chain</t>
  </si>
  <si>
    <t>Epoxide hydrolase 1</t>
  </si>
  <si>
    <t>Acyl-CoA-binding protein</t>
  </si>
  <si>
    <t>Fatty acid-binding protein, liver</t>
  </si>
  <si>
    <t>L-lactate dehydrogenase B chain</t>
  </si>
  <si>
    <t>Glutathione peroxidase 1</t>
  </si>
  <si>
    <t>Protein disulfide-isomerase</t>
  </si>
  <si>
    <t>Isoform 2 of Histone H1.0</t>
  </si>
  <si>
    <t>Isoform 3 of Asialoglycoprotein receptor 2</t>
  </si>
  <si>
    <t>Acylphosphatase-1</t>
  </si>
  <si>
    <t>Alcohol dehydrogenase 1A</t>
  </si>
  <si>
    <t>Complement component C8 alpha chain</t>
  </si>
  <si>
    <t>Complement component C8 gamma chain</t>
  </si>
  <si>
    <t>Calpain-1 catalytic subunit</t>
  </si>
  <si>
    <t>Metallothionein-1B</t>
  </si>
  <si>
    <t>Proactivator polypeptide</t>
  </si>
  <si>
    <t>Beta-hexosaminidase subunit beta</t>
  </si>
  <si>
    <t>Cathepsin L1</t>
  </si>
  <si>
    <t>Profilin-1</t>
  </si>
  <si>
    <t>Bisphosphoglycerate mutase</t>
  </si>
  <si>
    <t>Adenine phosphoribosyltransferase</t>
  </si>
  <si>
    <t>Bifunctional glutamate/proline--tRNA ligase</t>
  </si>
  <si>
    <t>Cathepsin B</t>
  </si>
  <si>
    <t>Heat shock protein HSP 90-alpha</t>
  </si>
  <si>
    <t>Galactose-1-phosphate uridylyltransferase</t>
  </si>
  <si>
    <t>Tyrosine-protein kinase Yes</t>
  </si>
  <si>
    <t>Isoform Cytoplasmic of Fumarate hydratase, mitochondrial</t>
  </si>
  <si>
    <t>Thrombospondin-1</t>
  </si>
  <si>
    <t>Heat shock 70 kDa protein 1A/1B</t>
  </si>
  <si>
    <t>Collagen alpha-2(I) chain</t>
  </si>
  <si>
    <t>Isoform 2 of Annexin A6</t>
  </si>
  <si>
    <t>Corticosteroid-binding globulin</t>
  </si>
  <si>
    <t>Beta-glucuronidase</t>
  </si>
  <si>
    <t>Heat shock protein HSP 90-beta</t>
  </si>
  <si>
    <t>Isoform 2 of Signal recognition particle receptor subunit alpha</t>
  </si>
  <si>
    <t>Alcohol dehydrogenase 4</t>
  </si>
  <si>
    <t>Apolipoprotein(a)</t>
  </si>
  <si>
    <t>Isoform 3 of Pyruvate dehydrogenase E1 component subunit alpha, somatic form, mitochondrial</t>
  </si>
  <si>
    <t>Monocyte differentiation antigen CD14</t>
  </si>
  <si>
    <t>U2 small nuclear ribonucleoprotein B</t>
  </si>
  <si>
    <t>Complement factor H</t>
  </si>
  <si>
    <t>Isoform 2 of U1 small nuclear ribonucleoprotein 70 kDa</t>
  </si>
  <si>
    <t>Isoform 1 of Nuclear factor 1 C-type</t>
  </si>
  <si>
    <t>Vimentin</t>
  </si>
  <si>
    <t>Cytochrome P450 3A4</t>
  </si>
  <si>
    <t>Alpha-2-antiplasmin</t>
  </si>
  <si>
    <t>Keratin, type I cytoskeletal 19</t>
  </si>
  <si>
    <t>Keratin, type II cytoskeletal 7</t>
  </si>
  <si>
    <t>U1 small nuclear ribonucleoprotein A</t>
  </si>
  <si>
    <t>3-ketoacyl-CoA thiolase, peroxisomal</t>
  </si>
  <si>
    <t>Signal recognition particle 19 kDa protein</t>
  </si>
  <si>
    <t>Glutathione S-transferase A2</t>
  </si>
  <si>
    <t>U1 small nuclear ribonucleoprotein C</t>
  </si>
  <si>
    <t>Villin-1</t>
  </si>
  <si>
    <t>Galectin-1</t>
  </si>
  <si>
    <t>Dihydropteridine reductase</t>
  </si>
  <si>
    <t>High mobility group protein B1</t>
  </si>
  <si>
    <t>Fructose-1,6-bisphosphatase 1</t>
  </si>
  <si>
    <t>Isoform 3 of Tropomyosin alpha-1 chain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</si>
  <si>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</si>
  <si>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</si>
  <si>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</si>
  <si>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</si>
  <si>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Heme oxygenase 1</t>
  </si>
  <si>
    <t>Dihydrolipoyl dehydrogenase, mitochondrial</t>
  </si>
  <si>
    <t>Isoform 2 of Heterogeneous nuclear ribonucleoprotein A1</t>
  </si>
  <si>
    <t>U2 small nuclear ribonucleoprotein A</t>
  </si>
  <si>
    <t>Pro-cathepsin H</t>
  </si>
  <si>
    <t>Complement C1s subcomponent</t>
  </si>
  <si>
    <t>Poly [ADP-ribose] polymerase 1</t>
  </si>
  <si>
    <t>Interferon-induced protein with tetratricopeptide repeats 2</t>
  </si>
  <si>
    <t>Leukotriene A-4 hydrolase</t>
  </si>
  <si>
    <t>Fructose-bisphosphate aldolase C</t>
  </si>
  <si>
    <t>Peroxisomal coenzyme A diphosphatase NUDT7</t>
  </si>
  <si>
    <t>Complement C4-B</t>
  </si>
  <si>
    <t>CDGSH iron-sulfur domain-containing protein 3, mitochondrial</t>
  </si>
  <si>
    <t>Protein ELFN1</t>
  </si>
  <si>
    <t>Ig lambda-2 chain C regions</t>
  </si>
  <si>
    <t>Chromosome transmission fidelity protein 8 homolog isoform 2</t>
  </si>
  <si>
    <t>40S ribosomal protein S17-like</t>
  </si>
  <si>
    <t>Serum amyloid A-1 protein</t>
  </si>
  <si>
    <t>Adrenodoxin, mitochondrial</t>
  </si>
  <si>
    <t>Non-secretory ribonuclease</t>
  </si>
  <si>
    <t>Isoform 3 of 60 kDa SS-A/Ro ribonucleoprotein</t>
  </si>
  <si>
    <t>Lysosomal alpha-glucosidase</t>
  </si>
  <si>
    <t>Histone H1.4</t>
  </si>
  <si>
    <t>Dihydrolipoyllysine-residue acetyltransferase component of pyruvate dehydrogenase complex, mitochondrial</t>
  </si>
  <si>
    <t>Isoform 2 of Receptor-type tyrosine-protein phosphatase F</t>
  </si>
  <si>
    <t>Cytochrome c oxidase subunit 5B, mitochondrial</t>
  </si>
  <si>
    <t>Lysosomal protective protein</t>
  </si>
  <si>
    <t>Isoform 2 of Cytochrome P450 2C8</t>
  </si>
  <si>
    <t>cAMP-dependent protein kinase type I-alpha regulatory subunit</t>
  </si>
  <si>
    <t>Uroporphyrinogen-III synthase</t>
  </si>
  <si>
    <t>S-formylglutathione hydrolase</t>
  </si>
  <si>
    <t>60 kDa heat shock protein, mitochondrial</t>
  </si>
  <si>
    <t>Isoform 4 of Clusterin</t>
  </si>
  <si>
    <t>78 kDa glucose-regulated protein</t>
  </si>
  <si>
    <t>Laminin subunit gamma-1</t>
  </si>
  <si>
    <t>Heat shock cognate 71 kDa protein</t>
  </si>
  <si>
    <t>Isoform 4 of Protein 4.1</t>
  </si>
  <si>
    <t>Uridine 5-monophosphate synthase</t>
  </si>
  <si>
    <t>Isoform 3 of Pyruvate dehydrogenase E1 component subunit beta, mitochondrial</t>
  </si>
  <si>
    <t>Lipoamide acyltransferase component of branched-chain alpha-keto acid dehydrogenase complex, mitochondrial</t>
  </si>
  <si>
    <t>Glycogen phosphorylase, brain form</t>
  </si>
  <si>
    <t>Mannose-binding protein C</t>
  </si>
  <si>
    <t>Arylamine N-acetyltransferase 2</t>
  </si>
  <si>
    <t>Isoform 3 of Spectrin beta chain, erythrocytic</t>
  </si>
  <si>
    <t>Medium-chain specific acyl-CoA dehydrogenase, mitochondrial</t>
  </si>
  <si>
    <t>Ubiquitin-like protein 4A</t>
  </si>
  <si>
    <t>Pyruvate carboxylase, mitochondrial</t>
  </si>
  <si>
    <t>Isoform 2 of Dystrophin</t>
  </si>
  <si>
    <t>C-1-tetrahydrofolate synthase, cytoplasmic</t>
  </si>
  <si>
    <t>Cytochrome P450 2C9</t>
  </si>
  <si>
    <t>Cation-independent mannose-6-phosphate receptor</t>
  </si>
  <si>
    <t>Alcohol dehydrogenase class-3</t>
  </si>
  <si>
    <t>Ribose-phosphate pyrophosphokinase 2</t>
  </si>
  <si>
    <t>Isoform 2 of Polyadenylate-binding protein 1</t>
  </si>
  <si>
    <t>Proliferating cell nuclear antigen</t>
  </si>
  <si>
    <t>Nucleoprotein TPR</t>
  </si>
  <si>
    <t>2-oxoisovalerate dehydrogenase subunit alpha, mitochondrial</t>
  </si>
  <si>
    <t>Eosinophil cationic protein</t>
  </si>
  <si>
    <t>Alpha-actinin-1</t>
  </si>
  <si>
    <t>Xaa-Pro dipeptidase</t>
  </si>
  <si>
    <t>X-ray repair cross-complementing protein 6</t>
  </si>
  <si>
    <t>X-ray repair cross-complementing protein 5</t>
  </si>
  <si>
    <t>Cytochrome c oxidase subunit 4 isoform 1, mitochondrial</t>
  </si>
  <si>
    <t>5-aminolevulinate synthase, nonspecific, mitochondrial</t>
  </si>
  <si>
    <t>Gamma-interferon-inducible lysosomal thiol reductase</t>
  </si>
  <si>
    <t>Ribonuclease inhibitor</t>
  </si>
  <si>
    <t>Elongation factor 2</t>
  </si>
  <si>
    <t>Isoform 2 of Metallothionein-1G</t>
  </si>
  <si>
    <t>Metallothionein-1G</t>
  </si>
  <si>
    <t>Keratin, type II cytoskeletal 5</t>
  </si>
  <si>
    <t>Protein disulfide-isomerase A4</t>
  </si>
  <si>
    <t>Complement component C6</t>
  </si>
  <si>
    <t>Prolyl 4-hydroxylase subunit alpha-1</t>
  </si>
  <si>
    <t>Translationally-controlled tumor protein</t>
  </si>
  <si>
    <t>Plastin-2</t>
  </si>
  <si>
    <t>Plastin-3</t>
  </si>
  <si>
    <t>Acylamino-acid-releasing enzyme</t>
  </si>
  <si>
    <t>Electron transfer flavoprotein subunit alpha, mitochondrial</t>
  </si>
  <si>
    <t>cAMP-dependent protein kinase type II-alpha regulatory subunit</t>
  </si>
  <si>
    <t>Beta-enolase</t>
  </si>
  <si>
    <t>General transcription factor IIF subunit 2</t>
  </si>
  <si>
    <t>Macrophage migration inhibitory factor</t>
  </si>
  <si>
    <t>Isoform 2 of Glucosidase 2 subunit beta</t>
  </si>
  <si>
    <t>Hematopoietic lineage cell-specific protein</t>
  </si>
  <si>
    <t>Isoform 2 of Farnesyl pyrophosphate synthase</t>
  </si>
  <si>
    <t>Alcohol dehydrogenase [NADP(+)]</t>
  </si>
  <si>
    <t>Pyruvate kinase isozymes M1/M2</t>
  </si>
  <si>
    <t>Acylphosphatase-2</t>
  </si>
  <si>
    <t>Endoplasmin</t>
  </si>
  <si>
    <t>Insulin-degrading enzyme</t>
  </si>
  <si>
    <t>Cytochrome c oxidase subunit 6B1</t>
  </si>
  <si>
    <t>Heterogeneous nuclear ribonucleoprotein L</t>
  </si>
  <si>
    <t>Aspartate--tRNA ligase, cytoplasmic</t>
  </si>
  <si>
    <t>D-amino-acid oxidase</t>
  </si>
  <si>
    <t>Junction plakoglobin</t>
  </si>
  <si>
    <t>Glutamine synthetase</t>
  </si>
  <si>
    <t>Aldose reductase</t>
  </si>
  <si>
    <t>Aminopeptidase N</t>
  </si>
  <si>
    <t>Isoform 2 of Eukaryotic peptide chain release factor GTP-binding subunit ERF3A</t>
  </si>
  <si>
    <t>Isoform 2 of Arylsulfatase A</t>
  </si>
  <si>
    <t>Arylsulfatase A</t>
  </si>
  <si>
    <t>Ezrin</t>
  </si>
  <si>
    <t>Ubiquitin carboxyl-terminal hydrolase isozyme L3</t>
  </si>
  <si>
    <t>15-hydroxyprostaglandin dehydrogenase [NAD(+)]</t>
  </si>
  <si>
    <t>Nucleoside diphosphate kinase A</t>
  </si>
  <si>
    <t>Isoform 2 of Phosphorylase b kinase gamma catalytic chain, liver/testis isoform</t>
  </si>
  <si>
    <t>Arylsulfatase B</t>
  </si>
  <si>
    <t>Desmoplakin</t>
  </si>
  <si>
    <t>Replication protein A 32 kDa subunit</t>
  </si>
  <si>
    <t>6-phosphofructo-2-kinase/fructose-2,6-bisphosphatase 1</t>
  </si>
  <si>
    <t>Carbonyl reductase [NADPH] 1</t>
  </si>
  <si>
    <t>Short-chain specific acyl-CoA dehydrogenase, mitochondrial</t>
  </si>
  <si>
    <t>Isoform 3 of Cyclic AMP-responsive element-binding protein 1</t>
  </si>
  <si>
    <t>Isoform 3 of Beta-galactosidase</t>
  </si>
  <si>
    <t>Isoform 3 of Serine/threonine-protein phosphatase 2B catalytic subunit beta isoform</t>
  </si>
  <si>
    <t>Cytoplasmic protein NCK1</t>
  </si>
  <si>
    <t>Isoform 2 of GC-rich sequence DNA-binding factor 2</t>
  </si>
  <si>
    <t>Histone H1.5</t>
  </si>
  <si>
    <t>NADPH--cytochrome P450 reductase</t>
  </si>
  <si>
    <t>Methylated-DNA--protein-cysteine methyltransferase</t>
  </si>
  <si>
    <t>UDP-glucuronosyltransferase 2B7</t>
  </si>
  <si>
    <t>1-phosphatidylinositol 4,5-bisphosphate phosphodiesterase gamma-2</t>
  </si>
  <si>
    <t>Fumarylacetoacetase</t>
  </si>
  <si>
    <t>Stathmin</t>
  </si>
  <si>
    <t>Isoform 2 of Y-box-binding protein 3</t>
  </si>
  <si>
    <t>Zinc finger protein with KRAB and SCAN domains 1</t>
  </si>
  <si>
    <t>Alpha-N-acetylgalactosaminidase</t>
  </si>
  <si>
    <t>Heat shock 70 kDa protein 6</t>
  </si>
  <si>
    <t>Aspartate aminotransferase, cytoplasmic</t>
  </si>
  <si>
    <t>Aldo-keto reductase family 1 member C4</t>
  </si>
  <si>
    <t>Isoform 5 of Cyclic AMP-dependent transcription factor ATF-7</t>
  </si>
  <si>
    <t>cAMP-dependent protein kinase catalytic subunit alpha</t>
  </si>
  <si>
    <t>Calpain-2 catalytic subunit</t>
  </si>
  <si>
    <t>Tyrosine aminotransferase</t>
  </si>
  <si>
    <t>CTP synthase 1</t>
  </si>
  <si>
    <t>6-phosphofructokinase, liver type</t>
  </si>
  <si>
    <t>Ganglioside GM2 activator</t>
  </si>
  <si>
    <t>Galectin-3</t>
  </si>
  <si>
    <t>T-complex protein 1 subunit alpha</t>
  </si>
  <si>
    <t>Insulin-like growth factor-binding protein 2</t>
  </si>
  <si>
    <t>Isoform 1 of Vinculin</t>
  </si>
  <si>
    <t>Glutathione peroxidase 2</t>
  </si>
  <si>
    <t>Arylamine N-acetyltransferase 1</t>
  </si>
  <si>
    <t>Isoform 4 of Interleukin-1 receptor antagonist protein</t>
  </si>
  <si>
    <t>Isoform A of Protein SON</t>
  </si>
  <si>
    <t>Isoform 2 of 60S ribosomal protein L17</t>
  </si>
  <si>
    <t>Phosphoglycerate mutase 1</t>
  </si>
  <si>
    <t>Syndecan-1</t>
  </si>
  <si>
    <t>ATP synthase-coupling factor 6, mitochondrial</t>
  </si>
  <si>
    <t>Myosin regulatory light chain 12A</t>
  </si>
  <si>
    <t>1-phosphatidylinositol 4,5-bisphosphate phosphodiesterase gamma-1</t>
  </si>
  <si>
    <t>Nucleolin</t>
  </si>
  <si>
    <t>DNA-directed RNA polymerases I, II, and III subunit RPABC1</t>
  </si>
  <si>
    <t>NADH dehydrogenase [ubiquinone] flavoprotein 2, mitochondrial</t>
  </si>
  <si>
    <t>Isoform 2 of Interferon-induced, double-stranded RNA-activated protein kinase</t>
  </si>
  <si>
    <t>Spermidine synthase</t>
  </si>
  <si>
    <t>Alpha-1-acid glycoprotein 2</t>
  </si>
  <si>
    <t>Casein kinase II subunit alpha</t>
  </si>
  <si>
    <t>Inter-alpha-trypsin inhibitor heavy chain H1</t>
  </si>
  <si>
    <t>Nuclear factor NF-kappa-B p105 subunit</t>
  </si>
  <si>
    <t>Thymidine phosphorylase</t>
  </si>
  <si>
    <t>Eukaryotic translation initiation factor 2 subunit 2</t>
  </si>
  <si>
    <t>L-serine dehydratase/L-threonine deaminase</t>
  </si>
  <si>
    <t>Transcription factor BTF3</t>
  </si>
  <si>
    <t>Ras-related protein Rab-4A</t>
  </si>
  <si>
    <t>Isoform 2 of Ras-related protein Rab-6A</t>
  </si>
  <si>
    <t>DNA mismatch repair protein Msh3</t>
  </si>
  <si>
    <t>Interferon-induced GTP-binding protein Mx1</t>
  </si>
  <si>
    <t>Proteasome subunit beta type-1</t>
  </si>
  <si>
    <t>Cytochrome c oxidase subunit 5A, mitochondrial</t>
  </si>
  <si>
    <t>Lamin-B1</t>
  </si>
  <si>
    <t>Isoform 3 of Aromatic-L-amino-acid decarboxylase</t>
  </si>
  <si>
    <t>Isoform 5 of Calpastatin</t>
  </si>
  <si>
    <t>Isoform 6 of Calpastatin</t>
  </si>
  <si>
    <t>Isoform C of Hepatocyte nuclear factor 1-alpha</t>
  </si>
  <si>
    <t>Filaggrin</t>
  </si>
  <si>
    <t>N(4)-(beta-N-acetylglucosaminyl)-L-asparaginase</t>
  </si>
  <si>
    <t>Isoform 2 of Ras GTPase-activating protein 1</t>
  </si>
  <si>
    <t>Parathymosin</t>
  </si>
  <si>
    <t>Glutathione S-transferase Mu 3</t>
  </si>
  <si>
    <t>V-type proton ATPase subunit B, brain isoform</t>
  </si>
  <si>
    <t>V-type proton ATPase subunit C 1</t>
  </si>
  <si>
    <t>Cysteine and glycine-rich protein 1</t>
  </si>
  <si>
    <t>Cytoplasmic aconitate hydratase</t>
  </si>
  <si>
    <t>Serine--pyruvate aminotransferase</t>
  </si>
  <si>
    <t>Isoform 2 of Glycerol-3-phosphate dehydrogenase [NAD(+)], cytoplasmic</t>
  </si>
  <si>
    <t>Succinate dehydrogenase [ubiquinone] iron-sulfur subunit, mitochondrial</t>
  </si>
  <si>
    <t>2-oxoisovalerate dehydrogenase subunit beta, mitochondrial</t>
  </si>
  <si>
    <t>Isoform Soluble of Catechol O-methyltransferase</t>
  </si>
  <si>
    <t>Methylmalonyl-CoA mutase, mitochondrial</t>
  </si>
  <si>
    <t>Oxysterol-binding protein 1</t>
  </si>
  <si>
    <t>Protein-L-isoaspartate(D-aspartate) O-methyltransferase</t>
  </si>
  <si>
    <t>Trifunctional purine biosynthetic protein adenosine-3</t>
  </si>
  <si>
    <t>Multifunctional protein ADE2</t>
  </si>
  <si>
    <t>Isoform SCP2 of Non-specific lipid-transfer protein</t>
  </si>
  <si>
    <t>Non-specific lipid-transfer protein</t>
  </si>
  <si>
    <t>Ubiquitin-like modifier-activating enzyme 1</t>
  </si>
  <si>
    <t>Isoform 3 of Nucleoside diphosphate kinase B</t>
  </si>
  <si>
    <t>NADPH:adrenodoxin oxidoreductase, mitochondrial</t>
  </si>
  <si>
    <t>Heterogeneous nuclear ribonucleoproteins A2/B1</t>
  </si>
  <si>
    <t>MHC class II regulatory factor RFX1</t>
  </si>
  <si>
    <t>Isoform 4 of cAMP-dependent protein kinase catalytic subunit beta</t>
  </si>
  <si>
    <t>Ferrochelatase, mitochondrial</t>
  </si>
  <si>
    <t>Isoform 3 of Liver carboxylesterase 1</t>
  </si>
  <si>
    <t>Isoform B of Fibulin-1</t>
  </si>
  <si>
    <t>Transcription elongation factor A protein 1</t>
  </si>
  <si>
    <t>Splicing factor, proline- and glutamine-rich</t>
  </si>
  <si>
    <t>Peptidyl-prolyl cis-trans isomerase B</t>
  </si>
  <si>
    <t>NAD-dependent malic enzyme, mitochondrial</t>
  </si>
  <si>
    <t>Glycine dehydrogenase [decarboxylating], mitochondrial</t>
  </si>
  <si>
    <t>Tryptophan--tRNA ligase, cytoplasmic</t>
  </si>
  <si>
    <t>40S ribosomal protein S3</t>
  </si>
  <si>
    <t>Myogenic factor 6</t>
  </si>
  <si>
    <t>Glycine cleavage system H protein, mitochondrial</t>
  </si>
  <si>
    <t>Nuclear autoantigen Sp-100</t>
  </si>
  <si>
    <t>Colorectal mutant cancer protein</t>
  </si>
  <si>
    <t>Adenosylhomocysteinase</t>
  </si>
  <si>
    <t>Cofilin-1</t>
  </si>
  <si>
    <t>Eukaryotic translation initiation factor 4B</t>
  </si>
  <si>
    <t>Carnitine O-palmitoyltransferase 2, mitochondrial</t>
  </si>
  <si>
    <t>Thymidylate kinase</t>
  </si>
  <si>
    <t>Ribonucleoside-diphosphate reductase large subunit</t>
  </si>
  <si>
    <t>Myeloblastin</t>
  </si>
  <si>
    <t>Alanine aminotransferase 1</t>
  </si>
  <si>
    <t>Elongation factor 1-beta</t>
  </si>
  <si>
    <t>Low molecular weight phosphotyrosine protein phosphatase</t>
  </si>
  <si>
    <t>Acetyl-CoA acetyltransferase, mitochondrial</t>
  </si>
  <si>
    <t>Cyclin-dependent kinase 2</t>
  </si>
  <si>
    <t>Isoform Short of Adenomatous polyposis coli protein</t>
  </si>
  <si>
    <t>Zinc-alpha-2-glycoprotein</t>
  </si>
  <si>
    <t>40S ribosomal protein S12</t>
  </si>
  <si>
    <t>DnaJ homolog subfamily B member 1</t>
  </si>
  <si>
    <t>ATP synthase subunit alpha, mitochondrial</t>
  </si>
  <si>
    <t>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</si>
  <si>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</si>
  <si>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</si>
  <si>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</si>
  <si>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</si>
  <si>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Moesin</t>
  </si>
  <si>
    <t>Probable ATP-dependent RNA helicase DDX6</t>
  </si>
  <si>
    <t>DNA (cytosine-5)-methyltransferase 1</t>
  </si>
  <si>
    <t>Isoform 2 of Splicing factor U2AF 65 kDa subunit</t>
  </si>
  <si>
    <t>Isovaleryl-CoA dehydrogenase, mitochondrial</t>
  </si>
  <si>
    <t>Protein S100-A4</t>
  </si>
  <si>
    <t>High mobility group protein B2</t>
  </si>
  <si>
    <t>Polypyrimidine tract-binding protein 1</t>
  </si>
  <si>
    <t>Threonine--tRNA ligase, cytoplasmic</t>
  </si>
  <si>
    <t>Valine--tRNA ligase</t>
  </si>
  <si>
    <t>Elongation factor 1-gamma</t>
  </si>
  <si>
    <t>Peptidyl-prolyl cis-trans isomerase FKBP2</t>
  </si>
  <si>
    <t>Hepatocyte growth factor-like protein</t>
  </si>
  <si>
    <t>GTP:AMP phosphotransferase AK4, mitochondrial</t>
  </si>
  <si>
    <t>14-3-3 protein theta</t>
  </si>
  <si>
    <t>Isoform 2 of Aryl hydrocarbon receptor nuclear translocator</t>
  </si>
  <si>
    <t>Replication protein A 70 kDa DNA-binding subunit</t>
  </si>
  <si>
    <t>DNA-(apurinic or apyrimidinic site) lyase</t>
  </si>
  <si>
    <t>Calreticulin</t>
  </si>
  <si>
    <t>Isoform 6 of Microtubule-associated protein 4</t>
  </si>
  <si>
    <t>Phosphatidylinositol 3-kinase regulatory subunit alpha</t>
  </si>
  <si>
    <t>Isoform 2 of Proteasome subunit beta type-8</t>
  </si>
  <si>
    <t>Proteasome subunit alpha type-5</t>
  </si>
  <si>
    <t>Proteasome subunit beta type-4</t>
  </si>
  <si>
    <t>Proteasome subunit beta type-6</t>
  </si>
  <si>
    <t>Proteasome subunit beta type-5</t>
  </si>
  <si>
    <t>Tropomodulin-1</t>
  </si>
  <si>
    <t>Long-chain specific acyl-CoA dehydrogenase, mitochondrial</t>
  </si>
  <si>
    <t>NADH-ubiquinone oxidoreductase 75 kDa subunit, mitochondrial</t>
  </si>
  <si>
    <t>Alcohol dehydrogenase 6</t>
  </si>
  <si>
    <t>DNA polymerase delta catalytic subunit</t>
  </si>
  <si>
    <t>Mitogen-activated protein kinase 1</t>
  </si>
  <si>
    <t>DNA repair protein complementing XP-G cells</t>
  </si>
  <si>
    <t>Granulins</t>
  </si>
  <si>
    <t>Cytosol aminopeptidase</t>
  </si>
  <si>
    <t>Tripeptidyl-peptidase 2</t>
  </si>
  <si>
    <t>Tyrosine-protein phosphatase non-receptor type 6</t>
  </si>
  <si>
    <t>Isoform 7 of SHC-transforming protein 1</t>
  </si>
  <si>
    <t>Isoform 4 of DNA-3-methyladenine glycosylase</t>
  </si>
  <si>
    <t>Transketolase</t>
  </si>
  <si>
    <t>Protein PML</t>
  </si>
  <si>
    <t>Kallistatin</t>
  </si>
  <si>
    <t>Myristoylated alanine-rich C-kinase substrate</t>
  </si>
  <si>
    <t>Delta-1-pyrroline-5-carboxylate dehydrogenase, mitochondrial</t>
  </si>
  <si>
    <t>Phenazine biosynthesis-like domain-containing protein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</si>
  <si>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</si>
  <si>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</si>
  <si>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</si>
  <si>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</si>
  <si>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</si>
  <si>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</si>
  <si>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GTP cyclohydrolase 1 feedback regulatory protein</t>
  </si>
  <si>
    <t>ATP synthase subunit delta, mitochondrial</t>
  </si>
  <si>
    <t>Enoyl-CoA hydratase, mitochondrial</t>
  </si>
  <si>
    <t>UMP-CMP kinase</t>
  </si>
  <si>
    <t>Phosphatidylethanolamine-binding protein 1</t>
  </si>
  <si>
    <t>Serine/threonine-protein phosphatase 2A 65 kDa regulatory subunit A alpha isoform</t>
  </si>
  <si>
    <t>Isoform 4 of Serine/threonine-protein phosphatase 2A 65 kDa regulatory subunit A beta isoform</t>
  </si>
  <si>
    <t>Peptidyl-prolyl cis-trans isomerase F, mitochondrial</t>
  </si>
  <si>
    <t>NK-tumor recognition protein</t>
  </si>
  <si>
    <t>Glycylpeptide N-tetradecanoyltransferase 1</t>
  </si>
  <si>
    <t>Adenylosuccinate synthetase isozyme 2</t>
  </si>
  <si>
    <t>Alpha-2-macroglobulin receptor-associated protein</t>
  </si>
  <si>
    <t>Adenylosuccinate lyase</t>
  </si>
  <si>
    <t>Isoform L-type of Pyruvate kinase isozymes R/L</t>
  </si>
  <si>
    <t>Isoform 3 of CAP-Gly domain-containing linker protein 1</t>
  </si>
  <si>
    <t>Glutathione S-transferase theta-1</t>
  </si>
  <si>
    <t>Leukocyte elastase inhibitor</t>
  </si>
  <si>
    <t>GTP cyclohydrolase 1</t>
  </si>
  <si>
    <t>Aldehyde dehydrogenase X, mitochondrial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</si>
  <si>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</si>
  <si>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</si>
  <si>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</si>
  <si>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</si>
  <si>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cAMP-dependent protein kinase type I-beta regulatory subunit</t>
  </si>
  <si>
    <t>Carbamoyl-phosphate synthase [ammonia], mitochondrial</t>
  </si>
  <si>
    <t>Ribonucleoside-diphosphate reductase subunit M2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</si>
  <si>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</si>
  <si>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</si>
  <si>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</si>
  <si>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</si>
  <si>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</si>
  <si>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</si>
  <si>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</si>
  <si>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Isoform Short of 14-3-3 protein beta/alpha</t>
  </si>
  <si>
    <t>Isoform 2 of 14-3-3 protein sigma</t>
  </si>
  <si>
    <t>Stress-induced-phosphoprotein 1</t>
  </si>
  <si>
    <t>Protein S100-A11</t>
  </si>
  <si>
    <t>Peroxiredoxin-2</t>
  </si>
  <si>
    <t>Isoform 1 of Glycerol kinase</t>
  </si>
  <si>
    <t>Cytidine deaminase</t>
  </si>
  <si>
    <t>Deoxycytidylate deaminase</t>
  </si>
  <si>
    <t>Interferon-induced guanylate-binding protein 1</t>
  </si>
  <si>
    <t>Interferon-induced guanylate-binding protein 2</t>
  </si>
  <si>
    <t>Isoform 2 of ETS-related transcription factor Elf-1</t>
  </si>
  <si>
    <t>Isoform 2 of 4-hydroxyphenylpyruvate dioxygenase</t>
  </si>
  <si>
    <t>4-hydroxyphenylpyruvate dioxygenase</t>
  </si>
  <si>
    <t>Cystathionine gamma-lyase</t>
  </si>
  <si>
    <t>Long-chain-fatty-acid--CoA ligase 1</t>
  </si>
  <si>
    <t>Kinesin-1 heavy chain</t>
  </si>
  <si>
    <t>Isoform 2 of Cleavage stimulation factor subunit 2</t>
  </si>
  <si>
    <t>Lymphocyte-specific protein 1</t>
  </si>
  <si>
    <t>Isoform 2 of Deoxyuridine 5-triphosphate nucleotidohydrolase, mitochondrial</t>
  </si>
  <si>
    <t>Deoxyuridine 5-triphosphate nucleotidohydrolase, mitochondrial</t>
  </si>
  <si>
    <t>Mannosyl-oligosaccharide 1,2-alpha-mannosidase IA</t>
  </si>
  <si>
    <t>DNA replication licensing factor MCM4</t>
  </si>
  <si>
    <t>DNA replication licensing factor MCM5</t>
  </si>
  <si>
    <t>DNA replication licensing factor MCM7</t>
  </si>
  <si>
    <t>N-acetylgalactosamine-6-sulfatase</t>
  </si>
  <si>
    <t>Isoform 2 of Serine hydroxymethyltransferase, cytosolic</t>
  </si>
  <si>
    <t>Isoform 3 of Serine hydroxymethyltransferase, mitochondrial</t>
  </si>
  <si>
    <t>Bifunctional epoxide hydrolase 2</t>
  </si>
  <si>
    <t>Heat shock 70 kDa protein 4</t>
  </si>
  <si>
    <t>Isoform B of Trypsin-3</t>
  </si>
  <si>
    <t>Carbonic anhydrase 5A, mitochondrial</t>
  </si>
  <si>
    <t>Catenin alpha-1</t>
  </si>
  <si>
    <t>Serpin B6</t>
  </si>
  <si>
    <t>Isoform 4 of Merlin</t>
  </si>
  <si>
    <t>Radixin</t>
  </si>
  <si>
    <t>Isoform 2 of Replication factor C subunit 1</t>
  </si>
  <si>
    <t>60S ribosomal protein L22</t>
  </si>
  <si>
    <t>Sepiapterin reductase</t>
  </si>
  <si>
    <t>Cystathionine beta-synthase</t>
  </si>
  <si>
    <t>Phosphoenolpyruvate carboxykinase, cytosolic [GTP]</t>
  </si>
  <si>
    <t>Insulin receptor substrate 1</t>
  </si>
  <si>
    <t>Glycogen debranching enzyme</t>
  </si>
  <si>
    <t>Myosin-9</t>
  </si>
  <si>
    <t>Myosin-10</t>
  </si>
  <si>
    <t>Coatomer subunit beta</t>
  </si>
  <si>
    <t>Isoform 2 of Alpha-adducin</t>
  </si>
  <si>
    <t>Isoform Short of RNA-binding protein FUS</t>
  </si>
  <si>
    <t>Isoform 2 of Nuclear pore complex protein Nup214</t>
  </si>
  <si>
    <t>Protein DEK</t>
  </si>
  <si>
    <t>Glutaredoxin-1</t>
  </si>
  <si>
    <t>Protein phosphatase 1A</t>
  </si>
  <si>
    <t>Hydroxymethylglutaryl-CoA lyase, mitochondrial</t>
  </si>
  <si>
    <t>26S protease regulatory subunit 7</t>
  </si>
  <si>
    <t>ADP-ribosylation factor-like protein 3</t>
  </si>
  <si>
    <t>Dual specificity mitogen-activated protein kinase kinase 2</t>
  </si>
  <si>
    <t>V-type proton ATPase subunit E 1</t>
  </si>
  <si>
    <t>Coproporphyrinogen-III oxidase, mitochondrial</t>
  </si>
  <si>
    <t>Phosphoglucomutase-1</t>
  </si>
  <si>
    <t>Serine/threonine-protein phosphatase PP1-gamma catalytic subunit</t>
  </si>
  <si>
    <t>Guanine nucleotide-binding protein-like 1</t>
  </si>
  <si>
    <t>Pigment epithelium-derived factor</t>
  </si>
  <si>
    <t>Dihydrolipoyllysine-residue succinyltransferase component of 2-oxoglutarate dehydrogenase complex, mitochondrial</t>
  </si>
  <si>
    <t>Isoform Cytoplasmic of Phospholipid hydroperoxide glutathione peroxidase, mitochondrial</t>
  </si>
  <si>
    <t>Isoform Short of Complement factor H-related protein 2</t>
  </si>
  <si>
    <t>Signal recognition particle 14 kDa protein</t>
  </si>
  <si>
    <t>Nuclear pore glycoprotein p62</t>
  </si>
  <si>
    <t>Hippocalcin-like protein 1</t>
  </si>
  <si>
    <t>Transgelin-2</t>
  </si>
  <si>
    <t>Transaldolase</t>
  </si>
  <si>
    <t>Electron transfer flavoprotein subunit beta</t>
  </si>
  <si>
    <t>RNA-binding motif protein, X chromosome</t>
  </si>
  <si>
    <t>Coilin</t>
  </si>
  <si>
    <t>Stress-70 protein, mitochondrial</t>
  </si>
  <si>
    <t>Eukaryotic initiation factor 4A-III</t>
  </si>
  <si>
    <t>40S ribosomal protein S19</t>
  </si>
  <si>
    <t>Flap endonuclease 1</t>
  </si>
  <si>
    <t>Alpha-taxilin</t>
  </si>
  <si>
    <t>T-complex protein 1 subunit zeta</t>
  </si>
  <si>
    <t>Nicotinamide N-methyltransferase</t>
  </si>
  <si>
    <t>Proteasome subunit beta type-10</t>
  </si>
  <si>
    <t>Alcohol dehydrogenase class 4 mu/sigma chain</t>
  </si>
  <si>
    <t>Isoform Del-701 of Signal transducer and activator of transcription 3</t>
  </si>
  <si>
    <t>Signal transducer and activator of transcription 3</t>
  </si>
  <si>
    <t>Ubiquitin carboxyl-terminal hydrolase 8</t>
  </si>
  <si>
    <t>Malate dehydrogenase, cytoplasmic</t>
  </si>
  <si>
    <t>Malate dehydrogenase, mitochondrial</t>
  </si>
  <si>
    <t>Trifunctional enzyme subunit alpha, mitochondrial</t>
  </si>
  <si>
    <t>Eukaryotic translation initiation factor 2 subunit 3</t>
  </si>
  <si>
    <t>Centrin-2</t>
  </si>
  <si>
    <t>Ubiquitin-like modifier-activating enzyme 7</t>
  </si>
  <si>
    <t>Protein phosphatase inhibitor 2</t>
  </si>
  <si>
    <t>Tyrosine-protein kinase CSK</t>
  </si>
  <si>
    <t>Glycine--tRNA ligase</t>
  </si>
  <si>
    <t>Isoleucine--tRNA ligase, cytoplasmic</t>
  </si>
  <si>
    <t>Eukaryotic translation initiation factor 1</t>
  </si>
  <si>
    <t>Protein kinase C iota type</t>
  </si>
  <si>
    <t>Beta-centractin</t>
  </si>
  <si>
    <t>Isoform 2 of Enoyl-CoA delta isomerase 1, mitochondrial</t>
  </si>
  <si>
    <t>Lamina-associated polypeptide 2, isoform alpha</t>
  </si>
  <si>
    <t>Lamina-associated polypeptide 2, isoforms beta/gamma</t>
  </si>
  <si>
    <t>Isoform Beta of Signal transducer and activator of transcription 1-alpha/beta</t>
  </si>
  <si>
    <t>Isoform 3 of 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</si>
  <si>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</si>
  <si>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</si>
  <si>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</si>
  <si>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Phosphatidylinositol 4,5-bisphosphate 3-kinase catalytic subunit beta isoform</t>
  </si>
  <si>
    <t>Histidine ammonia-lyase</t>
  </si>
  <si>
    <t>Epidermal growth factor receptor substrate 15</t>
  </si>
  <si>
    <t>Caspase-3</t>
  </si>
  <si>
    <t>Leucine-rich PPR motif-containing protein, mitochondrial</t>
  </si>
  <si>
    <t>3-ketoacyl-CoA thiolase, mitochondrial</t>
  </si>
  <si>
    <t>Wiskott-Aldrich syndrome protein</t>
  </si>
  <si>
    <t>Cyclin-dependent kinase 4 inhibitor C</t>
  </si>
  <si>
    <t>Lysosomal Pro-X carboxypeptidase</t>
  </si>
  <si>
    <t>Huntingtin</t>
  </si>
  <si>
    <t>Methylenetetrahydrofolate reductase</t>
  </si>
  <si>
    <t>Platelet-activating factor acetylhydrolase IB subunit alpha</t>
  </si>
  <si>
    <t>Isoform 2 of Carnitine O-acetyltransferase</t>
  </si>
  <si>
    <t>Matrin-3</t>
  </si>
  <si>
    <t>DNA mismatch repair protein Msh2</t>
  </si>
  <si>
    <t>Ran-specific GTPase-activating protein</t>
  </si>
  <si>
    <t>Nicotinamide phosphoribosyltransferase</t>
  </si>
  <si>
    <t>Afamin</t>
  </si>
  <si>
    <t>26S protease regulatory subunit 6B</t>
  </si>
  <si>
    <t>Transcription factor GATA-4</t>
  </si>
  <si>
    <t>Elongation factor Ts, mitochondrial</t>
  </si>
  <si>
    <t>Aspartoacylase</t>
  </si>
  <si>
    <t>Short/branched chain specific acyl-CoA dehydrogenase, mitochondrial</t>
  </si>
  <si>
    <t>Chromobox protein homolog 5</t>
  </si>
  <si>
    <t>Isoform Short of Ubiquitin carboxyl-terminal hydrolase 5</t>
  </si>
  <si>
    <t>Isoform Alpha-1 of Mitogen-activated protein kinase 9</t>
  </si>
  <si>
    <t>Dual specificity mitogen-activated protein kinase kinase 4</t>
  </si>
  <si>
    <t>Phosphorylase b kinase regulatory subunit alpha, liver isoform</t>
  </si>
  <si>
    <t>Ran GTPase-activating protein 1</t>
  </si>
  <si>
    <t>ATP-dependent DNA helicase Q1</t>
  </si>
  <si>
    <t>Isoform 2 of Putative ribosomal RNA methyltransferase NOP2</t>
  </si>
  <si>
    <t>Isoform 1 of Transcriptional regulator ATRX</t>
  </si>
  <si>
    <t>Adapter molecule crk</t>
  </si>
  <si>
    <t>Crk-like protein</t>
  </si>
  <si>
    <t>Translation initiation factor IF-2, mitochondrial</t>
  </si>
  <si>
    <t>Cyclin-dependent kinase inhibitor 1B</t>
  </si>
  <si>
    <t>Isoform 1 of Dual specificity mitogen-activated protein kinase kinase 3</t>
  </si>
  <si>
    <t>Isoform 1 of Lys-63-specific deubiquitinase BRCC36</t>
  </si>
  <si>
    <t>60S ribosomal protein L5</t>
  </si>
  <si>
    <t>40S ribosomal protein S9</t>
  </si>
  <si>
    <t>40S ribosomal protein S10</t>
  </si>
  <si>
    <t>Glucosamine-6-phosphate isomerase 1</t>
  </si>
  <si>
    <t>Yorkie homolog</t>
  </si>
  <si>
    <t>Utrophin</t>
  </si>
  <si>
    <t>Ras GTPase-activating-like protein IQGAP1</t>
  </si>
  <si>
    <t>3-hydroxyanthranilate 3,4-dioxygenase</t>
  </si>
  <si>
    <t>Isoform GN-1 of Glycogenin-1</t>
  </si>
  <si>
    <t>Guanine nucleotide exchange factor MSS4</t>
  </si>
  <si>
    <t>F-actin-capping protein subunit alpha-2</t>
  </si>
  <si>
    <t>Eukaryotic translation initiation factor 1A, X-chromosomal</t>
  </si>
  <si>
    <t>Glutamine--tRNA ligase</t>
  </si>
  <si>
    <t>60S ribosomal protein L29</t>
  </si>
  <si>
    <t>Cytochrome b-c1 complex subunit Rieske, mitochondrial</t>
  </si>
  <si>
    <t>Xanthine dehydrogenase/oxidase</t>
  </si>
  <si>
    <t>LIM and senescent cell antigen-like-containing domain protein 1</t>
  </si>
  <si>
    <t>Prolyl endopeptidase</t>
  </si>
  <si>
    <t>NADP-dependent malic enzyme</t>
  </si>
  <si>
    <t>Iron-responsive element-binding protein 2</t>
  </si>
  <si>
    <t>Coatomer subunit delta</t>
  </si>
  <si>
    <t>Isoform 3 of Lanosterol synthase</t>
  </si>
  <si>
    <t>Glutamate--cysteine ligase catalytic subunit</t>
  </si>
  <si>
    <t>Glutamate--cysteine ligase regulatory subunit</t>
  </si>
  <si>
    <t>Protein PRRC2A</t>
  </si>
  <si>
    <t>Glutathione synthetase</t>
  </si>
  <si>
    <t>T-complex protein 1 subunit epsilon</t>
  </si>
  <si>
    <t>Aminomethyltransferase, mitochondrial</t>
  </si>
  <si>
    <t>Isoform 2 of Casein kinase I isoform delta</t>
  </si>
  <si>
    <t>Isocitrate dehydrogenase [NADP], mitochondrial</t>
  </si>
  <si>
    <t>Phosphatidylinositol transfer protein beta isoform</t>
  </si>
  <si>
    <t>MARCKS-related protein</t>
  </si>
  <si>
    <t>4-trimethylaminobutyraldehyde dehydrogenase</t>
  </si>
  <si>
    <t>Nuclear autoantigenic sperm protein</t>
  </si>
  <si>
    <t>Dimethylaniline monooxygenase [N-oxide-forming] 5</t>
  </si>
  <si>
    <t>Fatty acid synthase</t>
  </si>
  <si>
    <t>Protein farnesyltransferase/geranylgeranyltransferase type-1 subunit alpha</t>
  </si>
  <si>
    <t>Deoxyhypusine synthase</t>
  </si>
  <si>
    <t>T-complex protein 1 subunit gamma</t>
  </si>
  <si>
    <t>Isoform 1B of Beta-arrestin-1</t>
  </si>
  <si>
    <t>Elongation factor Tu, mitochondrial</t>
  </si>
  <si>
    <t>Isoform 2 of Alpha-aminoadipic semialdehyde dehydrogenase</t>
  </si>
  <si>
    <t>Ubiquitin-conjugating enzyme E2 R1</t>
  </si>
  <si>
    <t>Inositol polyphosphate 1-phosphatase</t>
  </si>
  <si>
    <t>Glutamate dehydrogenase 2, mitochondrial</t>
  </si>
  <si>
    <t>Signal recognition particle 9 kDa protein</t>
  </si>
  <si>
    <t>Ubiquitin-conjugating enzyme E2 A</t>
  </si>
  <si>
    <t>Alanine--tRNA ligase, cytoplasmic</t>
  </si>
  <si>
    <t>Isoform 3 of Cysteine--tRNA ligase, cytoplasmic</t>
  </si>
  <si>
    <t>Serine--tRNA ligase, cytoplasmic</t>
  </si>
  <si>
    <t>Alpha-tocopherol transfer protein</t>
  </si>
  <si>
    <t>Caspase-4</t>
  </si>
  <si>
    <t>Proteasome subunit beta type-3</t>
  </si>
  <si>
    <t>Proteasome subunit beta type-2</t>
  </si>
  <si>
    <t>DNA replication licensing factor MCM2</t>
  </si>
  <si>
    <t>Very long-chain specific acyl-CoA dehydrogenase, mitochondrial</t>
  </si>
  <si>
    <t>Isoform 4 of YLP motif-containing protein 1</t>
  </si>
  <si>
    <t>RNA-binding protein 25</t>
  </si>
  <si>
    <t>Isoform 4 of Protein numb homolog</t>
  </si>
  <si>
    <t>Translation initiation factor eIF-2B subunit beta</t>
  </si>
  <si>
    <t>Histidine triad nucleotide-binding protein 1</t>
  </si>
  <si>
    <t>Bis(5-adenosyl)-triphosphatase</t>
  </si>
  <si>
    <t>Nuclear pore complex protein Nup153</t>
  </si>
  <si>
    <t>E3 SUMO-protein ligase RanBP2</t>
  </si>
  <si>
    <t>Isoform 2 of NADH dehydrogenase [ubiquinone] flavoprotein 1, mitochondrial</t>
  </si>
  <si>
    <t>Glycogen synthase kinase-3 alpha</t>
  </si>
  <si>
    <t>Glycogen synthase kinase-3 beta</t>
  </si>
  <si>
    <t>Estrogen sulfotransferase</t>
  </si>
  <si>
    <t>Cytosolic purine 5-nucleotidase</t>
  </si>
  <si>
    <t>Selenide, water dikinase 1</t>
  </si>
  <si>
    <t>5-formyltetrahydrofolate cyclo-ligase</t>
  </si>
  <si>
    <t>Double-strand break repair protein MRE11A</t>
  </si>
  <si>
    <t>Isoform C of Ketohexokinase</t>
  </si>
  <si>
    <t>Ketohexokinase</t>
  </si>
  <si>
    <t>Histamine N-methyltransferase</t>
  </si>
  <si>
    <t>Sulfotransferase 1A1</t>
  </si>
  <si>
    <t>Sulfotransferase 1A2</t>
  </si>
  <si>
    <t>Rab GDP dissociation inhibitor beta</t>
  </si>
  <si>
    <t>Emerin</t>
  </si>
  <si>
    <t>Glycine amidinotransferase, mitochondrial</t>
  </si>
  <si>
    <t>Serpin B8</t>
  </si>
  <si>
    <t>Serpin B9</t>
  </si>
  <si>
    <t>Serpin H1</t>
  </si>
  <si>
    <t>Hsc70-interacting protein</t>
  </si>
  <si>
    <t>Isoform 2 of Peroxisomal targeting signal 1 receptor</t>
  </si>
  <si>
    <t>Vasodilator-stimulated phosphoprotein</t>
  </si>
  <si>
    <t>Isoform 2 of Dynamin-2</t>
  </si>
  <si>
    <t>Bis(5-nucleosyl)-tetraphosphatase [asymmetrical]</t>
  </si>
  <si>
    <t>Biotin--protein ligase</t>
  </si>
  <si>
    <t>Kinetochore-associated protein 1</t>
  </si>
  <si>
    <t>Palmitoyl-protein thioesterase 1</t>
  </si>
  <si>
    <t>T-complex protein 1 subunit theta</t>
  </si>
  <si>
    <t>T-complex protein 1 subunit delta</t>
  </si>
  <si>
    <t>Isoform 3 of Fragile X mental retardation syndrome-related protein 1</t>
  </si>
  <si>
    <t>Fragile X mental retardation syndrome-related protein 2</t>
  </si>
  <si>
    <t>Ras-related protein Rab-5C</t>
  </si>
  <si>
    <t>Ras-related protein Rab-7a</t>
  </si>
  <si>
    <t>Ras-related protein Rab-9A</t>
  </si>
  <si>
    <t>Ras-related protein Rab-13</t>
  </si>
  <si>
    <t>Isoform 2 of 28S ribosomal protein S29, mitochondrial</t>
  </si>
  <si>
    <t>Dual specificity protein phosphatase 3</t>
  </si>
  <si>
    <t>Isoform 5 of Transcription activator BRG1</t>
  </si>
  <si>
    <t>Isocitrate dehydrogenase [NAD] subunit gamma, mitochondrial</t>
  </si>
  <si>
    <t>Galactokinase</t>
  </si>
  <si>
    <t>Thiopurine S-methyltransferase</t>
  </si>
  <si>
    <t>Methyl-CpG-binding protein 2</t>
  </si>
  <si>
    <t>Isoform 4 of Host cell factor 1</t>
  </si>
  <si>
    <t>Succinate-semialdehyde dehydrogenase, mitochondrial</t>
  </si>
  <si>
    <t>Peroxisomal multifunctional enzyme type 2</t>
  </si>
  <si>
    <t>26S proteasome non-ATPase regulatory subunit 7</t>
  </si>
  <si>
    <t>Sulfite oxidase, mitochondrial</t>
  </si>
  <si>
    <t>N-sulphoglucosamine sulphohydrolase</t>
  </si>
  <si>
    <t>Signal transducer and activator of transcription 5B</t>
  </si>
  <si>
    <t>3-oxo-5-beta-steroid 4-dehydrogenase</t>
  </si>
  <si>
    <t>Hepatoma-derived growth factor</t>
  </si>
  <si>
    <t>Heterogeneous nuclear ribonucleoprotein A3</t>
  </si>
  <si>
    <t>Isoform 2 of Heterogeneous nuclear ribonucleoprotein M</t>
  </si>
  <si>
    <t>Importin subunit alpha-1</t>
  </si>
  <si>
    <t>Rap1 GTPase-GDP dissociation stimulator 1</t>
  </si>
  <si>
    <t>Isoform 2 of Arf-GAP domain and FG repeat-containing protein 1</t>
  </si>
  <si>
    <t>Heterogeneous nuclear ribonucleoprotein F</t>
  </si>
  <si>
    <t>Isoform 2 of Signal transducer and activator of transcription 2</t>
  </si>
  <si>
    <t>Isoform 3 of Guanine nucleotide exchange factor VAV2</t>
  </si>
  <si>
    <t>Ribonuclease UK114</t>
  </si>
  <si>
    <t>Spermine synthase</t>
  </si>
  <si>
    <t>Hexokinase-3</t>
  </si>
  <si>
    <t>39S ribosomal protein L12, mitochondrial</t>
  </si>
  <si>
    <t>Thimet oligopeptidase</t>
  </si>
  <si>
    <t>F-actin-capping protein subunit alpha-1</t>
  </si>
  <si>
    <t>Cysteine-rich protein 2</t>
  </si>
  <si>
    <t>Biliverdin reductase A</t>
  </si>
  <si>
    <t>Arfaptin-1</t>
  </si>
  <si>
    <t>Nucleoside diphosphate-linked moiety X motif 6</t>
  </si>
  <si>
    <t>Isoform 2 of Cytosolic Fe-S cluster assembly factor NUBP1</t>
  </si>
  <si>
    <t>ATP-citrate synthase</t>
  </si>
  <si>
    <t>Succinyl-CoA ligase [ADP/GDP-forming] subunit alpha, mitochondrial</t>
  </si>
  <si>
    <t>Diphosphomevalonate decarboxylase</t>
  </si>
  <si>
    <t>Geranylgeranyl transferase type-1 subunit beta</t>
  </si>
  <si>
    <t>Geranylgeranyl transferase type-2 subunit beta</t>
  </si>
  <si>
    <t>Coatomer subunit alpha</t>
  </si>
  <si>
    <t>Dipeptidyl peptidase 1</t>
  </si>
  <si>
    <t>Isoform 2 of Clathrin heavy chain 2</t>
  </si>
  <si>
    <t>AP-2 complex subunit sigma</t>
  </si>
  <si>
    <t>Activated RNA polymerase II transcriptional coactivator p15</t>
  </si>
  <si>
    <t>Arginine--tRNA ligase, cytoplasmic</t>
  </si>
  <si>
    <t>Isoform 4 of Mismatch repair endonuclease PMS2</t>
  </si>
  <si>
    <t>Tyrosine--tRNA ligase, cytoplasmic</t>
  </si>
  <si>
    <t>Isoform 2 of Ubiquitin carboxyl-terminal hydrolase 14</t>
  </si>
  <si>
    <t>Isoform 2 of 5-AMP-activated protein kinase subunit gamma-1</t>
  </si>
  <si>
    <t>UV excision repair protein RAD23 homolog B</t>
  </si>
  <si>
    <t>Alpha-N-acetylglucosaminidase</t>
  </si>
  <si>
    <t>Isoform 5 of Adenylate kinase 2, mitochondrial</t>
  </si>
  <si>
    <t>Glycogen [starch] synthase, liver</t>
  </si>
  <si>
    <t>Hydroxymethylglutaryl-CoA synthase, mitochondrial</t>
  </si>
  <si>
    <t>Isoform Short of Delta-1-pyrroline-5-carboxylate synthase</t>
  </si>
  <si>
    <t>Alpha-soluble NSF attachment protein</t>
  </si>
  <si>
    <t>Allograft inflammatory factor 1</t>
  </si>
  <si>
    <t>Eukaryotic translation initiation factor 5</t>
  </si>
  <si>
    <t>26S proteasome non-ATPase regulatory subunit 4</t>
  </si>
  <si>
    <t>Developmentally-regulated GTP-binding protein 2</t>
  </si>
  <si>
    <t>Phospholipid transfer protein</t>
  </si>
  <si>
    <t>Isoform 3 of Exportin-2</t>
  </si>
  <si>
    <t>Transitional endoplasmic reticulum ATPase</t>
  </si>
  <si>
    <t>Microfibrillar-associated protein 1</t>
  </si>
  <si>
    <t>Mesencephalic astrocyte-derived neurotrophic factor</t>
  </si>
  <si>
    <t>Microsomal triglyceride transfer protein large subunit</t>
  </si>
  <si>
    <t>Afadin</t>
  </si>
  <si>
    <t>Caspase-7</t>
  </si>
  <si>
    <t>Caspase-6</t>
  </si>
  <si>
    <t>Adenosine kinase</t>
  </si>
  <si>
    <t>Isoform 5 of Double-stranded RNA-specific adenosine deaminase</t>
  </si>
  <si>
    <t>Laminin subunit beta-2</t>
  </si>
  <si>
    <t>Protein SEC13 homolog</t>
  </si>
  <si>
    <t>NHP2-like protein 1</t>
  </si>
  <si>
    <t>Heterogeneous nuclear ribonucleoprotein H2</t>
  </si>
  <si>
    <t>Small ubiquitin-related modifier 3</t>
  </si>
  <si>
    <t>Eukaryotic translation initiation factor 3 subunit B</t>
  </si>
  <si>
    <t>Isoform 2 of NADH dehydrogenase [ubiquinone] flavoprotein 3, mitochondrial</t>
  </si>
  <si>
    <t>Methionine--tRNA ligase, cytoplasmic</t>
  </si>
  <si>
    <t>Integrin alpha-1</t>
  </si>
  <si>
    <t>Isoform ARPP-16 of cAMP-regulated phosphoprotein 19</t>
  </si>
  <si>
    <t>Cx9C motif-containing protein 4</t>
  </si>
  <si>
    <t>Galectin-4</t>
  </si>
  <si>
    <t>Eukaryotic translation initiation factor 6</t>
  </si>
  <si>
    <t>Uncharacterized protein C21orf59</t>
  </si>
  <si>
    <t>Isoform 2 of Coronin-7</t>
  </si>
  <si>
    <t>Nuclear pore complex protein Nup107</t>
  </si>
  <si>
    <t>Gasdermin-D</t>
  </si>
  <si>
    <t>Selenocysteine-specific elongation factor</t>
  </si>
  <si>
    <t>Myotrophin</t>
  </si>
  <si>
    <t>Neutrophil defensin 3</t>
  </si>
  <si>
    <t>Actin-related protein 2/3 complex subunit 4</t>
  </si>
  <si>
    <t>Isoform 2 of Triosephosphate isomerase</t>
  </si>
  <si>
    <t>Eukaryotic translation initiation factor 3 subunit E</t>
  </si>
  <si>
    <t>Protein transport protein Sec61 subunit beta</t>
  </si>
  <si>
    <t>Serine/threonine-protein phosphatase 4 catalytic subunit</t>
  </si>
  <si>
    <t>Ras-related C3 botulinum toxin substrate 3</t>
  </si>
  <si>
    <t>Eukaryotic initiation factor 4A-I</t>
  </si>
  <si>
    <t>40S ribosomal protein S20</t>
  </si>
  <si>
    <t>Ribose-phosphate pyrophosphokinase 1</t>
  </si>
  <si>
    <t>Proteasome subunit alpha type-6</t>
  </si>
  <si>
    <t>Cell division control protein 42 homolog</t>
  </si>
  <si>
    <t>Destrin</t>
  </si>
  <si>
    <t>Glia maturation factor beta</t>
  </si>
  <si>
    <t>Ras-related protein Rab-8A</t>
  </si>
  <si>
    <t>Isoform 2 of Signal recognition particle 54 kDa protein</t>
  </si>
  <si>
    <t>Ras-related protein Rab-2A</t>
  </si>
  <si>
    <t>Ras-related protein Rab-5B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</si>
  <si>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</si>
  <si>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</si>
  <si>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</si>
  <si>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</si>
  <si>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</si>
  <si>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</si>
  <si>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Actin-related protein 3</t>
  </si>
  <si>
    <t>Actin-related protein 2</t>
  </si>
  <si>
    <t>Alpha-centractin</t>
  </si>
  <si>
    <t>COP9 signalosome complex subunit 2</t>
  </si>
  <si>
    <t>ATP-binding cassette sub-family E member 1</t>
  </si>
  <si>
    <t>Isoform 3 of Ras-related protein Rap-1b</t>
  </si>
  <si>
    <t>40S ribosomal protein S3a</t>
  </si>
  <si>
    <t>Proteasome activator complex subunit 3</t>
  </si>
  <si>
    <t>Protein mago nashi homolog</t>
  </si>
  <si>
    <t>60S ribosomal protein L27</t>
  </si>
  <si>
    <t>Pterin-4-alpha-carbinolamine dehydratase</t>
  </si>
  <si>
    <t>Transforming protein RhoA</t>
  </si>
  <si>
    <t>10 kDa heat shock protein, mitochondrial</t>
  </si>
  <si>
    <t>Prefoldin subunit 3</t>
  </si>
  <si>
    <t>Coatomer subunit zeta-1</t>
  </si>
  <si>
    <t>Isoform 2 of Small ubiquitin-related modifier 2</t>
  </si>
  <si>
    <t>WD repeat-containing protein 5</t>
  </si>
  <si>
    <t>AP-1 complex subunit sigma-1A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</si>
  <si>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</si>
  <si>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</si>
  <si>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</si>
  <si>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</si>
  <si>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</si>
  <si>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Serine/threonine-protein phosphatase PP1-alpha catalytic subunit</t>
  </si>
  <si>
    <t>Serine/threonine-protein phosphatase PP1-beta catalytic subunit</t>
  </si>
  <si>
    <t>Calmodulin</t>
  </si>
  <si>
    <t>26S protease regulatory subunit 4</t>
  </si>
  <si>
    <t>Isoform 2 of 26S protease regulatory subunit 8</t>
  </si>
  <si>
    <t>40S ribosomal protein S8</t>
  </si>
  <si>
    <t>14-3-3 protein epsilon</t>
  </si>
  <si>
    <t>40S ribosomal protein S14</t>
  </si>
  <si>
    <t>40S ribosomal protein S18</t>
  </si>
  <si>
    <t>40S ribosomal protein S13</t>
  </si>
  <si>
    <t>40S ribosomal protein S11</t>
  </si>
  <si>
    <t>Small nuclear ribonucleoprotein E</t>
  </si>
  <si>
    <t>Small nuclear ribonucleoprotein G</t>
  </si>
  <si>
    <t>U6 snRNA-associated Sm-like protein LSm3</t>
  </si>
  <si>
    <t>U6 snRNA-associated Sm-like protein LSm6</t>
  </si>
  <si>
    <t>Small nuclear ribonucleoprotein Sm D2</t>
  </si>
  <si>
    <t>Thymosin beta-4</t>
  </si>
  <si>
    <t>ADP-ribosylation factor 6</t>
  </si>
  <si>
    <t>26S protease regulatory subunit 10B</t>
  </si>
  <si>
    <t>Isoform 2 of Cellular nucleic acid-binding protein</t>
  </si>
  <si>
    <t>40S ribosomal protein S4, X isoform</t>
  </si>
  <si>
    <t>Serine/threonine-protein phosphatase 2A catalytic subunit beta isoform</t>
  </si>
  <si>
    <t>60S ribosomal protein L23a</t>
  </si>
  <si>
    <t>40S ribosomal protein S6</t>
  </si>
  <si>
    <t>Visinin-like protein 1</t>
  </si>
  <si>
    <t>Histone H4</t>
  </si>
  <si>
    <t>Ras-related protein Rab-1A</t>
  </si>
  <si>
    <t>GTP-binding nuclear protein Ran</t>
  </si>
  <si>
    <t>Ubiquitin-conjugating enzyme E2 D2</t>
  </si>
  <si>
    <t>40S ribosomal protein S28</t>
  </si>
  <si>
    <t>Peptidyl-prolyl cis-trans isomerase FKBP1A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</si>
  <si>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</si>
  <si>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</si>
  <si>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</si>
  <si>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</si>
  <si>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14-3-3 protein zeta/delta</t>
  </si>
  <si>
    <t>Serine/threonine-protein phosphatase 2A 55 kDa regulatory subunit B alpha isoform</t>
  </si>
  <si>
    <t>Dynein light chain 1, cytoplasmic</t>
  </si>
  <si>
    <t>60S ribosomal protein L38</t>
  </si>
  <si>
    <t>Guanine nucleotide-binding protein subunit beta-2-like 1</t>
  </si>
  <si>
    <t>Actin, cytoplasmic 2</t>
  </si>
  <si>
    <t>Selenoprotein W</t>
  </si>
  <si>
    <t>Thymosin beta-10</t>
  </si>
  <si>
    <t>Serine/threonine-protein phosphatase 2A catalytic subunit alpha isoform</t>
  </si>
  <si>
    <t>Nuclease-sensitive element-binding protein 1</t>
  </si>
  <si>
    <t>Casein kinase II subunit beta</t>
  </si>
  <si>
    <t>Tropomyosin alpha-4 chain</t>
  </si>
  <si>
    <t>Ubiquitin-conjugating enzyme E2 L3</t>
  </si>
  <si>
    <t>Actin, alpha skeletal muscle</t>
  </si>
  <si>
    <t>Tubulin alpha-1B chain</t>
  </si>
  <si>
    <t>Tubulin beta-4B chain</t>
  </si>
  <si>
    <t>Platelet-activating factor acetylhydrolase IB subunit beta</t>
  </si>
  <si>
    <t>SH3 domain-binding protein 2</t>
  </si>
  <si>
    <t>Immunoglobulin-binding protein 1</t>
  </si>
  <si>
    <t>Leukotriene-B(4) omega-hydroxylase 1</t>
  </si>
  <si>
    <t>Isoform 2 of General transcription factor II-I</t>
  </si>
  <si>
    <t>T-complex protein 1 subunit beta</t>
  </si>
  <si>
    <t>mRNA export factor</t>
  </si>
  <si>
    <t>Glutathione S-transferase omega-1</t>
  </si>
  <si>
    <t>Suppression of tumorigenicity 5 protein</t>
  </si>
  <si>
    <t>DNA-dependent protein kinase catalytic subunit</t>
  </si>
  <si>
    <t>Death domain-containing protein CRADD</t>
  </si>
  <si>
    <t>Isoform 2 of Neutrophil gelatinase-associated lipocalin</t>
  </si>
  <si>
    <t>Interferon-induced 35 kDa protein</t>
  </si>
  <si>
    <t>Metallothionein-1H</t>
  </si>
  <si>
    <t>Isoform 2 of Nucleobindin-2</t>
  </si>
  <si>
    <t>4-aminobutyrate aminotransferase, mitochondrial</t>
  </si>
  <si>
    <t>Brain acid soluble protein 1</t>
  </si>
  <si>
    <t>Dermcidin</t>
  </si>
  <si>
    <t>TATA element modulatory factor</t>
  </si>
  <si>
    <t>Isoform 2 of 28S ribosomal protein S35, mitochondrial</t>
  </si>
  <si>
    <t>28S ribosomal protein S5, mitochondrial</t>
  </si>
  <si>
    <t>28S ribosomal protein S36, mitochondrial</t>
  </si>
  <si>
    <t>Isoform 3 of 28S ribosomal protein S11, mitochondrial</t>
  </si>
  <si>
    <t>28S ribosomal protein S15, mitochondrial</t>
  </si>
  <si>
    <t>28S ribosomal protein S34, mitochondrial</t>
  </si>
  <si>
    <t>28S ribosomal protein S9, mitochondrial</t>
  </si>
  <si>
    <t>SAP domain-containing ribonucleoprotein</t>
  </si>
  <si>
    <t>Retinol-binding protein 5</t>
  </si>
  <si>
    <t>Conserved oligomeric Golgi complex subunit 7</t>
  </si>
  <si>
    <t>Thioredoxin-like protein 4A</t>
  </si>
  <si>
    <t>ADP-ribosylation factor 1</t>
  </si>
  <si>
    <t>Enhancer of rudimentary homolog</t>
  </si>
  <si>
    <t>Isoform 4 of Small EDRK-rich factor 2</t>
  </si>
  <si>
    <t>Vacuolar fusion protein CCZ1 homolog</t>
  </si>
  <si>
    <t>Basement membrane-specific heparan sulfate proteoglycan core protein</t>
  </si>
  <si>
    <t>E3 ubiquitin-protein ligase XIAP</t>
  </si>
  <si>
    <t>Isoform 4 of RNA-binding protein 10</t>
  </si>
  <si>
    <t>Putative RNA-binding protein 3</t>
  </si>
  <si>
    <t>Transcription factor A, mitochondrial</t>
  </si>
  <si>
    <t>Phosphatidylinositol transfer protein alpha isoform</t>
  </si>
  <si>
    <t>S-adenosylmethionine synthase isoform type-1</t>
  </si>
  <si>
    <t>Vigilin</t>
  </si>
  <si>
    <t>Transcription initiation factor IIB</t>
  </si>
  <si>
    <t>Cyclin-dependent kinase 5</t>
  </si>
  <si>
    <t>Transcriptional activator protein Pur-alpha</t>
  </si>
  <si>
    <t>Isoform 2 of Clathrin heavy chain 1</t>
  </si>
  <si>
    <t>Nuclear factor NF-kappa-B p100 subunit</t>
  </si>
  <si>
    <t>Peptidyl-prolyl cis-trans isomerase FKBP3</t>
  </si>
  <si>
    <t>Receptor expression-enhancing protein 5</t>
  </si>
  <si>
    <t>Sorbitol dehydrogenase</t>
  </si>
  <si>
    <t>Heterogeneous nuclear ribonucleoprotein U</t>
  </si>
  <si>
    <t>Perilipin-5</t>
  </si>
  <si>
    <t>Splicing factor U2AF 35 kDa subunit</t>
  </si>
  <si>
    <t>Isoform 2 of Spectrin beta chain, non-erythrocytic 1</t>
  </si>
  <si>
    <t>Spectrin beta chain, non-erythrocytic 1</t>
  </si>
  <si>
    <t>Isoform 2 of Nucleolysin TIAR</t>
  </si>
  <si>
    <t>Protein SET</t>
  </si>
  <si>
    <t>N-acetylgalactosamine kinase</t>
  </si>
  <si>
    <t>Isoform Ex1A-2-3 of AMP deaminase 2</t>
  </si>
  <si>
    <t>Di-N-acetylchitobiase</t>
  </si>
  <si>
    <t>Fatty acid-binding protein, epidermal</t>
  </si>
  <si>
    <t>Isoform 2 of Adenylyl cyclase-associated protein 1</t>
  </si>
  <si>
    <t>Hydroxymethylglutaryl-CoA synthase, cytoplasmic</t>
  </si>
  <si>
    <t>Protein Dr1</t>
  </si>
  <si>
    <t>OTU domain-containing protein 4</t>
  </si>
  <si>
    <t>Isoform 6 of RNA-binding protein EWS</t>
  </si>
  <si>
    <t>Isoform B of Inositol polyphosphate 5-phosphatase OCRL-1</t>
  </si>
  <si>
    <t>Isoform 2 of 1-phosphatidylinositol 4,5-bisphosphate phosphodiesterase beta-3</t>
  </si>
  <si>
    <t>Transgelin</t>
  </si>
  <si>
    <t>Isoform 2 of N-acylethanolamine-hydrolyzing acid amidase</t>
  </si>
  <si>
    <t>Methylmalonate-semialdehyde dehydrogenase [acylating], mitochondrial</t>
  </si>
  <si>
    <t>Sterol 26-hydroxylase, mitochondrial</t>
  </si>
  <si>
    <t>Plasminogen-like protein B</t>
  </si>
  <si>
    <t>Amyloid beta A4 precursor protein-binding family A member 1</t>
  </si>
  <si>
    <t>Desmocollin-2</t>
  </si>
  <si>
    <t>Dual specificity mitogen-activated protein kinase kinase 1</t>
  </si>
  <si>
    <t>Peptidyl-prolyl cis-trans isomerase FKBP4</t>
  </si>
  <si>
    <t>Nucleobindin-1</t>
  </si>
  <si>
    <t>Cytochrome P450 4A11</t>
  </si>
  <si>
    <t>Isoform 2 of Dystonin</t>
  </si>
  <si>
    <t>Isoform 2 of Glutathione S-transferase Mu 4</t>
  </si>
  <si>
    <t>Aminoacylase-1</t>
  </si>
  <si>
    <t>Tumor necrosis factor alpha-induced protein 2</t>
  </si>
  <si>
    <t>6-pyruvoyl tetrahydrobiopterin synthase</t>
  </si>
  <si>
    <t>1,4-alpha-glucan-branching enzyme</t>
  </si>
  <si>
    <t>Isoform D of Eukaryotic translation initiation factor 4 gamma 1</t>
  </si>
  <si>
    <t>Transducin-like enhancer protein 1</t>
  </si>
  <si>
    <t>Lactoylglutathione lyase</t>
  </si>
  <si>
    <t>Aldo-keto reductase family 1 member C1</t>
  </si>
  <si>
    <t>Single-stranded DNA-binding protein, mitochondrial</t>
  </si>
  <si>
    <t>14-3-3 protein eta</t>
  </si>
  <si>
    <t>Cleavage stimulation factor subunit 1</t>
  </si>
  <si>
    <t>Isoform I of Ubiquitin-protein ligase E3A</t>
  </si>
  <si>
    <t>Isoform 5 of Caldesmon</t>
  </si>
  <si>
    <t>Isoform 2 of Inter-alpha-trypsin inhibitor heavy chain H3</t>
  </si>
  <si>
    <t>Isoform 2 of Tyrosine-protein phosphatase non-receptor type 11</t>
  </si>
  <si>
    <t>Amidophosphoribosyltransferase</t>
  </si>
  <si>
    <t>Isoform 2 of Glutamine--fructose-6-phosphate aminotransferase [isomerizing] 1</t>
  </si>
  <si>
    <t>Aldehyde oxidase</t>
  </si>
  <si>
    <t>Proteasome activator complex subunit 1</t>
  </si>
  <si>
    <t>Bile salt sulfotransferase</t>
  </si>
  <si>
    <t>Isoform 8 of Fragile X mental retardation protein 1</t>
  </si>
  <si>
    <t>Complement component 1 Q subcomponent-binding protein, mitochondrial</t>
  </si>
  <si>
    <t>Cytoskeleton-associated protein 4</t>
  </si>
  <si>
    <t>Tight junction protein ZO-1</t>
  </si>
  <si>
    <t>Trichohyalin</t>
  </si>
  <si>
    <t>KH domain-containing, RNA-binding, signal transduction-associated protein 1</t>
  </si>
  <si>
    <t>Isoform Epsilon of Apoptosis regulator BAX</t>
  </si>
  <si>
    <t>Prolow-density lipoprotein receptor-related protein 1</t>
  </si>
  <si>
    <t>Serine/arginine-rich splicing factor 1</t>
  </si>
  <si>
    <t>Rho GTPase-activating protein 1</t>
  </si>
  <si>
    <t>Serine/arginine-rich splicing factor 4</t>
  </si>
  <si>
    <t>Isoform 2 of Serine/threonine-protein phosphatase 2B catalytic subunit alpha isoform</t>
  </si>
  <si>
    <t>ATP-dependent RNA helicase A</t>
  </si>
  <si>
    <t>Quinone oxidoreductase</t>
  </si>
  <si>
    <t>Golgin subfamily A member 3</t>
  </si>
  <si>
    <t>Golgin subfamily A member 2</t>
  </si>
  <si>
    <t>Galectin-3-binding protein</t>
  </si>
  <si>
    <t>Isoform 2 of Peroxisomal bifunctional enzyme</t>
  </si>
  <si>
    <t>Peroxisomal bifunctional enzyme</t>
  </si>
  <si>
    <t>Isoform 1B of Desmocollin-1</t>
  </si>
  <si>
    <t>Peptidyl-prolyl cis-trans isomerase D</t>
  </si>
  <si>
    <t>Fibrinogen-like protein 1</t>
  </si>
  <si>
    <t>Mitotic-spindle organizing protein 1</t>
  </si>
  <si>
    <t>Acyl-coenzyme A synthetase ACSM2A, mitochondrial</t>
  </si>
  <si>
    <t>Protein VAC14 homolog</t>
  </si>
  <si>
    <t>Isoform 2 of tRNA (cytosine(34)-C(5))-methyltransferase</t>
  </si>
  <si>
    <t>Isoform 3 of Histone-binding protein RBBP4</t>
  </si>
  <si>
    <t>Nuclear cap-binding protein subunit 1</t>
  </si>
  <si>
    <t>Histone acetyltransferase p300</t>
  </si>
  <si>
    <t>Neuroblast differentiation-associated protein AHNAK</t>
  </si>
  <si>
    <t>FCH domain only protein 2</t>
  </si>
  <si>
    <t>Elongator complex protein 6</t>
  </si>
  <si>
    <t>Heat shock 70 kDa protein 14</t>
  </si>
  <si>
    <t>Isoform 2 of Secernin-3</t>
  </si>
  <si>
    <t>Cingulin-like protein 1</t>
  </si>
  <si>
    <t>Isoform B of AP-1 complex subunit beta-1</t>
  </si>
  <si>
    <t>Isoform C of AP-1 complex subunit beta-1</t>
  </si>
  <si>
    <t>Mitochondrial-processing peptidase subunit alpha</t>
  </si>
  <si>
    <t>Nuclear pore complex protein Nup160</t>
  </si>
  <si>
    <t>Rho guanine nucleotide exchange factor 5</t>
  </si>
  <si>
    <t>Twinfilin-1</t>
  </si>
  <si>
    <t>Isoform 3 of Hyaluronidase-1</t>
  </si>
  <si>
    <t>Isoform 3 of A-kinase anchor protein 13</t>
  </si>
  <si>
    <t>Syntaxin-4</t>
  </si>
  <si>
    <t>Splicing factor 3A subunit 3</t>
  </si>
  <si>
    <t>Dihydropyrimidine dehydrogenase [NADP(+)]</t>
  </si>
  <si>
    <t>Aminoacyl tRNA synthase complex-interacting multifunctional protein 1</t>
  </si>
  <si>
    <t>Interleukin enhancer-binding factor 2</t>
  </si>
  <si>
    <t>Isoform 4 of Interleukin enhancer-binding factor 3</t>
  </si>
  <si>
    <t>Isoform 5 of Disks large homolog 1</t>
  </si>
  <si>
    <t>Unconventional myosin-Ie</t>
  </si>
  <si>
    <t>Nuclear inhibitor of protein phosphatase 1</t>
  </si>
  <si>
    <t>Protein tyrosine phosphatase type IVA 2</t>
  </si>
  <si>
    <t>Isoform 2 of Transcriptional repressor NF-X1</t>
  </si>
  <si>
    <t>Cleavage stimulation factor subunit 3</t>
  </si>
  <si>
    <t>Delta(3,5)-Delta(2,4)-dienoyl-CoA isomerase, mitochondrial</t>
  </si>
  <si>
    <t>Isoform 2 of Rho GTPase-activating protein 5</t>
  </si>
  <si>
    <t>Isoform Alpha of Striatin-3</t>
  </si>
  <si>
    <t>Isoform 2 of Protein flightless-1 homolog</t>
  </si>
  <si>
    <t>Protein flightless-1 homolog</t>
  </si>
  <si>
    <t>Bifunctional coenzyme A synthase</t>
  </si>
  <si>
    <t>Isoform 3 of Acetyl-CoA carboxylase 1</t>
  </si>
  <si>
    <t>Isoform 2 of Ubiquitin carboxyl-terminal hydrolase 4</t>
  </si>
  <si>
    <t>Protein Red</t>
  </si>
  <si>
    <t>S-methyl-5-thioadenosine phosphorylase</t>
  </si>
  <si>
    <t>Isoform 2 of 5-AMP-activated protein kinase catalytic subunit alpha-1</t>
  </si>
  <si>
    <t>Isoform 2 of Liprin-alpha-1</t>
  </si>
  <si>
    <t>TAR DNA-binding protein 43</t>
  </si>
  <si>
    <t>Heterogeneous nuclear ribonucleoprotein A0</t>
  </si>
  <si>
    <t>Serine/threonine-protein kinase PAK 1</t>
  </si>
  <si>
    <t>Aminoacyl tRNA synthase complex-interacting multifunctional protein 2</t>
  </si>
  <si>
    <t>Protein FADD</t>
  </si>
  <si>
    <t>Peroxiredoxin-4</t>
  </si>
  <si>
    <t>Serine/threonine-protein kinase PAK 2</t>
  </si>
  <si>
    <t>Chromobox protein homolog 3</t>
  </si>
  <si>
    <t>Serine/threonine-protein kinase 3</t>
  </si>
  <si>
    <t>26S proteasome non-ATPase regulatory subunit 2</t>
  </si>
  <si>
    <t>Probable ATP-dependent RNA helicase DDX10</t>
  </si>
  <si>
    <t>DnaJ homolog subfamily C member 3</t>
  </si>
  <si>
    <t>Selenium-binding protein 1</t>
  </si>
  <si>
    <t>Nucleoside diphosphate kinase 3</t>
  </si>
  <si>
    <t>Isoform SRP40-4 of Serine/arginine-rich splicing factor 5</t>
  </si>
  <si>
    <t>Isoform SRP55-3 of Serine/arginine-rich splicing factor 6</t>
  </si>
  <si>
    <t>Transcription intermediary factor 1-beta</t>
  </si>
  <si>
    <t>Ras GTPase-activating protein-binding protein 1</t>
  </si>
  <si>
    <t>N-myc-interactor</t>
  </si>
  <si>
    <t>Isoform 3 of Polyadenylate-binding protein 4</t>
  </si>
  <si>
    <t>Serine-protein kinase ATM</t>
  </si>
  <si>
    <t>Interferon-induced protein with tetratricopeptide repeats 5</t>
  </si>
  <si>
    <t>Isoform 3 of Metastasis-associated protein MTA1</t>
  </si>
  <si>
    <t>Eukaryotic translation initiation factor 3 subunit I</t>
  </si>
  <si>
    <t>Isoform 2 of C-terminal-binding protein 1</t>
  </si>
  <si>
    <t>Ubiquitin-conjugating enzyme E2 variant 1</t>
  </si>
  <si>
    <t>Isoform 2F of Cytoplasmic dynein 1 intermediate chain 2</t>
  </si>
  <si>
    <t>Integrin-linked protein kinase</t>
  </si>
  <si>
    <t>NAD(P) transhydrogenase, mitochondrial</t>
  </si>
  <si>
    <t>Isoform 2 of DNA repair protein XRCC4</t>
  </si>
  <si>
    <t>Treacle protein</t>
  </si>
  <si>
    <t>Splicing factor 3B subunit 2</t>
  </si>
  <si>
    <t>28 kDa heat- and acid-stable phosphoprotein</t>
  </si>
  <si>
    <t>Peptidyl-prolyl cis-trans isomerase FKBP5</t>
  </si>
  <si>
    <t>Rho-associated protein kinase 1</t>
  </si>
  <si>
    <t>Isoform 3 of Phosphatidylinositol-binding clathrin assembly protein</t>
  </si>
  <si>
    <t>Myotubularin</t>
  </si>
  <si>
    <t>Isoform 2 of Sequestosome-1</t>
  </si>
  <si>
    <t>Tubulin beta-3 chain</t>
  </si>
  <si>
    <t>Protein phosphatase 1 regulatory subunit 1A</t>
  </si>
  <si>
    <t>Peptidyl-prolyl cis-trans isomerase NIMA-interacting 1</t>
  </si>
  <si>
    <t>Eukaryotic translation initiation factor 4E-binding protein 1</t>
  </si>
  <si>
    <t>Receptor-interacting serine/threonine-protein kinase 1</t>
  </si>
  <si>
    <t>Histone deacetylase 1</t>
  </si>
  <si>
    <t>Isoform Delta 6 of Calcium/calmodulin-dependent protein kinase type II subunit delta</t>
  </si>
  <si>
    <t>Dynactin subunit 2</t>
  </si>
  <si>
    <t>SNW domain-containing protein 1</t>
  </si>
  <si>
    <t>Ras GTPase-activating-like protein IQGAP2</t>
  </si>
  <si>
    <t>Sorting nexin-1</t>
  </si>
  <si>
    <t>Peroxisome assembly factor 2</t>
  </si>
  <si>
    <t>Periodic tryptophan protein 1 homolog</t>
  </si>
  <si>
    <t>Cullin-1</t>
  </si>
  <si>
    <t>Cullin-2</t>
  </si>
  <si>
    <t>Isoform 2 of Cullin-3</t>
  </si>
  <si>
    <t>Cullin-4A</t>
  </si>
  <si>
    <t>Isoform 2 of Cullin-4B</t>
  </si>
  <si>
    <t>GDP-L-fucose synthase</t>
  </si>
  <si>
    <t>Isoform 1 of Four and a half LIM domains protein 1</t>
  </si>
  <si>
    <t>Protein Shroom2</t>
  </si>
  <si>
    <t>Isoform 2 of Spectrin alpha chain, non-erythrocytic 1</t>
  </si>
  <si>
    <t>Spectrin alpha chain, non-erythrocytic 1</t>
  </si>
  <si>
    <t>Methylglutaconyl-CoA hydratase, mitochondrial</t>
  </si>
  <si>
    <t>Spliceosome RNA helicase DDX39B</t>
  </si>
  <si>
    <t>Bleomycin hydrolase</t>
  </si>
  <si>
    <t>Beta-1-syntrophin</t>
  </si>
  <si>
    <t>Tubulin beta-2A chain</t>
  </si>
  <si>
    <t>Isopentenyl-diphosphate Delta-isomerase 1</t>
  </si>
  <si>
    <t>Isoform 2 of Core-binding factor subunit beta</t>
  </si>
  <si>
    <t>Isoform 2 of Cytoskeleton-associated protein 5</t>
  </si>
  <si>
    <t>Calcium/calmodulin-dependent protein kinase type 1</t>
  </si>
  <si>
    <t>Coactosin-like protein</t>
  </si>
  <si>
    <t>Bile acid-CoA:amino acid N-acyltransferase</t>
  </si>
  <si>
    <t>Cytochrome c oxidase copper chaperone</t>
  </si>
  <si>
    <t>Isoform 3 of Heterogeneous nuclear ribonucleoprotein D0</t>
  </si>
  <si>
    <t>Isoform 2 of Interleukin-18</t>
  </si>
  <si>
    <t>Dihydropyrimidinase</t>
  </si>
  <si>
    <t>Dystroglycan</t>
  </si>
  <si>
    <t>Desmoglein-2</t>
  </si>
  <si>
    <t>Ribosome biogenesis protein BOP1</t>
  </si>
  <si>
    <t>Ubiquitin conjugation factor E4 A</t>
  </si>
  <si>
    <t>Isoform I of Septin-6</t>
  </si>
  <si>
    <t>Scaffold attachment factor B2</t>
  </si>
  <si>
    <t>Eukaryotic translation initiation factor 3 subunit A</t>
  </si>
  <si>
    <t>Ubiquitin-associated protein 2-like</t>
  </si>
  <si>
    <t>Isoform 2 of Protein scribble homolog</t>
  </si>
  <si>
    <t>Isoform 3 of ARF GTPase-activating protein GIT2</t>
  </si>
  <si>
    <t>Tubulin--tyrosine ligase-like protein 12</t>
  </si>
  <si>
    <t>Four and a half LIM domains protein 2</t>
  </si>
  <si>
    <t>Isoform 3 of Dynactin subunit 1</t>
  </si>
  <si>
    <t>Cytoplasmic dynein 1 heavy chain 1</t>
  </si>
  <si>
    <t>Translation initiation factor eIF-2B subunit alpha</t>
  </si>
  <si>
    <t>Eukaryotic initiation factor 4A-II</t>
  </si>
  <si>
    <t>Transcription elongation factor B polypeptide 3</t>
  </si>
  <si>
    <t>Isoform 3 of Ensconsin</t>
  </si>
  <si>
    <t>Src substrate cortactin</t>
  </si>
  <si>
    <t>E3 ubiquitin/ISG15 ligase TRIM25</t>
  </si>
  <si>
    <t>Isoform 2 of Peptidyl-prolyl cis-trans isomerase FKBP8</t>
  </si>
  <si>
    <t>Protein FAM50A</t>
  </si>
  <si>
    <t>Guanidinoacetate N-methyltransferase</t>
  </si>
  <si>
    <t>UDP-glucose 4-epimerase</t>
  </si>
  <si>
    <t>Glucokinase regulatory protein</t>
  </si>
  <si>
    <t>Glycerol kinase 2</t>
  </si>
  <si>
    <t>Isoform 2 of Caprin-1</t>
  </si>
  <si>
    <t>Isoform 2 of RNA-binding protein 39</t>
  </si>
  <si>
    <t>Isoform 2 of Hyaluronan-binding protein 2</t>
  </si>
  <si>
    <t>Protein disulfide-isomerase A5</t>
  </si>
  <si>
    <t>Phosphoribosyl pyrophosphate synthase-associated protein 1</t>
  </si>
  <si>
    <t>DNA replication licensing factor MCM6</t>
  </si>
  <si>
    <t>Inter-alpha-trypsin inhibitor heavy chain H4</t>
  </si>
  <si>
    <t>Plastin-1</t>
  </si>
  <si>
    <t>Interferon regulatory factor 3</t>
  </si>
  <si>
    <t>L antigen family member 3</t>
  </si>
  <si>
    <t>E3 ubiquitin-protein ligase TRIP12</t>
  </si>
  <si>
    <t>Isoform 4 of Mediator of DNA damage checkpoint protein 1</t>
  </si>
  <si>
    <t>Clathrin interactor 1</t>
  </si>
  <si>
    <t>Isoform 2 of KN motif and ankyrin repeat domain-containing protein 1</t>
  </si>
  <si>
    <t>Structural maintenance of chromosomes protein 1A</t>
  </si>
  <si>
    <t>Isoform 6 of Disco-interacting protein 2 homolog A</t>
  </si>
  <si>
    <t>Ubiquitin carboxyl-terminal hydrolase 10</t>
  </si>
  <si>
    <t>LDLR chaperone MESD</t>
  </si>
  <si>
    <t>Neutral alpha-glucosidase AB</t>
  </si>
  <si>
    <t>Glycine N-methyltransferase</t>
  </si>
  <si>
    <t>Golgin subfamily B member 1</t>
  </si>
  <si>
    <t>Isoform 8 of Caspase-8</t>
  </si>
  <si>
    <t>N-alpha-acetyltransferase 30</t>
  </si>
  <si>
    <t>LIM and SH3 domain protein 1</t>
  </si>
  <si>
    <t>Thiomorpholine-carboxylate dehydrogenase</t>
  </si>
  <si>
    <t>Isoform 2 of Prostaglandin reductase 1</t>
  </si>
  <si>
    <t>Zinc finger protein 638</t>
  </si>
  <si>
    <t>Importin subunit beta-1</t>
  </si>
  <si>
    <t>Nucleolar and coiled-body phosphoprotein 1</t>
  </si>
  <si>
    <t>Isoform 2 of Nuclear mitotic apparatus protein 1</t>
  </si>
  <si>
    <t>Proteasome activator complex subunit 4</t>
  </si>
  <si>
    <t>Isoform 2 of N-alpha-acetyltransferase 25, NatB auxiliary subunit</t>
  </si>
  <si>
    <t>Pre-mRNA-splicing regulator WTAP</t>
  </si>
  <si>
    <t>26S proteasome non-ATPase regulatory subunit 6</t>
  </si>
  <si>
    <t>BRISC complex subunit Abro1</t>
  </si>
  <si>
    <t>Squamous cell carcinoma antigen recognized by T-cells 3</t>
  </si>
  <si>
    <t>Exosome complex component RRP42</t>
  </si>
  <si>
    <t>Isoform 2 of 116 kDa U5 small nuclear ribonucleoprotein component</t>
  </si>
  <si>
    <t>Isoform 2 of Sorting nexin-17</t>
  </si>
  <si>
    <t>Lysine--tRNA ligase</t>
  </si>
  <si>
    <t>Isoform Short of Eukaryotic translation initiation factor 4H</t>
  </si>
  <si>
    <t>Arf-GAP with coiled-coil, ANK repeat and PH domain-containing protein 2</t>
  </si>
  <si>
    <t>Bromodomain-containing protein 3</t>
  </si>
  <si>
    <t>Isoform 2 of Peroxisomal acyl-coenzyme A oxidase 1</t>
  </si>
  <si>
    <t>Early endosome antigen 1</t>
  </si>
  <si>
    <t>Platelet-activating factor acetylhydrolase IB subunit gamma</t>
  </si>
  <si>
    <t>[Pyruvate dehydrogenase [lipoamide]] kinase isozyme 1, mitochondrial</t>
  </si>
  <si>
    <t>[Pyruvate dehydrogenase [lipoamide]] kinase isozyme 2, mitochondrial</t>
  </si>
  <si>
    <t>[Pyruvate dehydrogenase [lipoamide]] kinase isozyme 3, mitochondrial</t>
  </si>
  <si>
    <t>Phosphomevalonate kinase</t>
  </si>
  <si>
    <t>Isoform 8 of Plectin</t>
  </si>
  <si>
    <t>Isoform 2 of Transcription elongation factor A protein-like 1</t>
  </si>
  <si>
    <t>Serine/threonine-protein phosphatase 2A 56 kDa regulatory subunit alpha isoform</t>
  </si>
  <si>
    <t>Inorganic pyrophosphatase</t>
  </si>
  <si>
    <t>Serine/threonine-protein kinase 38</t>
  </si>
  <si>
    <t>Isoform 2 of Non-POU domain-containing octamer-binding protein</t>
  </si>
  <si>
    <t>Isoform 1 of Serine/threonine-protein phosphatase 2A activator</t>
  </si>
  <si>
    <t>Serine/threonine-protein phosphatase 2A activator</t>
  </si>
  <si>
    <t>Receptor-type tyrosine-protein phosphatase kappa</t>
  </si>
  <si>
    <t>Nicotinate-nucleotide pyrophosphorylase [carboxylating]</t>
  </si>
  <si>
    <t>Rab GTPase-binding effector protein 1</t>
  </si>
  <si>
    <t>Retinoblastoma-binding protein 5</t>
  </si>
  <si>
    <t>Reticulocalbin-1</t>
  </si>
  <si>
    <t>RalA-binding protein 1</t>
  </si>
  <si>
    <t>Leucine-rich repeat-containing protein 41</t>
  </si>
  <si>
    <t>Poly(rC)-binding protein 1</t>
  </si>
  <si>
    <t>GTP-binding protein Rheb</t>
  </si>
  <si>
    <t>Ubiquitin-protein ligase E3C</t>
  </si>
  <si>
    <t>Splicing factor 3B subunit 3</t>
  </si>
  <si>
    <t>Ras suppressor protein 1</t>
  </si>
  <si>
    <t>Calponin-3</t>
  </si>
  <si>
    <t>Scaffold attachment factor B1</t>
  </si>
  <si>
    <t>Protein phosphatase 1 regulatory subunit 7</t>
  </si>
  <si>
    <t>Protein transport protein Sec23B</t>
  </si>
  <si>
    <t>Splicing factor 3A subunit 1</t>
  </si>
  <si>
    <t>Helicase SKI2W</t>
  </si>
  <si>
    <t>Regucalcin</t>
  </si>
  <si>
    <t>Isoform 2 of Surfeit locus protein 1</t>
  </si>
  <si>
    <t>Telomeric repeat-binding factor 2</t>
  </si>
  <si>
    <t>Isoform 4 of Microtubule-associated protein RP/EB family member 2</t>
  </si>
  <si>
    <t>Nuclear receptor coactivator 2</t>
  </si>
  <si>
    <t>Na(+)/H(+) exchange regulatory cofactor NHE-RF2</t>
  </si>
  <si>
    <t>Isoform 2 of RISC-loading complex subunit TARBP2</t>
  </si>
  <si>
    <t>Isoform 5 of Splicing factor 1</t>
  </si>
  <si>
    <t>Cdc42-interacting protein 4</t>
  </si>
  <si>
    <t>Thyroid receptor-interacting protein 11</t>
  </si>
  <si>
    <t>Isoform 2 of Probable JmjC domain-containing histone demethylation protein 2C</t>
  </si>
  <si>
    <t>Thyroid receptor-interacting protein 6</t>
  </si>
  <si>
    <t>Microtubule-associated protein RP/EB family member 1</t>
  </si>
  <si>
    <t>Isoform 2 of TSC22 domain family protein 1</t>
  </si>
  <si>
    <t>ELAV-like protein 1</t>
  </si>
  <si>
    <t>Isoform Del-1790 of Myosin light chain kinase, smooth muscle</t>
  </si>
  <si>
    <t>Isoform 2 of TGF-beta-activated kinase 1 and MAP3K7-binding protein 1</t>
  </si>
  <si>
    <t>Tubulin-specific chaperone E</t>
  </si>
  <si>
    <t>Tubulin-specific chaperone C</t>
  </si>
  <si>
    <t>Ubiquitin-conjugating enzyme E2 variant 2</t>
  </si>
  <si>
    <t>Syntaxin-binding protein 2</t>
  </si>
  <si>
    <t>Adipogenesis regulatory factor</t>
  </si>
  <si>
    <t>Ras-related protein Rab-11B</t>
  </si>
  <si>
    <t>Zyxin</t>
  </si>
  <si>
    <t>Septin-7</t>
  </si>
  <si>
    <t>Proteasomal ubiquitin receptor ADRM1</t>
  </si>
  <si>
    <t>Coiled-coil domain-containing protein 6</t>
  </si>
  <si>
    <t>Isoform 3 of UDP-N-acetylhexosamine pyrophosphorylase</t>
  </si>
  <si>
    <t>Isoform 2 of Insulin-like growth factor-binding protein 7</t>
  </si>
  <si>
    <t>Isoform 2 of 26S proteasome non-ATPase regulatory subunit 5</t>
  </si>
  <si>
    <t>Isoform 3 of Serine/threonine-protein kinase N2</t>
  </si>
  <si>
    <t>DNA damage-binding protein 1</t>
  </si>
  <si>
    <t>Mitogen-activated protein kinase 14</t>
  </si>
  <si>
    <t>Hsp90 co-chaperone Cdc37</t>
  </si>
  <si>
    <t>Isoform 2 of Dihydropyrimidinase-related protein 2</t>
  </si>
  <si>
    <t>Histone-binding protein RBBP7</t>
  </si>
  <si>
    <t>Isoform 5 of Occludin</t>
  </si>
  <si>
    <t>Male-enhanced antigen 1</t>
  </si>
  <si>
    <t>Isoform 3 of Serine/arginine-rich splicing factor 7</t>
  </si>
  <si>
    <t>Fascin</t>
  </si>
  <si>
    <t>Kynureninase</t>
  </si>
  <si>
    <t>Putative ATP-dependent Clp protease proteolytic subunit, mitochondrial</t>
  </si>
  <si>
    <t>Thiosulfate sulfurtransferase</t>
  </si>
  <si>
    <t>Kynurenine--oxoglutarate transaminase 1</t>
  </si>
  <si>
    <t>Hydroxyacylglutathione hydrolase, mitochondrial</t>
  </si>
  <si>
    <t>Isoform 4 of Laminin subunit alpha-3</t>
  </si>
  <si>
    <t>Phosphoenolpyruvate carboxykinase [GTP], mitochondrial</t>
  </si>
  <si>
    <t>Uridine phosphorylase 1</t>
  </si>
  <si>
    <t>Hydroxyacyl-coenzyme A dehydrogenase, mitochondrial</t>
  </si>
  <si>
    <t>Isoform 2 of UTP--glucose-1-phosphate uridylyltransferase</t>
  </si>
  <si>
    <t>UTP--glucose-1-phosphate uridylyltransferase</t>
  </si>
  <si>
    <t>Deoxyguanosine kinase, mitochondrial</t>
  </si>
  <si>
    <t>Cysteine dioxygenase type 1</t>
  </si>
  <si>
    <t>Isoform 5 of Putative deoxyribonuclease TATDN3</t>
  </si>
  <si>
    <t>Exocyst complex component 3-like protein 4</t>
  </si>
  <si>
    <t>Protein FAM98C</t>
  </si>
  <si>
    <t>Inverted formin-2</t>
  </si>
  <si>
    <t>Sister chromatid cohesion protein PDS5 homolog A</t>
  </si>
  <si>
    <t>WASH complex subunit 7</t>
  </si>
  <si>
    <t>Isoform 3 of Ral GTPase-activating protein subunit alpha-2</t>
  </si>
  <si>
    <t>Peroxisomal leader peptide-processing protease</t>
  </si>
  <si>
    <t>WD40 repeat-containing protein SMU1</t>
  </si>
  <si>
    <t>Autophagy-related protein 2 homolog A</t>
  </si>
  <si>
    <t>Isoform 2 of Leucine-rich repeat flightless-interacting protein 1</t>
  </si>
  <si>
    <t>Isoform 4 of Leucine-rich repeat flightless-interacting protein 1</t>
  </si>
  <si>
    <t>Echinoderm microtubule-associated protein-like 3</t>
  </si>
  <si>
    <t>Glucose-fructose oxidoreductase domain-containing protein 2</t>
  </si>
  <si>
    <t>Bifunctional ATP-dependent dihydroxyacetone kinase/FAD-AMP lyase (cyclizing)</t>
  </si>
  <si>
    <t>Protein LSM12 homolog</t>
  </si>
  <si>
    <t>Putative tRNA pseudouridine synthase Pus10</t>
  </si>
  <si>
    <t>Galectin-related protein</t>
  </si>
  <si>
    <t>Isoform 5 of Putative oxidoreductase GLYR1</t>
  </si>
  <si>
    <t>Cerebral dopamine neurotrophic factor</t>
  </si>
  <si>
    <t>Isoform 3 of UPF0489 protein C5orf22</t>
  </si>
  <si>
    <t>Cytochrome c oxidase assembly protein COX19</t>
  </si>
  <si>
    <t>Vacuolar protein sorting-associated protein 26B</t>
  </si>
  <si>
    <t>La-related protein 7</t>
  </si>
  <si>
    <t>NAD kinase domain-containing protein 1, mitochondrial</t>
  </si>
  <si>
    <t>BTB/POZ domain-containing protein KCTD21</t>
  </si>
  <si>
    <t>Acyl-CoA synthetase family member 3, mitochondrial</t>
  </si>
  <si>
    <t>TBC1 domain family member 10B</t>
  </si>
  <si>
    <t>Isoform 3 of 1-phosphatidylinositol 4,5-bisphosphate phosphodiesterase eta-1</t>
  </si>
  <si>
    <t>GRIP1-associated protein 1</t>
  </si>
  <si>
    <t>Isoform 2 of PAB-dependent poly(A)-specific ribonuclease subunit 2</t>
  </si>
  <si>
    <t>Isoform 2 of Protein FAM98B</t>
  </si>
  <si>
    <t>Rho GTPase-activating protein 29</t>
  </si>
  <si>
    <t>Quinone oxidoreductase PIG3</t>
  </si>
  <si>
    <t>Acyl-coenzyme A synthetase ACSM3, mitochondrial</t>
  </si>
  <si>
    <t>Isoform 3 of U4/U6.U5 tri-snRNP-associated protein 2</t>
  </si>
  <si>
    <t>Beta-lactamase-like protein 2</t>
  </si>
  <si>
    <t>Protein TSSC1</t>
  </si>
  <si>
    <t>Ankyrin repeat domain-containing protein SOWAHC</t>
  </si>
  <si>
    <t>BolA-like protein 3</t>
  </si>
  <si>
    <t>Putative heat shock protein HSP 90-beta 2</t>
  </si>
  <si>
    <t>Putative heat shock protein HSP 90-alpha A4</t>
  </si>
  <si>
    <t>Isoform 4 of DDB1- and CUL4-associated factor 6</t>
  </si>
  <si>
    <t>Oxidoreductase-like domain-containing protein 1</t>
  </si>
  <si>
    <t>PDZ domain-containing protein 11</t>
  </si>
  <si>
    <t>UMP-CMP kinase 2, mitochondrial</t>
  </si>
  <si>
    <t>Isoform 6 of Probable E3 ubiquitin-protein ligase HERC4</t>
  </si>
  <si>
    <t>Isoform 3 of SH3 domain-containing protein 19</t>
  </si>
  <si>
    <t>Isoform 3 of Microtubule-associated tumor suppressor candidate 2</t>
  </si>
  <si>
    <t>Presequence protease, mitochondrial</t>
  </si>
  <si>
    <t>NHL repeat-containing protein 3</t>
  </si>
  <si>
    <t>Isoform 2 of WD repeat-containing protein 44</t>
  </si>
  <si>
    <t>Isoform 4 of Tight junction-associated protein 1</t>
  </si>
  <si>
    <t>Isoform 3 of Cytochrome c oxidase assembly factor 6 homolog</t>
  </si>
  <si>
    <t>Isoform 2 of Torsin-1A-interacting protein 1</t>
  </si>
  <si>
    <t>Alanine--tRNA ligase, mitochondrial</t>
  </si>
  <si>
    <t>Isoform 3 of PCI domain-containing protein 2</t>
  </si>
  <si>
    <t>Intracellular hyaluronan-binding protein 4</t>
  </si>
  <si>
    <t>Isoform 3 of Serine/threonine-protein phosphatase 4 regulatory subunit 3B</t>
  </si>
  <si>
    <t>WD repeat domain phosphoinositide-interacting protein 3</t>
  </si>
  <si>
    <t>Tubulin-specific chaperone cofactor E-like protein</t>
  </si>
  <si>
    <t>Tetratricopeptide repeat protein 38</t>
  </si>
  <si>
    <t>Uncharacterized protein C1orf173</t>
  </si>
  <si>
    <t>Exosome complex component MTR3</t>
  </si>
  <si>
    <t>Isoform 2 of Nucleoporin NUP188 homolog</t>
  </si>
  <si>
    <t>Isoform 2 of Phytanoyl-CoA dioxygenase domain-containing protein 1</t>
  </si>
  <si>
    <t>Heterochromatin protein 1-binding protein 3</t>
  </si>
  <si>
    <t>Valine--tRNA ligase, mitochondrial</t>
  </si>
  <si>
    <t>Isoform 2 of Centrosomal protein of 170 kDa</t>
  </si>
  <si>
    <t>DNL-type zinc finger protein</t>
  </si>
  <si>
    <t>Isoform 2 of NHS-like protein 1</t>
  </si>
  <si>
    <t>Isoform 3 of Formin-binding protein 1-like</t>
  </si>
  <si>
    <t>Probable arginine--tRNA ligase, mitochondrial</t>
  </si>
  <si>
    <t>FK506-binding protein 15</t>
  </si>
  <si>
    <t>UPF0668 protein C10orf76</t>
  </si>
  <si>
    <t>Na(+)/H(+) exchange regulatory cofactor NHE-RF3</t>
  </si>
  <si>
    <t>Putative transferase CAF17, mitochondrial</t>
  </si>
  <si>
    <t>Isoform 6 of Protrudin</t>
  </si>
  <si>
    <t>Isoform 3 of E3 ubiquitin-protein ligase UBR4</t>
  </si>
  <si>
    <t>Sickle tail protein homolog</t>
  </si>
  <si>
    <t>Isoform 3 of Rho GTPase-activating protein 21</t>
  </si>
  <si>
    <t>Ubiquitin-associated protein 2</t>
  </si>
  <si>
    <t>Probable gluconokinase</t>
  </si>
  <si>
    <t>UPF0553 protein C9orf64</t>
  </si>
  <si>
    <t>RAB6-interacting golgin</t>
  </si>
  <si>
    <t>Isoform 2 of Acyl-CoA-binding domain-containing protein 5</t>
  </si>
  <si>
    <t>Acyl-CoA-binding domain-containing protein 5</t>
  </si>
  <si>
    <t>Isoform 2 of RNA-binding protein 26</t>
  </si>
  <si>
    <t>Glycolipid transfer protein domain-containing protein 1</t>
  </si>
  <si>
    <t>ATP synthase mitochondrial F1 complex assembly factor 1</t>
  </si>
  <si>
    <t>Isoform 4 of Membrane-associated guanylate kinase, WW and PDZ domain-containing protein 3</t>
  </si>
  <si>
    <t>Protein DDI1 homolog 2</t>
  </si>
  <si>
    <t>NADH dehydrogenase [ubiquinone] 1 alpha subcomplex assembly factor 5</t>
  </si>
  <si>
    <t>5-nucleotidase domain-containing protein 1</t>
  </si>
  <si>
    <t>Signal-regulatory protein beta-1 isoform 3</t>
  </si>
  <si>
    <t>Complex III assembly factor LYRM7</t>
  </si>
  <si>
    <t>Isoform 2 of Telomere-associated protein RIF1</t>
  </si>
  <si>
    <t>Isoform 4 of Vacuolar protein sorting-associated protein 53 homolog</t>
  </si>
  <si>
    <t>Striatin-interacting protein 1</t>
  </si>
  <si>
    <t>Centrosome-associated protein 350</t>
  </si>
  <si>
    <t>Isoform 2 of Regulation of nuclear pre-mRNA domain-containing protein 2</t>
  </si>
  <si>
    <t>E3 ubiquitin-protein ligase RNF220</t>
  </si>
  <si>
    <t>Putative elongation factor 1-alpha-like 3</t>
  </si>
  <si>
    <t>E3 ubiquitin-protein ligase BRE1A</t>
  </si>
  <si>
    <t>Zinc finger protein 318</t>
  </si>
  <si>
    <t>Uncharacterized protein C1orf53</t>
  </si>
  <si>
    <t>Isoform 2 of Ubiquitin thioesterase OTU1</t>
  </si>
  <si>
    <t>BRO1 domain-containing protein BROX</t>
  </si>
  <si>
    <t>Focadhesin</t>
  </si>
  <si>
    <t>Muscular LMNA-interacting protein</t>
  </si>
  <si>
    <t>Isoform 3 of Disabled homolog 2-interacting protein</t>
  </si>
  <si>
    <t>Lysophospholipase-like protein 1</t>
  </si>
  <si>
    <t>Proteasome-associated protein ECM29 homolog</t>
  </si>
  <si>
    <t>Isoform 6 of Terminal uridylyltransferase 7</t>
  </si>
  <si>
    <t>Isoform 2 of Renalase</t>
  </si>
  <si>
    <t>Isoform 4 of Zinc finger MYM-type protein 4</t>
  </si>
  <si>
    <t>Protein FAM160B1</t>
  </si>
  <si>
    <t>Isoform 2 of SPRY domain-containing protein 7</t>
  </si>
  <si>
    <t>Kynurenine formamidase</t>
  </si>
  <si>
    <t>E3 ubiquitin-protein ligase RNF213</t>
  </si>
  <si>
    <t>Isoform 2 of Tensin-like C1 domain-containing phosphatase</t>
  </si>
  <si>
    <t>Isoform 3 of KN motif and ankyrin repeat domain-containing protein 2</t>
  </si>
  <si>
    <t>Isoform 3 of Putative methyltransferase NSUN5C</t>
  </si>
  <si>
    <t>Isoform 2 of TBC1 domain family member 9B</t>
  </si>
  <si>
    <t>ADP-ribosylation factor-like protein 6-interacting protein 4</t>
  </si>
  <si>
    <t>Isoform 2 of Autophagy-related protein 16-1</t>
  </si>
  <si>
    <t>Acyl-coenzyme A synthetase ACSM2B, mitochondrial</t>
  </si>
  <si>
    <t>Digestive organ expansion factor homolog</t>
  </si>
  <si>
    <t>Tensin-3</t>
  </si>
  <si>
    <t>Isoform 6 of Rho GTPase-activating protein 17</t>
  </si>
  <si>
    <t>CWF19-like protein 1</t>
  </si>
  <si>
    <t>Isoform 2 of Cytospin-A</t>
  </si>
  <si>
    <t>Putative 3-phosphoinositide-dependent protein kinase 2</t>
  </si>
  <si>
    <t>Atlastin-3</t>
  </si>
  <si>
    <t>Isoform 2 of IQ motif and SEC7 domain-containing protein 1</t>
  </si>
  <si>
    <t>Isoform 5 of DNA-directed RNA polymerase II subunit GRINL1A, isoforms 4/5</t>
  </si>
  <si>
    <t>Vasorin</t>
  </si>
  <si>
    <t>Isoform 3 of Anamorsin</t>
  </si>
  <si>
    <t>Isoform 2 of AN1-type zinc finger protein 6</t>
  </si>
  <si>
    <t>Fatty-acid amide hydrolase 2</t>
  </si>
  <si>
    <t>SET and MYND domain-containing protein 5</t>
  </si>
  <si>
    <t>Putative peptidyl-tRNA hydrolase PTRHD1</t>
  </si>
  <si>
    <t>Isoform 2 of OTU domain-containing protein 7B</t>
  </si>
  <si>
    <t>Glutamine-dependent NAD(+) synthetase</t>
  </si>
  <si>
    <t>Isoform 4 of Elongator complex protein 2</t>
  </si>
  <si>
    <t>Glycine N-acyltransferase</t>
  </si>
  <si>
    <t>Twinfilin-2</t>
  </si>
  <si>
    <t>GRAM domain-containing protein 4</t>
  </si>
  <si>
    <t>Isoform 2 of Serine/threonine-protein phosphatase 4 regulatory subunit 3A</t>
  </si>
  <si>
    <t>LYR motif-containing protein 5</t>
  </si>
  <si>
    <t>Ras-related protein Rab-12</t>
  </si>
  <si>
    <t>Pleckstrin homology domain-containing family A member 7</t>
  </si>
  <si>
    <t>Acyl-CoA dehydrogenase family member 10</t>
  </si>
  <si>
    <t>Isoform 3 of Nipped-B-like protein</t>
  </si>
  <si>
    <t>Isoform 2 of Zinc finger protein 280D</t>
  </si>
  <si>
    <t>2-oxoglutarate and iron-dependent oxygenase domain-containing protein 2</t>
  </si>
  <si>
    <t>Acyl-coenzyme A synthetase ACSM5, mitochondrial</t>
  </si>
  <si>
    <t>Isoform 2 of Transmembrane protein 214</t>
  </si>
  <si>
    <t>3-hydroxyisobutyryl-CoA hydrolase, mitochondrial</t>
  </si>
  <si>
    <t>Phostensin</t>
  </si>
  <si>
    <t>Zinc finger CCHC domain-containing protein 8</t>
  </si>
  <si>
    <t>Parafibromin</t>
  </si>
  <si>
    <t>Isoform 2 of Coiled-coil and C2 domain-containing protein 1A</t>
  </si>
  <si>
    <t>Putative deoxyribonuclease TATDN1</t>
  </si>
  <si>
    <t>UPF0598 protein C8orf82</t>
  </si>
  <si>
    <t>Enhancer of mRNA-decapping protein 4</t>
  </si>
  <si>
    <t>Putative protein arginine N-methyltransferase 10</t>
  </si>
  <si>
    <t>Pre-mRNA-processing-splicing factor 8</t>
  </si>
  <si>
    <t>Tetratricopeptide repeat protein 27</t>
  </si>
  <si>
    <t>Phospholipase B-like 1</t>
  </si>
  <si>
    <t>Adrenodoxin-like protein, mitochondrial</t>
  </si>
  <si>
    <t>Acylpyruvase FAHD1, mitochondrial</t>
  </si>
  <si>
    <t>Uncharacterized protein C8orf47</t>
  </si>
  <si>
    <t>Alpha- and gamma-adaptin-binding protein p34</t>
  </si>
  <si>
    <t>Tetratricopeptide repeat protein 37</t>
  </si>
  <si>
    <t>Aspartate--tRNA ligase, mitochondrial</t>
  </si>
  <si>
    <t>Isoform 5 of Zinc finger CCCH domain-containing protein 14</t>
  </si>
  <si>
    <t>La-related protein 1</t>
  </si>
  <si>
    <t>Isoform 5 of Peroxisomal N(1)-acetyl-spermine/spermidine oxidase</t>
  </si>
  <si>
    <t>Biogenesis of lysosome-related organelles complex 1 subunit 3</t>
  </si>
  <si>
    <t>Methionine aminopeptidase 1D, mitochondrial</t>
  </si>
  <si>
    <t>Isoform 5 of Aftiphilin</t>
  </si>
  <si>
    <t>Isoform 4 of Pre-mRNA 3-end-processing factor FIP1</t>
  </si>
  <si>
    <t>Isoform 2 of E3 ubiquitin-protein ligase LRSAM1</t>
  </si>
  <si>
    <t>Dehydrogenase/reductase SDR family member 11</t>
  </si>
  <si>
    <t>Methyltransferase-like protein 7B</t>
  </si>
  <si>
    <t>Isoform 4 of Cysteine-rich with EGF-like domain protein 2</t>
  </si>
  <si>
    <t>WD repeat-containing protein 82</t>
  </si>
  <si>
    <t>Apolipoprotein O-like</t>
  </si>
  <si>
    <t>Phosphofurin acidic cluster sorting protein 1</t>
  </si>
  <si>
    <t>Nicotinate phosphoribosyltransferase</t>
  </si>
  <si>
    <t>Dynamin-binding protein</t>
  </si>
  <si>
    <t>Isoform 3 of PERQ amino acid-rich with GYF domain-containing protein 2</t>
  </si>
  <si>
    <t>Hydroxysteroid dehydrogenase-like protein 2</t>
  </si>
  <si>
    <t>Isoform 3 of Kynurenine--oxoglutarate transaminase 3</t>
  </si>
  <si>
    <t>Protein phosphatase 1 regulatory subunit 21</t>
  </si>
  <si>
    <t>GDP-D-glucose phosphorylase 1</t>
  </si>
  <si>
    <t>Uncharacterized protein C1orf122</t>
  </si>
  <si>
    <t>E3 ubiquitin-protein ligase UBR3</t>
  </si>
  <si>
    <t>Phosphoinositide 3-kinase adapter protein 1</t>
  </si>
  <si>
    <t>Isoform 3 of Vacuolar protein sorting-associated protein 13C</t>
  </si>
  <si>
    <t>Acyl-CoA dehydrogenase family member 11</t>
  </si>
  <si>
    <t>Ras-associated and pleckstrin homology domains-containing protein 1</t>
  </si>
  <si>
    <t>Ubiquitin-conjugating enzyme E2 R2</t>
  </si>
  <si>
    <t>Isoform 6 of La-related protein 4</t>
  </si>
  <si>
    <t>Isoform 2 of Tubulin alpha-1A chain</t>
  </si>
  <si>
    <t>MTSS1-like protein</t>
  </si>
  <si>
    <t>Transcription elongation factor SPT6</t>
  </si>
  <si>
    <t>Staphylococcal nuclease domain-containing protein 1</t>
  </si>
  <si>
    <t>Isoform 12 of Serine/threonine-protein kinase MARK2</t>
  </si>
  <si>
    <t>Probable ATP-dependent RNA helicase DDX46</t>
  </si>
  <si>
    <t>Isoform 4 of Protein RUFY3</t>
  </si>
  <si>
    <t>Mitochondrial ribonuclease P protein 1</t>
  </si>
  <si>
    <t>Basic leucine zipper and W2 domain-containing protein 1</t>
  </si>
  <si>
    <t>Leucine-rich repeat-containing protein 8D</t>
  </si>
  <si>
    <t>7SK snRNA methylphosphate capping enzyme</t>
  </si>
  <si>
    <t>Cytoplasmic FMR1-interacting protein 1</t>
  </si>
  <si>
    <t>Golgi to ER traffic protein 4 homolog</t>
  </si>
  <si>
    <t>Mitochondrial enolase superfamily member 1</t>
  </si>
  <si>
    <t>EPM2A-interacting protein 1</t>
  </si>
  <si>
    <t>Isoform 3 of Serine/threonine-protein kinase TAO1</t>
  </si>
  <si>
    <t>FAST kinase domain-containing protein 5</t>
  </si>
  <si>
    <t>Lysine-specific demethylase 3B</t>
  </si>
  <si>
    <t>Charged multivesicular body protein 1b</t>
  </si>
  <si>
    <t>Ribonucleoside-diphosphate reductase subunit M2 B</t>
  </si>
  <si>
    <t>Protein-methionine sulfoxide oxidase MICAL3</t>
  </si>
  <si>
    <t>PHD finger-like domain-containing protein 5A</t>
  </si>
  <si>
    <t>Zinc finger CCCH-type antiviral protein 1</t>
  </si>
  <si>
    <t>Elongation factor Tu GTP-binding domain-containing protein 1</t>
  </si>
  <si>
    <t>UPF0505 protein C16orf62</t>
  </si>
  <si>
    <t>Zinc finger FYVE domain-containing protein 16</t>
  </si>
  <si>
    <t>Isoform 6 of Myosin-14</t>
  </si>
  <si>
    <t>Nuclear fragile X mental retardation-interacting protein 2</t>
  </si>
  <si>
    <t>Isoform 2 of SUZ domain-containing protein 1</t>
  </si>
  <si>
    <t>Mitochondrial antiviral-signaling protein</t>
  </si>
  <si>
    <t>Isoform 2 of CLIP-associating protein 1</t>
  </si>
  <si>
    <t>ATP-dependent RNA helicase DHX29</t>
  </si>
  <si>
    <t>COMM domain-containing protein 6</t>
  </si>
  <si>
    <t>Isoform 2 of tRNA (guanine(10)-N2)-methyltransferase homolog</t>
  </si>
  <si>
    <t>Isoform 2 of HD domain-containing protein 2</t>
  </si>
  <si>
    <t>KDEL motif-containing protein 2</t>
  </si>
  <si>
    <t>Isoform 3 of LIM and senescent cell antigen-like-containing domain protein 2</t>
  </si>
  <si>
    <t>Isoform 3 of Kinesin-like protein KIF21A</t>
  </si>
  <si>
    <t>Hepatoma-derived growth factor-related protein 2</t>
  </si>
  <si>
    <t>L-xylulose reductase</t>
  </si>
  <si>
    <t>Isoform 3 of Wings apart-like protein homolog</t>
  </si>
  <si>
    <t>Isoform 2 of Interferon regulatory factor 2-binding protein 2</t>
  </si>
  <si>
    <t>17-beta-hydroxysteroid dehydrogenase 13</t>
  </si>
  <si>
    <t>Amyloid beta A4 precursor protein-binding family B member 1-interacting protein</t>
  </si>
  <si>
    <t>Isoform 2 of Coiled-coil domain-containing protein 91</t>
  </si>
  <si>
    <t>Isoform 2 of E3 ubiquitin-protein ligase RBBP6</t>
  </si>
  <si>
    <t>Protein prenyltransferase alpha subunit repeat-containing protein 1</t>
  </si>
  <si>
    <t>Rab9 effector protein with kelch motifs</t>
  </si>
  <si>
    <t>Isoform 2 of E3 ubiquitin-protein ligase HUWE1</t>
  </si>
  <si>
    <t>Ubiquitin-conjugating enzyme E2 Q1</t>
  </si>
  <si>
    <t>COX assembly mitochondrial protein homolog</t>
  </si>
  <si>
    <t>Isoform 3 of Pleckstrin homology-like domain family B member 2</t>
  </si>
  <si>
    <t>Pleckstrin homology-like domain family B member 2</t>
  </si>
  <si>
    <t>Glutaredoxin-related protein 5, mitochondrial</t>
  </si>
  <si>
    <t>Isoform 2 of Trafficking protein particle complex subunit 6B</t>
  </si>
  <si>
    <t>Isoform 4 of Protein PAT1 homolog 1</t>
  </si>
  <si>
    <t>Dipeptidyl peptidase 9</t>
  </si>
  <si>
    <t>Protein prune homolog</t>
  </si>
  <si>
    <t>Histone-lysine N-methyltransferase setd3</t>
  </si>
  <si>
    <t>Acyl-coenzyme A thioesterase 1</t>
  </si>
  <si>
    <t>Serpin A11</t>
  </si>
  <si>
    <t>Iron-sulfur cluster assembly 2 homolog, mitochondrial</t>
  </si>
  <si>
    <t>Isoform 2 of Polyadenylate-binding protein 2</t>
  </si>
  <si>
    <t>N6-adenosine-methyltransferase 70 kDa subunit</t>
  </si>
  <si>
    <t>YrdC domain-containing protein, mitochondrial</t>
  </si>
  <si>
    <t>Pre-mRNA-processing factor 39</t>
  </si>
  <si>
    <t>Isoform 2 of Zinc finger protein 598</t>
  </si>
  <si>
    <t>Kinectin</t>
  </si>
  <si>
    <t>Isoform 3 of NADPH oxidase activator 1</t>
  </si>
  <si>
    <t>Isoform 4 of B-cell CLL/lymphoma 9-like protein</t>
  </si>
  <si>
    <t>Isoform 2 of Fermitin family homolog 3</t>
  </si>
  <si>
    <t>Isoform 2 of 5-nucleotidase domain-containing protein 3</t>
  </si>
  <si>
    <t>THO complex subunit 4</t>
  </si>
  <si>
    <t>Isoform 2 of Zinc finger CCCH domain-containing protein 18</t>
  </si>
  <si>
    <t>Isoform 2 of Vacuolar protein-sorting-associated protein 36</t>
  </si>
  <si>
    <t>Cullin-associated NEDD8-dissociated protein 1</t>
  </si>
  <si>
    <t>Thioredoxin reductase 3</t>
  </si>
  <si>
    <t>Protein FAM134C</t>
  </si>
  <si>
    <t>Protein Hook homolog 3</t>
  </si>
  <si>
    <t>Isoform 2 of COMM domain-containing protein 7</t>
  </si>
  <si>
    <t>Isoform 4 of Liprin-beta-1</t>
  </si>
  <si>
    <t>Valacyclovir hydrolase</t>
  </si>
  <si>
    <t>Coiled-coil domain-containing protein 25</t>
  </si>
  <si>
    <t>Proline and serine-rich protein 2</t>
  </si>
  <si>
    <t>Isoform 2 of Probable D-lactate dehydrogenase, mitochondrial</t>
  </si>
  <si>
    <t>Isoform 3 of Ral GTPase-activating protein subunit beta</t>
  </si>
  <si>
    <t>Isoform 1 of Histone-arginine methyltransferase CARM1</t>
  </si>
  <si>
    <t>Isoform 1 of Nitrilase homolog 1</t>
  </si>
  <si>
    <t>COMM domain-containing protein 2</t>
  </si>
  <si>
    <t>Probable 4-hydroxy-2-oxoglutarate aldolase, mitochondrial</t>
  </si>
  <si>
    <t>ATP-dependent RNA helicase DDX42</t>
  </si>
  <si>
    <t>Isoform 4 of Serine/threonine-protein kinase VRK2</t>
  </si>
  <si>
    <t>Isoform 2 of HEAT repeat-containing protein 2</t>
  </si>
  <si>
    <t>Syntaxin-12</t>
  </si>
  <si>
    <t>Enoyl-CoA hydratase domain-containing protein 2, mitochondrial</t>
  </si>
  <si>
    <t>Decaprenyl-diphosphate synthase subunit 2</t>
  </si>
  <si>
    <t>Isoform 4 of Threonine synthase-like 2</t>
  </si>
  <si>
    <t>Testis development-related protein</t>
  </si>
  <si>
    <t>Isoform 2 of Transcriptional repressor p66-alpha</t>
  </si>
  <si>
    <t>C2 domain-containing protein 5</t>
  </si>
  <si>
    <t>Rhophilin-2</t>
  </si>
  <si>
    <t>ELKS/Rab6-interacting/CAST family member 1</t>
  </si>
  <si>
    <t>5-phosphohydroxy-L-lysine phospho-lyase</t>
  </si>
  <si>
    <t>Phospholipase D3</t>
  </si>
  <si>
    <t>Ankyrin repeat and MYND domain-containing protein 2</t>
  </si>
  <si>
    <t>LysM and putative peptidoglycan-binding domain-containing protein 2</t>
  </si>
  <si>
    <t>NudC domain-containing protein 3</t>
  </si>
  <si>
    <t>Isoform 3 of Protein AHNAK2</t>
  </si>
  <si>
    <t>Methylmalonic aciduria type A protein, mitochondrial</t>
  </si>
  <si>
    <t>Coiled-coil domain-containing protein 50</t>
  </si>
  <si>
    <t>Malonyl-CoA-acyl carrier protein transacylase, mitochondrial</t>
  </si>
  <si>
    <t>Glycerate kinase</t>
  </si>
  <si>
    <t>ATP-dependent (S)-NAD(P)H-hydrate dehydratase</t>
  </si>
  <si>
    <t>Testis-expressed sequence 2 protein</t>
  </si>
  <si>
    <t>Protein NOXP20</t>
  </si>
  <si>
    <t>GRIP and coiled-coil domain-containing protein 2</t>
  </si>
  <si>
    <t>Iron-sulfur cluster co-chaperone protein HscB, mitochondrial</t>
  </si>
  <si>
    <t>Serine/threonine-protein kinase LMTK2</t>
  </si>
  <si>
    <t>E3 ubiquitin-protein ligase UBR1</t>
  </si>
  <si>
    <t>Isoform 2 of Rho GTPase-activating protein 12</t>
  </si>
  <si>
    <t>Hydroxyacid-oxoacid transhydrogenase, mitochondrial</t>
  </si>
  <si>
    <t>Calcium homeostasis endoplasmic reticulum protein</t>
  </si>
  <si>
    <t>Ankyrin repeat and KH domain-containing protein 1</t>
  </si>
  <si>
    <t>SURP and G-patch domain-containing protein 1</t>
  </si>
  <si>
    <t>Isoform 6 of Ubiquitin-conjugating enzyme E2 variant 3</t>
  </si>
  <si>
    <t>Isoform 2 of Cell division cycle and apoptosis regulator protein 1</t>
  </si>
  <si>
    <t>Isoform NELF-D of Negative elongation factor C/D</t>
  </si>
  <si>
    <t>Isoform 2 of NAD-dependent protein deacetylase sirtuin-2</t>
  </si>
  <si>
    <t>Uncharacterized protein KIAA1704</t>
  </si>
  <si>
    <t>Isoform 2 of Poly [ADP-ribose] polymerase 9</t>
  </si>
  <si>
    <t>Isoform 2 of Solute carrier family 35 member F3</t>
  </si>
  <si>
    <t>Isoform 2 of Coiled-coil domain-containing protein 36</t>
  </si>
  <si>
    <t>Isoform 3 of Stromal membrane-associated protein 1</t>
  </si>
  <si>
    <t>DIS3-like exonuclease 2</t>
  </si>
  <si>
    <t>ATP-dependent RNA helicase SUPV3L1, mitochondrial</t>
  </si>
  <si>
    <t>Eukaryotic peptide chain release factor GTP-binding subunit ERF3B</t>
  </si>
  <si>
    <t>Exocyst complex component 8</t>
  </si>
  <si>
    <t>UPF0688 protein C1orf174</t>
  </si>
  <si>
    <t>Threonine synthase-like 1</t>
  </si>
  <si>
    <t>Peptidase M20 domain-containing protein 2</t>
  </si>
  <si>
    <t>Katanin p60 ATPase-containing subunit A-like 2</t>
  </si>
  <si>
    <t>Ankyrin repeat domain-containing protein 13A</t>
  </si>
  <si>
    <t>Isoform 3 of Phosphatase and actin regulator 4</t>
  </si>
  <si>
    <t>tRNA (uracil-5-)-methyltransferase homolog A</t>
  </si>
  <si>
    <t>Aldehyde dehydrogenase family 16 member A1</t>
  </si>
  <si>
    <t>Isoform 10 of Abl interactor 1</t>
  </si>
  <si>
    <t>Protein FAM185A</t>
  </si>
  <si>
    <t>L-fucose kinase</t>
  </si>
  <si>
    <t>Citrate lyase subunit beta-like protein, mitochondrial</t>
  </si>
  <si>
    <t>Spartin</t>
  </si>
  <si>
    <t>Protein canopy homolog 4</t>
  </si>
  <si>
    <t>Adenylosuccinate synthetase isozyme 1</t>
  </si>
  <si>
    <t>DBIRD complex subunit KIAA1967</t>
  </si>
  <si>
    <t>Vacuolar protein sorting-associated protein 52 homolog</t>
  </si>
  <si>
    <t>Nuclear pore complex protein Nup93</t>
  </si>
  <si>
    <t>Cap-specific mRNA (nucleoside-2-O-)-methyltransferase 1</t>
  </si>
  <si>
    <t>Leucine-rich repeat-containing protein 47</t>
  </si>
  <si>
    <t>Dedicator of cytokinesis protein 4</t>
  </si>
  <si>
    <t>Carbonic anhydrase 13</t>
  </si>
  <si>
    <t>Integrator complex subunit 1</t>
  </si>
  <si>
    <t>Ankyrin repeat domain-containing protein 35</t>
  </si>
  <si>
    <t>Pyridine nucleotide-disulfide oxidoreductase domain-containing protein 2</t>
  </si>
  <si>
    <t>EH domain-binding protein 1-like protein 1</t>
  </si>
  <si>
    <t>MICAL-like protein 1</t>
  </si>
  <si>
    <t>Isoform 2 of Vacuolar protein sorting-associated protein 8 homolog</t>
  </si>
  <si>
    <t>Isoform 2 of Synaptopodin</t>
  </si>
  <si>
    <t>Formin-binding protein 4</t>
  </si>
  <si>
    <t>D-2-hydroxyglutarate dehydrogenase, mitochondrial</t>
  </si>
  <si>
    <t>RING1 and YY1-binding protein</t>
  </si>
  <si>
    <t>Isoform 4 of Probable hydrolase PNKD</t>
  </si>
  <si>
    <t>Isoform 1 of Misshapen-like kinase 1</t>
  </si>
  <si>
    <t>UPF0586 protein C9orf41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</si>
  <si>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</si>
  <si>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</si>
  <si>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</si>
  <si>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Carbonyl reductase family member 4</t>
  </si>
  <si>
    <t>Isoform 2 of Oxidation resistance protein 1</t>
  </si>
  <si>
    <t>S1 RNA-binding domain-containing protein 1</t>
  </si>
  <si>
    <t>Macoilin</t>
  </si>
  <si>
    <t>Uncharacterized protein C12orf45</t>
  </si>
  <si>
    <t>Ribonuclease P protein subunit p25-like protein</t>
  </si>
  <si>
    <t>ATP synthase mitochondrial F1 complex assembly factor 2</t>
  </si>
  <si>
    <t>39S ribosomal protein L50, mitochondrial</t>
  </si>
  <si>
    <t>Ephexin-1</t>
  </si>
  <si>
    <t>Kynurenine/alpha-aminoadipate aminotransferase, mitochondrial</t>
  </si>
  <si>
    <t>Isoform 2 of Cleavage and polyadenylation specificity factor subunit 7</t>
  </si>
  <si>
    <t>ADP-ribosylation factor GTPase-activating protein 2</t>
  </si>
  <si>
    <t>Isoform 2 of UPF0690 protein C1orf52</t>
  </si>
  <si>
    <t>Prostaglandin reductase 2</t>
  </si>
  <si>
    <t>Protein enabled homolog</t>
  </si>
  <si>
    <t>Guanylate-binding protein 7</t>
  </si>
  <si>
    <t>Isoform 3 of Uncharacterized protein C12orf29</t>
  </si>
  <si>
    <t>Acyl-coenzyme A thioesterase 4</t>
  </si>
  <si>
    <t>Isoform 2 of WD repeat, SAM and U-box domain-containing protein 1</t>
  </si>
  <si>
    <t>NHL repeat-containing protein 2</t>
  </si>
  <si>
    <t>Sulfatase-modifying factor 2</t>
  </si>
  <si>
    <t>Saccharopine dehydrogenase-like oxidoreductase</t>
  </si>
  <si>
    <t>Acyl-CoA-binding domain-containing protein 4</t>
  </si>
  <si>
    <t>Isoform 4 of Plasminogen activator inhibitor 1 RNA-binding protein</t>
  </si>
  <si>
    <t>Adaptin ear-binding coat-associated protein 1</t>
  </si>
  <si>
    <t>Isoform 2 of Protein FAM98A</t>
  </si>
  <si>
    <t>Group XV phospholipase A2</t>
  </si>
  <si>
    <t>Pyruvate dehydrogenase phosphatase regulatory subunit, mitochondrial</t>
  </si>
  <si>
    <t>Isoform 2 of NAD(P)H-hydrate epimerase</t>
  </si>
  <si>
    <t>NAD(P)H-hydrate epimerase</t>
  </si>
  <si>
    <t>RING finger protein 214</t>
  </si>
  <si>
    <t>Liprin-beta-2</t>
  </si>
  <si>
    <t>Isoform 3 of Cyclin-Y</t>
  </si>
  <si>
    <t>Isoform 2 of Probable aminopeptidase NPEPL1</t>
  </si>
  <si>
    <t>Isoform 3 of EH domain-binding protein 1</t>
  </si>
  <si>
    <t>Choline dehydrogenase, mitochondrial</t>
  </si>
  <si>
    <t>Isoform 2 of ATP-binding cassette sub-family F member 1</t>
  </si>
  <si>
    <t>Phosphatidylinositol 3-kinase catalytic subunit type 3</t>
  </si>
  <si>
    <t>Serum response factor-binding protein 1</t>
  </si>
  <si>
    <t>Isoform 2 of DCC-interacting protein 13-beta</t>
  </si>
  <si>
    <t>F-box only protein 22</t>
  </si>
  <si>
    <t>Biorientation of chromosomes in cell division protein 1-like 1</t>
  </si>
  <si>
    <t>Nucleoporin Nup43</t>
  </si>
  <si>
    <t>Nucleoporin Nup37</t>
  </si>
  <si>
    <t>Isoform 4 of RalBP1-associated Eps domain-containing protein 2</t>
  </si>
  <si>
    <t>Cytosolic endo-beta-N-acetylglucosaminidase</t>
  </si>
  <si>
    <t>Torsin-1A-interacting protein 2</t>
  </si>
  <si>
    <t>Isoform 4 of Thiosulfate sulfurtransferase/rhodanese-like domain-containing protein 1</t>
  </si>
  <si>
    <t>Thiosulfate sulfurtransferase/rhodanese-like domain-containing protein 1</t>
  </si>
  <si>
    <t>Alpha/beta hydrolase domain-containing protein 11</t>
  </si>
  <si>
    <t>N-acylneuraminate cytidylyltransferase</t>
  </si>
  <si>
    <t>E3 ubiquitin-protein ligase ZNRF2</t>
  </si>
  <si>
    <t>Isoform 2 of Atlastin-2</t>
  </si>
  <si>
    <t>Putative trypsin-6</t>
  </si>
  <si>
    <t>Isoform 2 of Nuclear receptor coactivator 7</t>
  </si>
  <si>
    <t>THO complex subunit 2</t>
  </si>
  <si>
    <t>Chaperone activity of bc1 complex-like, mitochondrial</t>
  </si>
  <si>
    <t>Growth arrest and DNA damage-inducible proteins-interacting protein 1</t>
  </si>
  <si>
    <t>Isoform 2 of SWI/SNF complex subunit SMARCC2</t>
  </si>
  <si>
    <t>Nuclear protein localization protein 4 homolog</t>
  </si>
  <si>
    <t>Uncharacterized protein CXorf38</t>
  </si>
  <si>
    <t>Spermatogenesis-associated protein 20</t>
  </si>
  <si>
    <t>DEP domain-containing mTOR-interacting protein</t>
  </si>
  <si>
    <t>Isoform 2 of Golgin subfamily A member 5</t>
  </si>
  <si>
    <t>NEDD8-activating enzyme E1 catalytic subunit</t>
  </si>
  <si>
    <t>Isoform 2 of Ethanolamine-phosphate phospho-lyase</t>
  </si>
  <si>
    <t>Phosphatidylinositol 5-phosphate 4-kinase type-2 gamma</t>
  </si>
  <si>
    <t>Isoform 2 of TBC1 domain family member 15</t>
  </si>
  <si>
    <t>Leucine-rich repeat-containing protein 20</t>
  </si>
  <si>
    <t>5(3)-deoxyribonucleotidase, cytosolic type</t>
  </si>
  <si>
    <t>Isoform 2 of Protein FAM45A</t>
  </si>
  <si>
    <t>Polyribonucleotide nucleotidyltransferase 1, mitochondrial</t>
  </si>
  <si>
    <t>Serine/threonine-protein kinase Nek9</t>
  </si>
  <si>
    <t>Alanine aminotransferase 2</t>
  </si>
  <si>
    <t>E3 ubiquitin-protein ligase DTX3L</t>
  </si>
  <si>
    <t>Isoform 2 of Biogenesis of lysosome-related organelles complex 1 subunit 5</t>
  </si>
  <si>
    <t>Transmembrane channel-like protein 1</t>
  </si>
  <si>
    <t>2-amino-3-carboxymuconate-6-semialdehyde decarboxylase</t>
  </si>
  <si>
    <t>Pantothenate kinase 1</t>
  </si>
  <si>
    <t>Protein phosphatase Slingshot homolog 3</t>
  </si>
  <si>
    <t>Putative methyltransferase NSUN6</t>
  </si>
  <si>
    <t>D-tyrosyl-tRNA(Tyr) deacylase 1</t>
  </si>
  <si>
    <t>Isoform 2 of DDB1- and CUL4-associated factor 11</t>
  </si>
  <si>
    <t>DENN domain-containing protein 1A</t>
  </si>
  <si>
    <t>Gem-associated protein 5</t>
  </si>
  <si>
    <t>Isoform 4 of Rho guanine nucleotide exchange factor 40</t>
  </si>
  <si>
    <t>Isoform 5 of Partitioning defective 3 homolog</t>
  </si>
  <si>
    <t>Importin-4</t>
  </si>
  <si>
    <t>Isoform 2 of Serine/threonine-protein phosphatase 4 regulatory subunit 1</t>
  </si>
  <si>
    <t>PDZ domain-containing protein GIPC2</t>
  </si>
  <si>
    <t>Protein Shroom3</t>
  </si>
  <si>
    <t>WAS/WASL-interacting protein family member 2</t>
  </si>
  <si>
    <t>Histone-lysine N-methyltransferase SETD7</t>
  </si>
  <si>
    <t>Isoform 3 of Stromal membrane-associated protein 2</t>
  </si>
  <si>
    <t>Zinc finger CCCH domain-containing protein 15</t>
  </si>
  <si>
    <t>Peptidyl-prolyl cis-trans isomerase-like 4</t>
  </si>
  <si>
    <t>Isoform 3 of TBC1 domain family member 22A</t>
  </si>
  <si>
    <t>UPF0444 transmembrane protein C12orf23</t>
  </si>
  <si>
    <t>Programmed cell death 6-interacting protein</t>
  </si>
  <si>
    <t>Ubiquitin domain-containing protein 2</t>
  </si>
  <si>
    <t>UPF0235 protein C15orf40</t>
  </si>
  <si>
    <t>Protein BRICK1</t>
  </si>
  <si>
    <t>Charged multivesicular body protein 7</t>
  </si>
  <si>
    <t>B-cell linker protein</t>
  </si>
  <si>
    <t>Sorting nexin-33</t>
  </si>
  <si>
    <t>Nucleoside diphosphate-linked moiety X motif 8, mitochondrial</t>
  </si>
  <si>
    <t>Isoform 2 of AN1-type zinc finger protein 2B</t>
  </si>
  <si>
    <t>Hexosaminidase D</t>
  </si>
  <si>
    <t>RNA polymerase-associated protein LEO1</t>
  </si>
  <si>
    <t>NudC domain-containing protein 2</t>
  </si>
  <si>
    <t>Sec1 family domain-containing protein 1</t>
  </si>
  <si>
    <t>Trafficking protein particle complex subunit 12</t>
  </si>
  <si>
    <t>Ubiquitin-like domain-containing CTD phosphatase 1</t>
  </si>
  <si>
    <t>PEST proteolytic signal-containing nuclear protein</t>
  </si>
  <si>
    <t>SPRY domain-containing protein 4</t>
  </si>
  <si>
    <t>Probable tRNA pseudouridine synthase 1</t>
  </si>
  <si>
    <t>Isoform 3 of LIM domain only protein 7</t>
  </si>
  <si>
    <t>Ataxin-2-like protein</t>
  </si>
  <si>
    <t>Isoform 2 of Reticulon-4-interacting protein 1, mitochondrial</t>
  </si>
  <si>
    <t>U4/U6 small nuclear ribonucleoprotein Prp31</t>
  </si>
  <si>
    <t>Negative elongation factor B</t>
  </si>
  <si>
    <t>Isoform 2 of Splicing regulatory glutamine/lysine-rich protein 1</t>
  </si>
  <si>
    <t>Gem-associated protein 6</t>
  </si>
  <si>
    <t>Caskin-2</t>
  </si>
  <si>
    <t>Paraspeckle component 1</t>
  </si>
  <si>
    <t>Isoform 6 of MAP kinase-activating death domain protein</t>
  </si>
  <si>
    <t>Nesprin-2</t>
  </si>
  <si>
    <t>Transcriptional repressor p66-beta</t>
  </si>
  <si>
    <t>Isoform 2 of THAP domain-containing protein 4</t>
  </si>
  <si>
    <t>Acyl-coenzyme A thioesterase 12</t>
  </si>
  <si>
    <t>Protein ELYS</t>
  </si>
  <si>
    <t>Isoform 5 of Titin</t>
  </si>
  <si>
    <t>Ovarian cancer-associated gene 2 protein</t>
  </si>
  <si>
    <t>Protein LZIC</t>
  </si>
  <si>
    <t>Immunity-related GTPase family Q protein</t>
  </si>
  <si>
    <t>ATP-dependent RNA helicase DDX1</t>
  </si>
  <si>
    <t>Estradiol 17-beta-dehydrogenase 8</t>
  </si>
  <si>
    <t>T-complex protein 1 subunit zeta-2</t>
  </si>
  <si>
    <t>Golgi-specific brefeldin A-resistance guanine nucleotide exchange factor 1</t>
  </si>
  <si>
    <t>RNA polymerase-associated protein RTF1 homolog</t>
  </si>
  <si>
    <t>Transmembrane protein 131</t>
  </si>
  <si>
    <t>28S ribosomal protein S27, mitochondrial</t>
  </si>
  <si>
    <t>Engulfment and cell motility protein 1</t>
  </si>
  <si>
    <t>AP-3 complex subunit sigma-1</t>
  </si>
  <si>
    <t>UBX domain-containing protein 4</t>
  </si>
  <si>
    <t>Isoform 2 of PHD finger protein 3</t>
  </si>
  <si>
    <t>Protein NDRG1</t>
  </si>
  <si>
    <t>Isoform Beta of Heat shock protein 105 kDa</t>
  </si>
  <si>
    <t>Isoform 2 of Septin-8</t>
  </si>
  <si>
    <t>TBC1 domain family member 5</t>
  </si>
  <si>
    <t>Isoform 4 of Unconventional myosin-XVIIIa</t>
  </si>
  <si>
    <t>La-related protein 4B</t>
  </si>
  <si>
    <t>Translational activator GCN1</t>
  </si>
  <si>
    <t>Nuclear pore complex protein Nup205</t>
  </si>
  <si>
    <t>28S ribosomal protein S31, mitochondrial</t>
  </si>
  <si>
    <t>A-kinase anchor protein 1, mitochondrial</t>
  </si>
  <si>
    <t>Isoform 2 of Acidic leucine-rich nuclear phosphoprotein 32 family member B</t>
  </si>
  <si>
    <t>Geranylgeranyl transferase type-2 subunit alpha</t>
  </si>
  <si>
    <t>Isoform 2 of Protein TFG</t>
  </si>
  <si>
    <t>USP6 N-terminal-like protein</t>
  </si>
  <si>
    <t>Actin-related protein 2/3 complex subunit 1A</t>
  </si>
  <si>
    <t>Thyroid hormone-inducible hepatic protein</t>
  </si>
  <si>
    <t>Isoform 3 of Ras-responsive element-binding protein 1</t>
  </si>
  <si>
    <t>Isoform 2 of Signal transducing adapter molecule 1</t>
  </si>
  <si>
    <t>Isoform 2 of Zinc finger protein DPF3</t>
  </si>
  <si>
    <t>Isoform Short of TATA-binding protein-associated factor 2N</t>
  </si>
  <si>
    <t>Golgin subfamily A member 1</t>
  </si>
  <si>
    <t>Gamma-glutamyl hydrolase</t>
  </si>
  <si>
    <t>Probable ATP-dependent RNA helicase DDX17</t>
  </si>
  <si>
    <t>DNA repair protein RAD50</t>
  </si>
  <si>
    <t>Isoform 5 of CUGBP Elav-like family member 1</t>
  </si>
  <si>
    <t>Osteoclast-stimulating factor 1</t>
  </si>
  <si>
    <t>Isoform 2 of Rho guanine nucleotide exchange factor 1</t>
  </si>
  <si>
    <t>Isoform 3 of Ubiquitin fusion degradation protein 1 homolog</t>
  </si>
  <si>
    <t>Isoform 2 of Regulator of nonsense transcripts 1</t>
  </si>
  <si>
    <t>COP9 signalosome complex subunit 5</t>
  </si>
  <si>
    <t>G patch domain and KOW motifs-containing protein</t>
  </si>
  <si>
    <t>SWI/SNF complex subunit SMARCC1</t>
  </si>
  <si>
    <t>Bcl2 antagonist of cell death</t>
  </si>
  <si>
    <t>Far upstream element-binding protein 2</t>
  </si>
  <si>
    <t>Glutaryl-CoA dehydrogenase, mitochondrial</t>
  </si>
  <si>
    <t>Isoform 2 of Transportin-1</t>
  </si>
  <si>
    <t>Ribosomal RNA small subunit methyltransferase NEP1</t>
  </si>
  <si>
    <t>Isoform 2 of Probable ubiquitin carboxyl-terminal hydrolase FAF-X</t>
  </si>
  <si>
    <t>Cullin-5</t>
  </si>
  <si>
    <t>Lipoma-preferred partner</t>
  </si>
  <si>
    <t>Isoform D of RNA-binding protein with multiple splicing</t>
  </si>
  <si>
    <t>Histone H2A type 1-C</t>
  </si>
  <si>
    <t>Betaine--homocysteine S-methyltransferase 1</t>
  </si>
  <si>
    <t>Protein tyrosine phosphatase type IVA 1</t>
  </si>
  <si>
    <t>Homogentisate 1,2-dioxygenase</t>
  </si>
  <si>
    <t>Isoform 4 of Phosphorylase b kinase regulatory subunit beta</t>
  </si>
  <si>
    <t>Riboflavin kinase</t>
  </si>
  <si>
    <t>UPF0556 protein C19orf10</t>
  </si>
  <si>
    <t>Glycine N-acyltransferase-like protein 1</t>
  </si>
  <si>
    <t>60S ribosomal protein L36a-like</t>
  </si>
  <si>
    <t>Isoform 2 of 7-methylguanosine phosphate-specific 5-nucleotidase</t>
  </si>
  <si>
    <t>Protein TBRG4</t>
  </si>
  <si>
    <t>Synapse-associated protein 1</t>
  </si>
  <si>
    <t>Exocyst complex component 4</t>
  </si>
  <si>
    <t>Isochorismatase domain-containing protein 2, mitochondrial</t>
  </si>
  <si>
    <t>Fermitin family homolog 2</t>
  </si>
  <si>
    <t>Isoform 2 of Far upstream element-binding protein 1</t>
  </si>
  <si>
    <t>Leucine-rich repeat-containing protein 59</t>
  </si>
  <si>
    <t>Uncharacterized protein KIAA1143</t>
  </si>
  <si>
    <t>Exosome complex component RRP43</t>
  </si>
  <si>
    <t>Proline-rich AKT1 substrate 1</t>
  </si>
  <si>
    <t>UPF0693 protein C10orf32</t>
  </si>
  <si>
    <t>Zinc finger protein 428</t>
  </si>
  <si>
    <t>SH3 domain-containing kinase-binding protein 1</t>
  </si>
  <si>
    <t>E3 ubiquitin-protein ligase RNF25</t>
  </si>
  <si>
    <t>ADP-ribosylation factor-like protein 8A</t>
  </si>
  <si>
    <t>Protein FAM105B</t>
  </si>
  <si>
    <t>Peptidylprolyl isomerase domain and WD repeat-containing protein 1</t>
  </si>
  <si>
    <t>Sel1 repeat-containing protein 1</t>
  </si>
  <si>
    <t>Isoform 2 of Phosphotriesterase-related protein</t>
  </si>
  <si>
    <t>Autophagy-related protein 2 homolog B</t>
  </si>
  <si>
    <t>Protein FAM136A</t>
  </si>
  <si>
    <t>FGGY carbohydrate kinase domain-containing protein</t>
  </si>
  <si>
    <t>EF-hand domain-containing protein D2</t>
  </si>
  <si>
    <t>Aldose 1-epimerase</t>
  </si>
  <si>
    <t>Synaptotagmin-like protein 4</t>
  </si>
  <si>
    <t>m7GpppX diphosphatase</t>
  </si>
  <si>
    <t>Integrator complex subunit 12</t>
  </si>
  <si>
    <t>F-box/LRR-repeat protein 8</t>
  </si>
  <si>
    <t>Isochorismatase domain-containing protein 1</t>
  </si>
  <si>
    <t>GRIP and coiled-coil domain-containing protein 1</t>
  </si>
  <si>
    <t>FLYWCH family member 2</t>
  </si>
  <si>
    <t>Coiled-coil domain-containing protein 124</t>
  </si>
  <si>
    <t>Optineurin</t>
  </si>
  <si>
    <t>Isoform 2 of AP-2 complex subunit mu</t>
  </si>
  <si>
    <t>BTB/POZ domain-containing protein KCTD12</t>
  </si>
  <si>
    <t>60S ribosomal export protein NMD3</t>
  </si>
  <si>
    <t>Isoform 2 of RalBP1-associated Eps domain-containing protein 1</t>
  </si>
  <si>
    <t>Enoyl-CoA hydratase domain-containing protein 3, mitochondrial</t>
  </si>
  <si>
    <t>U8 snoRNA-decapping enzyme</t>
  </si>
  <si>
    <t>Carboxymethylenebutenolidase homolog</t>
  </si>
  <si>
    <t>Rho guanine nucleotide exchange factor 26</t>
  </si>
  <si>
    <t>Ankyrin repeat and SOCS box protein 9</t>
  </si>
  <si>
    <t>Isoform 3 of Ribosome-recycling factor, mitochondrial</t>
  </si>
  <si>
    <t>RNA binding motif protein, X-linked-like-1</t>
  </si>
  <si>
    <t>Elongator complex protein 4</t>
  </si>
  <si>
    <t>NAD-dependent protein deacetylase sirtuin-1</t>
  </si>
  <si>
    <t>Isoform 2 of Protein Hook homolog 2</t>
  </si>
  <si>
    <t>Transcription elongation factor A protein-like 4</t>
  </si>
  <si>
    <t>KIF1-binding protein</t>
  </si>
  <si>
    <t>Glucosamine 6-phosphate N-acetyltransferase</t>
  </si>
  <si>
    <t>39S ribosomal protein L53, mitochondrial</t>
  </si>
  <si>
    <t>Trans-L-3-hydroxyproline dehydratase</t>
  </si>
  <si>
    <t>Molybdenum cofactor sulfurase</t>
  </si>
  <si>
    <t>E3 ubiquitin-protein ligase RNF31</t>
  </si>
  <si>
    <t>Isoform 2 of DAZ-associated protein 1</t>
  </si>
  <si>
    <t>RNA-binding protein 33</t>
  </si>
  <si>
    <t>Dysbindin</t>
  </si>
  <si>
    <t>Pentatricopeptide repeat domain-containing protein 3, mitochondrial</t>
  </si>
  <si>
    <t>Cob(I)yrinic acid a,c-diamide adenosyltransferase, mitochondrial</t>
  </si>
  <si>
    <t>Diamine acetyltransferase 2</t>
  </si>
  <si>
    <t>Isoform 2 of Nuclear receptor-binding factor 2</t>
  </si>
  <si>
    <t>Dynein light chain 2, cytoplasmic</t>
  </si>
  <si>
    <t>Secernin-2</t>
  </si>
  <si>
    <t>Phosphoglucomutase-2</t>
  </si>
  <si>
    <t>tRNA-dihydrouridine(47) synthase [NAD(P)(+)]-like</t>
  </si>
  <si>
    <t>Serine dehydratase-like</t>
  </si>
  <si>
    <t>Pyridoxal phosphate phosphatase</t>
  </si>
  <si>
    <t>Calmodulin-like protein 4</t>
  </si>
  <si>
    <t>E3 ubiquitin-protein ligase RNF185</t>
  </si>
  <si>
    <t>DCN1-like protein 1</t>
  </si>
  <si>
    <t>Fumarylacetoacetate hydrolase domain-containing protein 2A</t>
  </si>
  <si>
    <t>Uncharacterized protein C17orf59</t>
  </si>
  <si>
    <t>Methionine--tRNA ligase, mitochondrial</t>
  </si>
  <si>
    <t>Putative ataxin-7-like protein 3B</t>
  </si>
  <si>
    <t>Methylthioribulose-1-phosphate dehydratase</t>
  </si>
  <si>
    <t>Vacuolar-sorting protein SNF8</t>
  </si>
  <si>
    <t>PDZ and LIM domain protein 5</t>
  </si>
  <si>
    <t>Aspartoacylase-2</t>
  </si>
  <si>
    <t>ERO1-like protein alpha</t>
  </si>
  <si>
    <t>Isoform 2 of UPF0562 protein C7orf55</t>
  </si>
  <si>
    <t>UPF0562 protein C7orf55</t>
  </si>
  <si>
    <t>Isoform 4 of Putative adenosylhomocysteinase 3</t>
  </si>
  <si>
    <t>Oxidoreductase NAD-binding domain-containing protein 1</t>
  </si>
  <si>
    <t>Isoform 2 of CDKN2AIP N-terminal-like protein</t>
  </si>
  <si>
    <t>Receptor expression-enhancing protein 6</t>
  </si>
  <si>
    <t>Serine/threonine-protein phosphatase PGAM5, mitochondrial</t>
  </si>
  <si>
    <t>Isoform 2 of DDRGK domain-containing protein 1</t>
  </si>
  <si>
    <t>Probable 2-oxoglutarate dehydrogenase E1 component DHKTD1, mitochondrial</t>
  </si>
  <si>
    <t>Selenocysteine lyase</t>
  </si>
  <si>
    <t>Protein preY, mitochondrial</t>
  </si>
  <si>
    <t>Far upstream element-binding protein 3</t>
  </si>
  <si>
    <t>Splicing factor 45</t>
  </si>
  <si>
    <t>Williams-Beuren syndrome chromosomal region 16 protein</t>
  </si>
  <si>
    <t>Probable asparagine--tRNA ligase, mitochondrial</t>
  </si>
  <si>
    <t>Succinyl-CoA ligase [GDP-forming] subunit beta, mitochondrial</t>
  </si>
  <si>
    <t>LIM domain-containing protein ajuba</t>
  </si>
  <si>
    <t>Mannose-1-phosphate guanyltransferase alpha</t>
  </si>
  <si>
    <t>Alpha/beta hydrolase domain-containing protein 14B</t>
  </si>
  <si>
    <t>Isoform 3 of Peptide-N(4)-(N-acetyl-beta-glucosaminyl)asparagine amidase</t>
  </si>
  <si>
    <t>PRKC apoptosis WT1 regulator protein</t>
  </si>
  <si>
    <t>Isoform 2 of E3 ubiquitin-protein ligase Itchy homolog</t>
  </si>
  <si>
    <t>Conserved oligomeric Golgi complex subunit 3</t>
  </si>
  <si>
    <t>Isoform 2 of CDK5 regulatory subunit-associated protein 3</t>
  </si>
  <si>
    <t>Protein transport protein Sec16B</t>
  </si>
  <si>
    <t>Isoform 3 of Coiled-coil domain-containing protein 132</t>
  </si>
  <si>
    <t>Deubiquitinating protein VCIP135</t>
  </si>
  <si>
    <t>Chromosome alignment-maintaining phosphoprotein 1</t>
  </si>
  <si>
    <t>Isoform 2 of E3 ubiquitin-protein ligase ZFP91</t>
  </si>
  <si>
    <t>Calmin</t>
  </si>
  <si>
    <t>PDZ and LIM domain protein 2</t>
  </si>
  <si>
    <t>DnaJ homolog subfamily C member 1</t>
  </si>
  <si>
    <t>Isoform 3 of N-terminal kinase-like protein</t>
  </si>
  <si>
    <t>Zinc finger protein 512B</t>
  </si>
  <si>
    <t>Exocyst complex component 2</t>
  </si>
  <si>
    <t>Cytosolic non-specific dipeptidase</t>
  </si>
  <si>
    <t>Zinc finger RNA-binding protein</t>
  </si>
  <si>
    <t>Sorting nexin-27</t>
  </si>
  <si>
    <t>Dehydrogenase/reductase SDR family member 1</t>
  </si>
  <si>
    <t>Isoform 2 of Cyclic nucleotide-binding domain-containing protein 2</t>
  </si>
  <si>
    <t>Protein PRRC1</t>
  </si>
  <si>
    <t>Isoform 4 of F-box/LRR-repeat protein 18</t>
  </si>
  <si>
    <t>Protein HEXIM2</t>
  </si>
  <si>
    <t>Isoform 2 of YTH domain-containing protein 1</t>
  </si>
  <si>
    <t>Coiled-coil domain-containing protein 43</t>
  </si>
  <si>
    <t>Urocanate hydratase</t>
  </si>
  <si>
    <t>Zinc finger matrin-type protein 2</t>
  </si>
  <si>
    <t>Protein C8orf37</t>
  </si>
  <si>
    <t>Probable imidazolonepropionase</t>
  </si>
  <si>
    <t>Arf-GAP with GTPase, ANK repeat and PH domain-containing protein 3</t>
  </si>
  <si>
    <t>Isoform 7 of Arf-GAP with Rho-GAP domain, ANK repeat and PH domain-containing protein 1</t>
  </si>
  <si>
    <t>Importin-9</t>
  </si>
  <si>
    <t>N-acetylmuramoyl-L-alanine amidase</t>
  </si>
  <si>
    <t>Methylmalonyl-CoA epimerase, mitochondrial</t>
  </si>
  <si>
    <t>RNA-binding protein 14</t>
  </si>
  <si>
    <t>Isoform 3 of RING finger and CHY zinc finger domain-containing protein 1</t>
  </si>
  <si>
    <t>Isoform 2 of E3 ubiquitin-protein ligase NEDD4-like</t>
  </si>
  <si>
    <t>Isoform 3 of Protein quaking</t>
  </si>
  <si>
    <t>Pseudouridylate synthase 7 homolog</t>
  </si>
  <si>
    <t>Isoform 3 of Trafficking protein particle complex subunit 9</t>
  </si>
  <si>
    <t>Isoform 2 of Perilipin-4</t>
  </si>
  <si>
    <t>Isoform 2 of CCA tRNA nucleotidyltransferase 1, mitochondrial</t>
  </si>
  <si>
    <t>Serine/threonine-protein phosphatase 1 regulatory subunit 10</t>
  </si>
  <si>
    <t>Myotubularin-related protein 9</t>
  </si>
  <si>
    <t>Vacuolar protein sorting-associated protein 35</t>
  </si>
  <si>
    <t>Transcriptional activator protein Pur-beta</t>
  </si>
  <si>
    <t>Exportin-6</t>
  </si>
  <si>
    <t>Isoform 7 of Membrane-associated guanylate kinase, WW and PDZ domain-containing protein 1</t>
  </si>
  <si>
    <t>Nucleus accumbens-associated protein 1</t>
  </si>
  <si>
    <t>Isoform 2 of Sorting nexin-18</t>
  </si>
  <si>
    <t>Elongation factor G, mitochondrial</t>
  </si>
  <si>
    <t>Methylcrotonoyl-CoA carboxylase subunit alpha, mitochondrial</t>
  </si>
  <si>
    <t>Isoform 3 of NudC domain-containing protein 1</t>
  </si>
  <si>
    <t>Isoform 7 of Protein LAP2</t>
  </si>
  <si>
    <t>Isoform 2 of Hemicentin-1</t>
  </si>
  <si>
    <t>UPF0585 protein C16orf13</t>
  </si>
  <si>
    <t>TP53-regulating kinase</t>
  </si>
  <si>
    <t>Isoform 2 of Ran-binding protein 9</t>
  </si>
  <si>
    <t>Isoform 4 of Chloride channel CLIC-like protein 1</t>
  </si>
  <si>
    <t>Isoform 2 of Protein IWS1 homolog</t>
  </si>
  <si>
    <t>Paired amphipathic helix protein Sin3a</t>
  </si>
  <si>
    <t>Isoform 7 of Oxysterol-binding protein-related protein 9</t>
  </si>
  <si>
    <t>2-aminoethanethiol dioxygenase</t>
  </si>
  <si>
    <t>Isoform 2 of Putative RNA-binding protein 15</t>
  </si>
  <si>
    <t>RUN and FYVE domain-containing protein 1</t>
  </si>
  <si>
    <t>Msx2-interacting protein</t>
  </si>
  <si>
    <t>MMS19 nucleotide excision repair protein homolog</t>
  </si>
  <si>
    <t>C-Myc-binding protein</t>
  </si>
  <si>
    <t>Peroxisomal acyl-coenzyme A oxidase 2</t>
  </si>
  <si>
    <t>Tubulin-folding cofactor B</t>
  </si>
  <si>
    <t>Proteasome subunit beta type-7</t>
  </si>
  <si>
    <t>Isoform 3 of Ethanolamine-phosphate cytidylyltransferase</t>
  </si>
  <si>
    <t>Cell division cycle 5-like protein</t>
  </si>
  <si>
    <t>26S proteasome non-ATPase regulatory subunit 1</t>
  </si>
  <si>
    <t>Prefoldin subunit 5</t>
  </si>
  <si>
    <t>Platelet-activating factor acetylhydrolase 2, cytoplasmic</t>
  </si>
  <si>
    <t>D-aspartate oxidase</t>
  </si>
  <si>
    <t>Protein DJ-1</t>
  </si>
  <si>
    <t>Sialidase-1</t>
  </si>
  <si>
    <t>Synaptic vesicle membrane protein VAT-1 homolog</t>
  </si>
  <si>
    <t>DnaJ homolog subfamily C member 2</t>
  </si>
  <si>
    <t>Nuclear pore complex protein Nup88</t>
  </si>
  <si>
    <t>Isoform 2 of Plakophilin-4</t>
  </si>
  <si>
    <t>Phosphoinositide 3-kinase regulatory subunit 4</t>
  </si>
  <si>
    <t>Ribonucleases P/MRP protein subunit POP1</t>
  </si>
  <si>
    <t>Isoform 3 of TSC22 domain family protein 3</t>
  </si>
  <si>
    <t>Protein S100-A13</t>
  </si>
  <si>
    <t>Isoform 2 of Protein SCAF11</t>
  </si>
  <si>
    <t>Translin-associated protein X</t>
  </si>
  <si>
    <t>Selenide, water dikinase 2</t>
  </si>
  <si>
    <t>Tetratricopeptide repeat protein 1</t>
  </si>
  <si>
    <t>DnaJ homolog subfamily C member 7</t>
  </si>
  <si>
    <t>Protein C10</t>
  </si>
  <si>
    <t>Sodium-coupled neutral amino acid transporter 3</t>
  </si>
  <si>
    <t>Isoform 2 of COP9 signalosome complex subunit 8</t>
  </si>
  <si>
    <t>Methionine synthase</t>
  </si>
  <si>
    <t>3-hydroxyacyl-CoA dehydrogenase type-2</t>
  </si>
  <si>
    <t>Nucleosome assembly protein 1-like 4</t>
  </si>
  <si>
    <t>Gamma-soluble NSF attachment protein</t>
  </si>
  <si>
    <t>Thioredoxin, mitochondrial</t>
  </si>
  <si>
    <t>ATP synthase subunit s, mitochondrial</t>
  </si>
  <si>
    <t>Mitochondrial intermediate peptidase</t>
  </si>
  <si>
    <t>Aconitate hydratase, mitochondrial</t>
  </si>
  <si>
    <t>Isoform 2 of Ubiquinone biosynthesis protein COQ7 homolog</t>
  </si>
  <si>
    <t>T-complex protein 1 subunit eta</t>
  </si>
  <si>
    <t>Myeloid differentiation primary response protein MyD88</t>
  </si>
  <si>
    <t>Histone H2B type 1-L</t>
  </si>
  <si>
    <t>Isoform 4 of BAG family molecular chaperone regulator 1</t>
  </si>
  <si>
    <t>Tyrosine-protein phosphatase non-receptor type 18</t>
  </si>
  <si>
    <t>Isoform 1 of Plakophilin-2</t>
  </si>
  <si>
    <t>Endophilin-A2</t>
  </si>
  <si>
    <t>Isoform 5 of A-kinase anchor protein 9</t>
  </si>
  <si>
    <t>Protein NipSnap homolog 1</t>
  </si>
  <si>
    <t>Actin-related protein 2/3 complex subunit 5-like protein</t>
  </si>
  <si>
    <t>Zinc phosphodiesterase ELAC protein 2</t>
  </si>
  <si>
    <t>Uncharacterized protein C19orf43</t>
  </si>
  <si>
    <t>Glutamate-rich WD repeat-containing protein 1</t>
  </si>
  <si>
    <t>O-acetyl-ADP-ribose deacetylase MACROD1</t>
  </si>
  <si>
    <t>Isoform 2 of Diphthamide biosynthesis protein 2</t>
  </si>
  <si>
    <t>Apolipoprotein L2</t>
  </si>
  <si>
    <t>Myb-binding protein 1A</t>
  </si>
  <si>
    <t>Peroxisomal NADH pyrophosphatase NUDT12</t>
  </si>
  <si>
    <t>Phosphatidate phosphatase LPIN3</t>
  </si>
  <si>
    <t>Mitochondrial genome maintenance exonuclease 1</t>
  </si>
  <si>
    <t>FYVE and coiled-coil domain-containing protein 1</t>
  </si>
  <si>
    <t>Coronin-1B</t>
  </si>
  <si>
    <t>Thioredoxin domain-containing protein 17</t>
  </si>
  <si>
    <t>Calcineurin-like phosphoesterase domain-containing protein 1</t>
  </si>
  <si>
    <t>Vacuolar protein-sorting-associated protein 25</t>
  </si>
  <si>
    <t>45 kDa calcium-binding protein</t>
  </si>
  <si>
    <t>Proteasomal ATPase-associated factor 1</t>
  </si>
  <si>
    <t>Isoform 2 of Partner of Y14 and mago</t>
  </si>
  <si>
    <t>Migration and invasion enhancer 1</t>
  </si>
  <si>
    <t>Suppressor of IKBKE 1</t>
  </si>
  <si>
    <t>E3 ubiquitin-protein ligase TRIM56</t>
  </si>
  <si>
    <t>Endoplasmic reticulum resident protein 44</t>
  </si>
  <si>
    <t>Agmatinase, mitochondrial</t>
  </si>
  <si>
    <t>Translational activator of cytochrome c oxidase 1</t>
  </si>
  <si>
    <t>Haloacid dehalogenase-like hydrolase domain-containing protein 3</t>
  </si>
  <si>
    <t>Isoform 3 of Uncharacterized protein C17orf80</t>
  </si>
  <si>
    <t>Extended synaptotagmin-1</t>
  </si>
  <si>
    <t>Ubiquitin-associated domain-containing protein 1</t>
  </si>
  <si>
    <t>Isoform 3 of Rhotekin</t>
  </si>
  <si>
    <t>UPF0183 protein C16orf70</t>
  </si>
  <si>
    <t>Coiled-coil-helix-coiled-coil-helix domain-containing protein 5</t>
  </si>
  <si>
    <t>Protein canopy homolog 3</t>
  </si>
  <si>
    <t>Alpha-ketoglutarate-dependent dioxygenase alkB homolog 7</t>
  </si>
  <si>
    <t>Proteasome assembly chaperone 3</t>
  </si>
  <si>
    <t>COP9 signalosome complex subunit 4</t>
  </si>
  <si>
    <t>Death-inducer obliterator 1</t>
  </si>
  <si>
    <t>Isoform 2 of Dynactin subunit 5</t>
  </si>
  <si>
    <t>Isoform 2 of Mini-chromosome maintenance complex-binding protein</t>
  </si>
  <si>
    <t>Alanyl-tRNA editing protein Aarsd1</t>
  </si>
  <si>
    <t>Ubiquitin-related modifier 1 homolog</t>
  </si>
  <si>
    <t>Isoform 3 of Acidic leucine-rich nuclear phosphoprotein 32 family member E</t>
  </si>
  <si>
    <t>Tubulin-specific chaperone D</t>
  </si>
  <si>
    <t>Alpha-tocopherol transfer protein-like</t>
  </si>
  <si>
    <t>Plasma alpha-L-fucosidase</t>
  </si>
  <si>
    <t>Protein FAM203A</t>
  </si>
  <si>
    <t>Dehydrogenase/reductase SDR family member 4</t>
  </si>
  <si>
    <t>Thiamine-triphosphatase</t>
  </si>
  <si>
    <t>Deoxyhypusine hydroxylase</t>
  </si>
  <si>
    <t>Mediator of RNA polymerase II transcription subunit 18</t>
  </si>
  <si>
    <t>Iron-sulfur cluster assembly 1 homolog, mitochondrial</t>
  </si>
  <si>
    <t>Uncharacterized protein C9orf142</t>
  </si>
  <si>
    <t>Isoform 2 of Heterogeneous nuclear ribonucleoprotein U-like protein 1</t>
  </si>
  <si>
    <t>EF-hand domain-containing protein D1</t>
  </si>
  <si>
    <t>Probable ATP-dependent RNA helicase DDX23</t>
  </si>
  <si>
    <t>3-hydroxybutyrate dehydrogenase type 2</t>
  </si>
  <si>
    <t>Protein FAM195A</t>
  </si>
  <si>
    <t>Uncharacterized protein C1orf50</t>
  </si>
  <si>
    <t>Methylthioribose-1-phosphate isomerase</t>
  </si>
  <si>
    <t>THUMP domain-containing protein 3</t>
  </si>
  <si>
    <t>1,2-dihydroxy-3-keto-5-methylthiopentene dioxygenase</t>
  </si>
  <si>
    <t>Trans-2-enoyl-CoA reductase, mitochondrial</t>
  </si>
  <si>
    <t>N-terminal Xaa-Pro-Lys N-methyltransferase 1</t>
  </si>
  <si>
    <t>Protein PBDC1</t>
  </si>
  <si>
    <t>Dual specificity protein phosphatase 23</t>
  </si>
  <si>
    <t>Selenoprotein O</t>
  </si>
  <si>
    <t>Gamma-glutamylaminecyclotransferase</t>
  </si>
  <si>
    <t>tRNA (adenine(58)-N(1))-methyltransferase, mitochondrial</t>
  </si>
  <si>
    <t>DET1- and DDB1-associated protein 1</t>
  </si>
  <si>
    <t>Isoform 2 of HIRA-interacting protein 3</t>
  </si>
  <si>
    <t>Intraflagellar transport protein 27 homolog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</si>
  <si>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</si>
  <si>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</si>
  <si>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</si>
  <si>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</si>
  <si>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Isoform 4 of RNA-binding protein 4</t>
  </si>
  <si>
    <t>RNA polymerase II-associated protein 1</t>
  </si>
  <si>
    <t>Kanadaptin</t>
  </si>
  <si>
    <t>Isoform 9 of Sorbin and SH3 domain-containing protein 1</t>
  </si>
  <si>
    <t>Histidine triad nucleotide-binding protein 2, mitochondrial</t>
  </si>
  <si>
    <t>Sphingosine-1-phosphate phosphatase 1</t>
  </si>
  <si>
    <t>TBC1 domain family member 10A</t>
  </si>
  <si>
    <t>N-alpha-acetyltransferase 15, NatA auxiliary subunit</t>
  </si>
  <si>
    <t>Bcl-2-like protein 13</t>
  </si>
  <si>
    <t>Isoform 5 of Serrate RNA effector molecule homolog</t>
  </si>
  <si>
    <t>Queuine tRNA-ribosyltransferase</t>
  </si>
  <si>
    <t>Isoform 7 of Nucleolar and spindle-associated protein 1</t>
  </si>
  <si>
    <t>Uncharacterized protein C14orf142</t>
  </si>
  <si>
    <t>Isoform A of Oxysterol-binding protein-related protein 1</t>
  </si>
  <si>
    <t>Isoform 1 of Cat eye syndrome critical region protein 5</t>
  </si>
  <si>
    <t>Inosine triphosphate pyrophosphatase</t>
  </si>
  <si>
    <t>Protein RTF2 homolog</t>
  </si>
  <si>
    <t>Charged multivesicular body protein 4a</t>
  </si>
  <si>
    <t>Peroxisomal trans-2-enoyl-CoA reductase</t>
  </si>
  <si>
    <t>Polymerase delta-interacting protein 3</t>
  </si>
  <si>
    <t>Uncharacterized protein KIAA1671</t>
  </si>
  <si>
    <t>Cadherin-related family member 2</t>
  </si>
  <si>
    <t>RanBP-type and C3HC4-type zinc finger-containing protein 1</t>
  </si>
  <si>
    <t>Sulfiredoxin-1</t>
  </si>
  <si>
    <t>Isoform 3 of Serine/threonine-protein kinase WNK3</t>
  </si>
  <si>
    <t>Neurolysin, mitochondrial</t>
  </si>
  <si>
    <t>Alanine--glyoxylate aminotransferase 2, mitochondrial</t>
  </si>
  <si>
    <t>Isoform 4 of Beta,beta-carotene 9,10-oxygenase</t>
  </si>
  <si>
    <t>Interferon-induced helicase C domain-containing protein 1</t>
  </si>
  <si>
    <t>Isoform 2 of Pantothenate kinase 2, mitochondrial</t>
  </si>
  <si>
    <t>tRNA pseudouridine(38/39) synthase</t>
  </si>
  <si>
    <t>Tether containing UBX domain for GLUT4</t>
  </si>
  <si>
    <t>WD repeat-containing protein 11</t>
  </si>
  <si>
    <t>Isoform 2 of Regulator of nonsense transcripts 3B</t>
  </si>
  <si>
    <t>F-box-like/WD repeat-containing protein TBL1XR1</t>
  </si>
  <si>
    <t>Ubiquitin-like protein 5</t>
  </si>
  <si>
    <t>Protein phosphatase 1 regulatory subunit 12C</t>
  </si>
  <si>
    <t>Isoform 2 of Apoptosis inhibitor 5</t>
  </si>
  <si>
    <t>Protein dpy-30 homolog</t>
  </si>
  <si>
    <t>Tripartite motif-containing protein 2</t>
  </si>
  <si>
    <t>RING finger protein unkempt homolog</t>
  </si>
  <si>
    <t>Alpha-ketoglutarate-dependent dioxygenase FTO</t>
  </si>
  <si>
    <t>Isoform 2 of Palmitoyltransferase ZDHHC5</t>
  </si>
  <si>
    <t>182 kDa tankyrase-1-binding protein</t>
  </si>
  <si>
    <t>Ubiquitin-conjugating enzyme E2 O</t>
  </si>
  <si>
    <t>Dynein heavy chain 6, axonemal</t>
  </si>
  <si>
    <t>Isoform 4 of SRC kinase signaling inhibitor 1</t>
  </si>
  <si>
    <t>Myotubularin-related protein 12</t>
  </si>
  <si>
    <t>pre-mRNA 3 end processing protein WDR33</t>
  </si>
  <si>
    <t>UPF0687 protein C20orf27</t>
  </si>
  <si>
    <t>PITH domain-containing protein 1</t>
  </si>
  <si>
    <t>COMM domain-containing protein 5</t>
  </si>
  <si>
    <t>Isoform 2 of SRA stem-loop-interacting RNA-binding protein, mitochondrial</t>
  </si>
  <si>
    <t>Isoform 2 of NIF3-like protein 1</t>
  </si>
  <si>
    <t>Isoform 2 of Egl nine homolog 1</t>
  </si>
  <si>
    <t>Protein FAM192A</t>
  </si>
  <si>
    <t>Ubiquitin-like modifier-activating enzyme 5</t>
  </si>
  <si>
    <t>Phospholysine phosphohistidine inorganic pyrophosphate phosphatase</t>
  </si>
  <si>
    <t>Polyadenylate-binding protein-interacting protein 1</t>
  </si>
  <si>
    <t>Protein FAM107B</t>
  </si>
  <si>
    <t>Integrin-linked kinase-associated serine/threonine phosphatase 2C</t>
  </si>
  <si>
    <t>5-3 exoribonuclease 2</t>
  </si>
  <si>
    <t>Toll-interacting protein</t>
  </si>
  <si>
    <t>Sharpin</t>
  </si>
  <si>
    <t>Nuclear speckle splicing regulatory protein 1</t>
  </si>
  <si>
    <t>Serine/threonine-protein kinase SIK2</t>
  </si>
  <si>
    <t>Cleavage stimulation factor subunit 2 tau variant</t>
  </si>
  <si>
    <t>Isoform 1 of Cytosolic 5-nucleotidase 3A</t>
  </si>
  <si>
    <t>Glutamyl-tRNA(Gln) amidotransferase subunit A, mitochondrial</t>
  </si>
  <si>
    <t>Ras-related protein Rab-1B</t>
  </si>
  <si>
    <t>Ester hydrolase C11orf54</t>
  </si>
  <si>
    <t>Interferon regulatory factor 2-binding protein-like</t>
  </si>
  <si>
    <t>Nuclear ubiquitous casein and cyclin-dependent kinase substrate 1</t>
  </si>
  <si>
    <t>Isoform 3 of Kinesin-like protein KIF13A</t>
  </si>
  <si>
    <t>Isoform 2 of Regulator of nonsense transcripts 3A</t>
  </si>
  <si>
    <t>Rabenosyn-5</t>
  </si>
  <si>
    <t>Iron-sulfur cluster assembly enzyme ISCU, mitochondrial</t>
  </si>
  <si>
    <t>Isoform 2 of Oxysterol-binding protein-related protein 2</t>
  </si>
  <si>
    <t>Autophagy protein 5</t>
  </si>
  <si>
    <t>WD repeat-containing protein 13</t>
  </si>
  <si>
    <t>EH domain-containing protein 4</t>
  </si>
  <si>
    <t>Cytosolic beta-glucosidase</t>
  </si>
  <si>
    <t>Vacuolar protein sorting-associated protein 33B</t>
  </si>
  <si>
    <t>Vacuolar protein sorting-associated protein 11 homolog</t>
  </si>
  <si>
    <t>Aldehyde dehydrogenase family 8 member A1</t>
  </si>
  <si>
    <t>Isoform 1 of TRIO and F-actin-binding protein</t>
  </si>
  <si>
    <t>Isoform 2 of STE20-like serine/threonine-protein kinase</t>
  </si>
  <si>
    <t>Peptidyl-prolyl cis-trans isomerase-like 3</t>
  </si>
  <si>
    <t>S-methylmethionine--homocysteine S-methyltransferase BHMT2</t>
  </si>
  <si>
    <t>Rab3 GTPase-activating protein non-catalytic subunit</t>
  </si>
  <si>
    <t>Activity-dependent neuroprotector homeobox protein</t>
  </si>
  <si>
    <t>Isoform 3 of Diphthine synthase</t>
  </si>
  <si>
    <t>Isoform 3 of Probable ATP-dependent RNA helicase DHX36</t>
  </si>
  <si>
    <t>Inorganic pyrophosphatase 2, mitochondrial</t>
  </si>
  <si>
    <t>39S ribosomal protein L46, mitochondrial</t>
  </si>
  <si>
    <t>Pinin</t>
  </si>
  <si>
    <t>Probable serine carboxypeptidase CPVL</t>
  </si>
  <si>
    <t>UPF0696 protein C11orf68</t>
  </si>
  <si>
    <t>BolA-like protein 2</t>
  </si>
  <si>
    <t>Negative elongation factor A</t>
  </si>
  <si>
    <t>Golgi resident protein GCP60</t>
  </si>
  <si>
    <t>Cdc42 effector protein 4</t>
  </si>
  <si>
    <t>Tyrosine-protein phosphatase non-receptor type 23</t>
  </si>
  <si>
    <t>Isoform 2 of Protein unc-45 homolog A</t>
  </si>
  <si>
    <t>Isoform 2 of Lck-interacting transmembrane adapter 1</t>
  </si>
  <si>
    <t>Charged multivesicular body protein 4b</t>
  </si>
  <si>
    <t>Fructosamine-3-kinase</t>
  </si>
  <si>
    <t>GDP-fucose protein O-fucosyltransferase 1</t>
  </si>
  <si>
    <t>Aminopeptidase B</t>
  </si>
  <si>
    <t>Golgi phosphoprotein 3</t>
  </si>
  <si>
    <t>Probable tRNA threonylcarbamoyladenosine biosynthesis protein</t>
  </si>
  <si>
    <t>Zinc fingers and homeoboxes protein 3</t>
  </si>
  <si>
    <t>EH domain-containing protein 1</t>
  </si>
  <si>
    <t>Rab GTPase-binding effector protein 2</t>
  </si>
  <si>
    <t>Dimethyladenosine transferase 2, mitochondrial</t>
  </si>
  <si>
    <t>MIP18 family protein FAM96A</t>
  </si>
  <si>
    <t>Isoform 3 of Cytosolic Fe-S cluster assembly factor NARFL</t>
  </si>
  <si>
    <t>Acyl-CoA synthetase short-chain family member 3, mitochondrial</t>
  </si>
  <si>
    <t>Probable ATP-dependent RNA helicase YTHDC2</t>
  </si>
  <si>
    <t>Epidermal growth factor receptor kinase substrate 8-like protein 2</t>
  </si>
  <si>
    <t>Isoform 2 of Epithelial splicing regulatory protein 2</t>
  </si>
  <si>
    <t>Isoform 2 of RNA polymerase II-associated protein 3</t>
  </si>
  <si>
    <t>dCTP pyrophosphatase 1</t>
  </si>
  <si>
    <t>Zinc phosphodiesterase ELAC protein 1</t>
  </si>
  <si>
    <t>SH2 domain-containing protein 4A</t>
  </si>
  <si>
    <t>Mth938 domain-containing protein</t>
  </si>
  <si>
    <t>Dedicator of cytokinesis protein 5</t>
  </si>
  <si>
    <t>Isoform 3 of Tudor domain-containing protein 3</t>
  </si>
  <si>
    <t>Splicing factor, arginine/serine-rich 19</t>
  </si>
  <si>
    <t>Histone acetyltransferase KAT8</t>
  </si>
  <si>
    <t>Prostaglandin E synthase 2</t>
  </si>
  <si>
    <t>Phosphorylated adapter RNA export protein</t>
  </si>
  <si>
    <t>Ubiquitin-conjugating enzyme E2 Z</t>
  </si>
  <si>
    <t>Acyl-CoA dehydrogenase family member 9, mitochondrial</t>
  </si>
  <si>
    <t>MOB kinase activator 1A</t>
  </si>
  <si>
    <t>AN1-type zinc finger protein 3</t>
  </si>
  <si>
    <t>Pleckstrin homology domain-containing family F member 2</t>
  </si>
  <si>
    <t>Golgi reassembly-stacking protein 2</t>
  </si>
  <si>
    <t>Proline-serine-threonine phosphatase-interacting protein 2</t>
  </si>
  <si>
    <t>Queuine tRNA-ribosyltransferase subunit QTRTD1</t>
  </si>
  <si>
    <t>UPF0364 protein C6orf211</t>
  </si>
  <si>
    <t>Pantothenate kinase 3</t>
  </si>
  <si>
    <t>Leucine-rich repeat-containing protein 40</t>
  </si>
  <si>
    <t>Isoform 4 of Histone-lysine N-methyltransferase EHMT1</t>
  </si>
  <si>
    <t>Isoform 2 of Spermatogenesis-defective protein 39 homolog</t>
  </si>
  <si>
    <t>Conserved oligomeric Golgi complex subunit 4</t>
  </si>
  <si>
    <t>Isoform 2 of Protein argonaute-3</t>
  </si>
  <si>
    <t>39S ribosomal protein L44, mitochondrial</t>
  </si>
  <si>
    <t>Calcium-binding protein 39-like</t>
  </si>
  <si>
    <t>Isoform 2 of Elongator complex protein 3</t>
  </si>
  <si>
    <t>Ketosamine-3-kinase</t>
  </si>
  <si>
    <t>TBC1 domain family member 17</t>
  </si>
  <si>
    <t>Probable cysteine--tRNA ligase, mitochondrial</t>
  </si>
  <si>
    <t>Phosphopantothenate--cysteine ligase</t>
  </si>
  <si>
    <t>Isoform 4 of CaiB/baiF CoA-transferase family protein C7orf10</t>
  </si>
  <si>
    <t>Nicotinamide mononucleotide adenylyltransferase 1</t>
  </si>
  <si>
    <t>MLX-interacting protein</t>
  </si>
  <si>
    <t>Sialate O-acetylesterase</t>
  </si>
  <si>
    <t>Pleckstrin homology domain-containing family A member 5</t>
  </si>
  <si>
    <t>Regulator of nonsense transcripts 2</t>
  </si>
  <si>
    <t>Exportin-5</t>
  </si>
  <si>
    <t>GrpE protein homolog 1, mitochondrial</t>
  </si>
  <si>
    <t>UPF0160 protein MYG1, mitochondrial</t>
  </si>
  <si>
    <t>Pleckstrin homology domain-containing family A member 1</t>
  </si>
  <si>
    <t>Retinoid-inducible serine carboxypeptidase</t>
  </si>
  <si>
    <t>Calcyclin-binding protein</t>
  </si>
  <si>
    <t>Ras-related GTP-binding protein C</t>
  </si>
  <si>
    <t>Isoform 2 of Zinc finger FYVE domain-containing protein 1</t>
  </si>
  <si>
    <t>Peptide deformylase, mitochondrial</t>
  </si>
  <si>
    <t>Beta-parvin</t>
  </si>
  <si>
    <t>Arsenite methyltransferase</t>
  </si>
  <si>
    <t>NmrA-like family domain-containing protein 1</t>
  </si>
  <si>
    <t>Putative sodium-coupled neutral amino acid transporter 10</t>
  </si>
  <si>
    <t>Echinoderm microtubule-associated protein-like 4</t>
  </si>
  <si>
    <t>Isoform 2 of Glyoxalase domain-containing protein 4</t>
  </si>
  <si>
    <t>Spondin-1</t>
  </si>
  <si>
    <t>Methylcrotonoyl-CoA carboxylase beta chain, mitochondrial</t>
  </si>
  <si>
    <t>Isoform 5 of Lateral signaling target protein 2 homolog</t>
  </si>
  <si>
    <t>Methyltransferase-like protein 14</t>
  </si>
  <si>
    <t>Isoform 3 of Rho guanine nucleotide exchange factor 10-like protein</t>
  </si>
  <si>
    <t>Isoform 2 of Band 4.1-like protein 5</t>
  </si>
  <si>
    <t>Isoform 3 of GPN-loop GTPase 1</t>
  </si>
  <si>
    <t>Stromal cell-derived factor 2-like protein 1</t>
  </si>
  <si>
    <t>Steroid receptor RNA activator 1</t>
  </si>
  <si>
    <t>Isoform 2 of Golgi-associated PDZ and coiled-coil motif-containing protein</t>
  </si>
  <si>
    <t>Isoform 2 of 39S ribosomal protein L47, mitochondrial</t>
  </si>
  <si>
    <t>O-phosphoseryl-tRNA(Sec) selenium transferase</t>
  </si>
  <si>
    <t>Charged multivesicular body protein 1a</t>
  </si>
  <si>
    <t>Resistin</t>
  </si>
  <si>
    <t>Junctophilin-1</t>
  </si>
  <si>
    <t>ADP-ribosylation factor GTPase-activating protein 3</t>
  </si>
  <si>
    <t>Isoform 4 of Carbohydrate-responsive element-binding protein</t>
  </si>
  <si>
    <t>Ras-related protein Rab-18</t>
  </si>
  <si>
    <t>Palmdelphin</t>
  </si>
  <si>
    <t>RNA polymerase II subunit A C-terminal domain phosphatase SSU72</t>
  </si>
  <si>
    <t>Vacuolar protein sorting-associated protein VTA1 homolog</t>
  </si>
  <si>
    <t>Dynein light chain roadblock-type 1</t>
  </si>
  <si>
    <t>Isoform 2 of Enhancer of yellow 2 transcription factor homolog</t>
  </si>
  <si>
    <t>Exosome complex component RRP41</t>
  </si>
  <si>
    <t>Lysophosphatidic acid phosphatase type 6</t>
  </si>
  <si>
    <t>Acyl-coenzyme A thioesterase 13</t>
  </si>
  <si>
    <t>Isoform 2 of Synembryn-A</t>
  </si>
  <si>
    <t>Fructose-2,6-bisphosphatase TIGAR</t>
  </si>
  <si>
    <t>Isoform 2 of APOBEC1 complementation factor</t>
  </si>
  <si>
    <t>Regulation of nuclear pre-mRNA domain-containing protein 1B</t>
  </si>
  <si>
    <t>Isoform 2 of Probable Xaa-Pro aminopeptidase 3</t>
  </si>
  <si>
    <t>Prefoldin subunit 4</t>
  </si>
  <si>
    <t>Omega-amidase NIT2</t>
  </si>
  <si>
    <t>Cell death regulator Aven</t>
  </si>
  <si>
    <t>Kinesin-like protein KIF13B</t>
  </si>
  <si>
    <t>Isoform 3 of Xaa-Pro aminopeptidase 1</t>
  </si>
  <si>
    <t>Gephyrin</t>
  </si>
  <si>
    <t>Acetyl-coenzyme A synthetase, cytoplasmic</t>
  </si>
  <si>
    <t>Isoform 2 of Diablo homolog, mitochondrial</t>
  </si>
  <si>
    <t>Nucleolar RNA helicase 2</t>
  </si>
  <si>
    <t>Sialic acid synthase</t>
  </si>
  <si>
    <t>Endophilin-B2</t>
  </si>
  <si>
    <t>Translation initiation factor eIF-2B subunit gamma</t>
  </si>
  <si>
    <t>CTP synthase 2</t>
  </si>
  <si>
    <t>DNA polymerase epsilon subunit 3</t>
  </si>
  <si>
    <t>Isoform 2 of Epimerase family protein SDR39U1</t>
  </si>
  <si>
    <t>L-aminoadipate-semialdehyde dehydrogenase-phosphopantetheinyl transferase</t>
  </si>
  <si>
    <t>Protein ACN9 homolog, mitochondrial</t>
  </si>
  <si>
    <t>Ubiquilin-4</t>
  </si>
  <si>
    <t>Heme-binding protein 1</t>
  </si>
  <si>
    <t>Vacuolar protein sorting-associated protein 45</t>
  </si>
  <si>
    <t>14 kDa phosphohistidine phosphatase</t>
  </si>
  <si>
    <t>Rho GTPase-activating protein 35</t>
  </si>
  <si>
    <t>Protein FAM114A2</t>
  </si>
  <si>
    <t>LanC-like protein 2</t>
  </si>
  <si>
    <t>Beta-catenin-interacting protein 1</t>
  </si>
  <si>
    <t>Isoleucine--tRNA ligase, mitochondrial</t>
  </si>
  <si>
    <t>Kinesin light chain 4</t>
  </si>
  <si>
    <t>Nuclear receptor-binding protein 2</t>
  </si>
  <si>
    <t>Isoform 2 of BMP-2-inducible protein kinase</t>
  </si>
  <si>
    <t>StAR-related lipid transfer protein 5</t>
  </si>
  <si>
    <t>Ubiquitin-like-conjugating enzyme ATG3</t>
  </si>
  <si>
    <t>Isoform 2 of NAD-dependent protein deacetylase sirtuin-3, mitochondrial</t>
  </si>
  <si>
    <t>NAD-dependent protein deacetylase sirtuin-3, mitochondrial</t>
  </si>
  <si>
    <t>Isoform 2 of Sister chromatid cohesion protein PDS5 homolog B</t>
  </si>
  <si>
    <t>Isoform 3 of Alpha-mannosidase 2C1</t>
  </si>
  <si>
    <t>Isoform 2 of Obg-like ATPase 1</t>
  </si>
  <si>
    <t>Obg-like ATPase 1</t>
  </si>
  <si>
    <t>Isoform 6 of Ethylmalonyl-CoA decarboxylase</t>
  </si>
  <si>
    <t>RNA-binding protein 12</t>
  </si>
  <si>
    <t>LYR motif-containing protein 2</t>
  </si>
  <si>
    <t>Peroxisomal 2,4-dienoyl-CoA reductase</t>
  </si>
  <si>
    <t>Mycophenolic acid acyl-glucuronide esterase, mitochondrial</t>
  </si>
  <si>
    <t>Isoform 4 of UPF0515 protein C19orf66</t>
  </si>
  <si>
    <t>Biogenesis of lysosome-related organelles complex 1 subunit 4</t>
  </si>
  <si>
    <t>SPATS2-like protein</t>
  </si>
  <si>
    <t>Isoform 2 of ATP-binding cassette sub-family F member 3</t>
  </si>
  <si>
    <t>Protein FAM49B</t>
  </si>
  <si>
    <t>GTPase IMAP family member 4</t>
  </si>
  <si>
    <t>Isoform 2 of TBC1 domain family member 23</t>
  </si>
  <si>
    <t>Probable 8-oxo-dGTP diphosphatase NUDT15</t>
  </si>
  <si>
    <t>MRG/MORF4L-binding protein</t>
  </si>
  <si>
    <t>Isoform 2 of Exocyst complex component 1</t>
  </si>
  <si>
    <t>Alpha-parvin</t>
  </si>
  <si>
    <t>Pantothenate kinase 4</t>
  </si>
  <si>
    <t>Ethanolamine kinase 2</t>
  </si>
  <si>
    <t>TBC1 domain family member 13</t>
  </si>
  <si>
    <t>Trimethyllysine dioxygenase, mitochondrial</t>
  </si>
  <si>
    <t>DnaJ homolog subfamily C member 17</t>
  </si>
  <si>
    <t>Protein kintoun</t>
  </si>
  <si>
    <t>Pyridoxine-5-phosphate oxidase</t>
  </si>
  <si>
    <t>Armadillo repeat-containing protein 1</t>
  </si>
  <si>
    <t>Notchless protein homolog 1</t>
  </si>
  <si>
    <t>Adaptin ear-binding coat-associated protein 2</t>
  </si>
  <si>
    <t>Pre-mRNA-splicing factor RBM22</t>
  </si>
  <si>
    <t>Isoform 4 of BSD domain-containing protein 1</t>
  </si>
  <si>
    <t>WD repeat-containing protein 70</t>
  </si>
  <si>
    <t>Isoform 2 of Arginine and glutamate-rich protein 1</t>
  </si>
  <si>
    <t>SAFB-like transcription modulator</t>
  </si>
  <si>
    <t>Aurora kinase A-interacting protein</t>
  </si>
  <si>
    <t>3-oxoacyl-[acyl-carrier-protein] synthase, mitochondrial</t>
  </si>
  <si>
    <t>Glucose-induced degradation protein 8 homolog</t>
  </si>
  <si>
    <t>UPF0587 protein C1orf123</t>
  </si>
  <si>
    <t>Nicotinamide riboside kinase 1</t>
  </si>
  <si>
    <t>Probable tRNA(His) guanylyltransferase</t>
  </si>
  <si>
    <t>UPF0609 protein C4orf27</t>
  </si>
  <si>
    <t>Interleukin-1 receptor-associated kinase 4</t>
  </si>
  <si>
    <t>COMM domain-containing protein 8</t>
  </si>
  <si>
    <t>Protein FAM206A</t>
  </si>
  <si>
    <t>Poly(ADP-ribose) glycohydrolase ARH3</t>
  </si>
  <si>
    <t>Huntingtin-interacting protein K</t>
  </si>
  <si>
    <t>NAD-dependent protein deacylase sirtuin-5, mitochondrial</t>
  </si>
  <si>
    <t>Myotubularin-related protein 10</t>
  </si>
  <si>
    <t>THUMP domain-containing protein 1</t>
  </si>
  <si>
    <t>Isoform 2 of tRNA (guanine(26)-N(2))-dimethyltransferase</t>
  </si>
  <si>
    <t>Isoform 4 of BRCA1-A complex subunit BRE</t>
  </si>
  <si>
    <t>ADP-ribosylation factor-like protein 15</t>
  </si>
  <si>
    <t>CDKN2A-interacting protein</t>
  </si>
  <si>
    <t>DnaJ homolog subfamily B member 12</t>
  </si>
  <si>
    <t>Serine/threonine-protein phosphatase 4 regulatory subunit 2</t>
  </si>
  <si>
    <t>Isoform 4 of Dipeptidyl peptidase 3</t>
  </si>
  <si>
    <t>Telomeric repeat-binding factor 2-interacting protein 1</t>
  </si>
  <si>
    <t>Isoform 2 of Bcl-2-associated transcription factor 1</t>
  </si>
  <si>
    <t>Cytochrome c oxidase assembly factor 4 homolog, mitochondrial</t>
  </si>
  <si>
    <t>Isoform 2 of TGF-beta-activated kinase 1 and MAP3K7-binding protein 2</t>
  </si>
  <si>
    <t>Isoform 2 of Mitogen-activated protein kinase kinase kinase MLT</t>
  </si>
  <si>
    <t>Mitogen-activated protein kinase kinase kinase MLT</t>
  </si>
  <si>
    <t>Tropomodulin-3</t>
  </si>
  <si>
    <t>Hydroxyacid oxidase 2</t>
  </si>
  <si>
    <t>Isoform 2 of UDP-glucose:glycoprotein glucosyltransferase 1</t>
  </si>
  <si>
    <t>Isoform 2 of FAST kinase domain-containing protein 2</t>
  </si>
  <si>
    <t>Endoplasmic reticulum aminopeptidase 1</t>
  </si>
  <si>
    <t>Isoform 2 of Ubiquitin-associated protein 1</t>
  </si>
  <si>
    <t>Actin-related protein 10</t>
  </si>
  <si>
    <t>CDGSH iron-sulfur domain-containing protein 1</t>
  </si>
  <si>
    <t>Uncharacterized protein C9orf78</t>
  </si>
  <si>
    <t>Constitutive coactivator of PPAR-gamma-like protein 1</t>
  </si>
  <si>
    <t>Isoform 6 of Molybdenum cofactor biosynthesis protein 1</t>
  </si>
  <si>
    <t>Hexaprenyldihydroxybenzoate methyltransferase, mitochondrial</t>
  </si>
  <si>
    <t>Diphosphoinositol polyphosphate phosphohydrolase 2</t>
  </si>
  <si>
    <t>Hsp70-binding protein 1</t>
  </si>
  <si>
    <t>Methionine adenosyltransferase 2 subunit beta</t>
  </si>
  <si>
    <t>Isoform 2 of Intersectin-2</t>
  </si>
  <si>
    <t>Isoform 2 of Rho guanine nucleotide exchange factor 12</t>
  </si>
  <si>
    <t>Isoform 4 of CCR4-NOT transcription complex subunit 2</t>
  </si>
  <si>
    <t>Isoform 3 of Aryl-hydrocarbon-interacting protein-like 1</t>
  </si>
  <si>
    <t>Complement C1r subcomponent-like protein</t>
  </si>
  <si>
    <t>Isoform 2 of Opioid growth factor receptor</t>
  </si>
  <si>
    <t>LIM and cysteine-rich domains protein 1</t>
  </si>
  <si>
    <t>Charged multivesicular body protein 5</t>
  </si>
  <si>
    <t>COMM domain-containing protein 9</t>
  </si>
  <si>
    <t>Spliceosome-associated protein CWC15 homolog</t>
  </si>
  <si>
    <t>Thymocyte nuclear protein 1</t>
  </si>
  <si>
    <t>[Pyruvate dehydrogenase [acetyl-transferring]]-phosphatase 1, mitochondrial</t>
  </si>
  <si>
    <t>Isoform 3 of Ankycorbin</t>
  </si>
  <si>
    <t>Vesicle-associated membrane protein-associated protein A</t>
  </si>
  <si>
    <t>Uncharacterized protein C6orf203</t>
  </si>
  <si>
    <t>GSK3-beta interaction protein</t>
  </si>
  <si>
    <t>Peroxisomal sarcosine oxidase</t>
  </si>
  <si>
    <t>Costars family protein ABRACL</t>
  </si>
  <si>
    <t>Actin-related protein 3B</t>
  </si>
  <si>
    <t>Calmodulin-regulated spectrin-associated protein 3</t>
  </si>
  <si>
    <t>Isoform 2 of Calcium-binding and coiled-coil domain-containing protein 1</t>
  </si>
  <si>
    <t>Isoform 2 of Uncharacterized protein KIAA1522</t>
  </si>
  <si>
    <t>Protein RCC2</t>
  </si>
  <si>
    <t>LisH domain and HEAT repeat-containing protein KIAA1468</t>
  </si>
  <si>
    <t>Disco-interacting protein 2 homolog B</t>
  </si>
  <si>
    <t>SLAIN motif-containing protein 2</t>
  </si>
  <si>
    <t>BRCA2 and CDKN1A-interacting protein</t>
  </si>
  <si>
    <t>Coatomer subunit zeta-2</t>
  </si>
  <si>
    <t>Isoform 3 of HEAT repeat-containing protein 5B</t>
  </si>
  <si>
    <t>Isoform 1 of Ribosome-binding protein 1</t>
  </si>
  <si>
    <t>Ribosome-binding protein 1</t>
  </si>
  <si>
    <t>Isoform 2 of Eukaryotic translation initiation factor 2-alpha kinase 4</t>
  </si>
  <si>
    <t>Cingulin</t>
  </si>
  <si>
    <t>RNA-binding protein 27</t>
  </si>
  <si>
    <t>Ankyrin repeat and FYVE domain-containing protein 1</t>
  </si>
  <si>
    <t>Protein IMPACT</t>
  </si>
  <si>
    <t>Ataxin-10</t>
  </si>
  <si>
    <t>Isoform 3 of Epidermal growth factor receptor substrate 15-like 1</t>
  </si>
  <si>
    <t>SUMO-activating enzyme subunit 1</t>
  </si>
  <si>
    <t>Coatomer subunit gamma-2</t>
  </si>
  <si>
    <t>RING-box protein 2</t>
  </si>
  <si>
    <t>Isoform B of Methionine synthase reductase</t>
  </si>
  <si>
    <t>Protein UXT</t>
  </si>
  <si>
    <t>Isoform 2 of Set1/Ash2 histone methyltransferase complex subunit ASH2</t>
  </si>
  <si>
    <t>Histone deacetylase 6</t>
  </si>
  <si>
    <t>Isoform 3 of Spastin</t>
  </si>
  <si>
    <t>tRNA (guanine-N(7)-)-methyltransferase</t>
  </si>
  <si>
    <t>Vacuolar protein sorting-associated protein 29</t>
  </si>
  <si>
    <t>Glyoxylate reductase/hydroxypyruvate reductase</t>
  </si>
  <si>
    <t>Beta-ureidopropionase</t>
  </si>
  <si>
    <t>Cathepsin Z</t>
  </si>
  <si>
    <t>DnaJ homolog subfamily B member 11</t>
  </si>
  <si>
    <t>E3 ubiquitin-protein ligase RNF14</t>
  </si>
  <si>
    <t>SUMO-activating enzyme subunit 2</t>
  </si>
  <si>
    <t>Peflin</t>
  </si>
  <si>
    <t>COP9 signalosome complex subunit 7a</t>
  </si>
  <si>
    <t>Alpha-aminoadipic semialdehyde synthase, mitochondrial</t>
  </si>
  <si>
    <t>Isoform 2 of SEC14-like protein 4</t>
  </si>
  <si>
    <t>Isoform C1 of Tight junction protein ZO-2</t>
  </si>
  <si>
    <t>DnaJ homolog subfamily B member 4</t>
  </si>
  <si>
    <t>Isoform 1 of Gamma-adducin</t>
  </si>
  <si>
    <t>UPF0449 protein C19orf25</t>
  </si>
  <si>
    <t>Protein NipSnap homolog 3A</t>
  </si>
  <si>
    <t>CGG triplet repeat-binding protein 1</t>
  </si>
  <si>
    <t>Peptide chain release factor 1-like, mitochondrial</t>
  </si>
  <si>
    <t>Testin</t>
  </si>
  <si>
    <t>LIM domain-containing protein 1</t>
  </si>
  <si>
    <t>Armadillo repeat-containing X-linked protein 3</t>
  </si>
  <si>
    <t>Switch-associated protein 70</t>
  </si>
  <si>
    <t>Isoform Alpha of Max-like protein X</t>
  </si>
  <si>
    <t>Ragulator complex protein LAMTOR3</t>
  </si>
  <si>
    <t>LIM domain and actin-binding protein 1</t>
  </si>
  <si>
    <t>Signal recognition particle subunit SRP68</t>
  </si>
  <si>
    <t>Cysteine and histidine-rich domain-containing protein 1</t>
  </si>
  <si>
    <t>Septin-9</t>
  </si>
  <si>
    <t>Ubiquilin-2</t>
  </si>
  <si>
    <t>Sedoheptulokinase</t>
  </si>
  <si>
    <t>Dipeptidyl peptidase 2</t>
  </si>
  <si>
    <t>Brain-specific angiogenesis inhibitor 1-associated protein 2-like protein 1</t>
  </si>
  <si>
    <t>Isoform 2 of SAP30-binding protein</t>
  </si>
  <si>
    <t>Prefoldin subunit 2</t>
  </si>
  <si>
    <t>Isoform 4 of Poly(U)-binding-splicing factor PUF60</t>
  </si>
  <si>
    <t>Enolase-phosphatase E1</t>
  </si>
  <si>
    <t>Ena/VASP-like protein</t>
  </si>
  <si>
    <t>Isoform 3 of Translation initiation factor eIF-2B subunit delta</t>
  </si>
  <si>
    <t>Translation initiation factor eIF-2B subunit delta</t>
  </si>
  <si>
    <t>Isoform 2 of V-type proton ATPase subunit H</t>
  </si>
  <si>
    <t>Dimethylglycine dehydrogenase, mitochondrial</t>
  </si>
  <si>
    <t>Glutaminase liver isoform, mitochondrial</t>
  </si>
  <si>
    <t>Exportin-7</t>
  </si>
  <si>
    <t>Isoform 2 of Vacuolar protein sorting-associated protein 51 homolog</t>
  </si>
  <si>
    <t>ATPase inhibitor, mitochondrial</t>
  </si>
  <si>
    <t>GTP:AMP phosphotransferase AK3, mitochondrial</t>
  </si>
  <si>
    <t>Potassium voltage-gated channel subfamily G member 1</t>
  </si>
  <si>
    <t>Isoform 2 of Rab5 GDP/GTP exchange factor</t>
  </si>
  <si>
    <t>Isoform 5 of Mitochondrial peptide methionine sulfoxide reductase</t>
  </si>
  <si>
    <t>N-acetyl-D-glucosamine kinase</t>
  </si>
  <si>
    <t>Isoform 2 of tRNA (adenine(58)-N(1))-methyltransferase non-catalytic subunit TRM6</t>
  </si>
  <si>
    <t>SH3 domain-binding glutamic acid-rich-like protein 2</t>
  </si>
  <si>
    <t>ERBB receptor feedback inhibitor 1</t>
  </si>
  <si>
    <t>Hydroxyacid oxidase 1</t>
  </si>
  <si>
    <t>Drebrin-like protein</t>
  </si>
  <si>
    <t>Dynactin subunit 4</t>
  </si>
  <si>
    <t>Isoform 4 of ADP-ribosylation factor-binding protein GGA1</t>
  </si>
  <si>
    <t>F-box only protein 2</t>
  </si>
  <si>
    <t>Vacuolar protein sorting-associated protein 28 homolog</t>
  </si>
  <si>
    <t>U6 snRNA-associated Sm-like protein LSm7</t>
  </si>
  <si>
    <t>Lariat debranching enzyme</t>
  </si>
  <si>
    <t>Isoform 2 of F-box only protein 3</t>
  </si>
  <si>
    <t>Isoform B of DnaJ homolog subfamily C member 12</t>
  </si>
  <si>
    <t>DCC-interacting protein 13-alpha</t>
  </si>
  <si>
    <t>Peroxisomal carnitine O-octanoyltransferase</t>
  </si>
  <si>
    <t>ADP-sugar pyrophosphatase</t>
  </si>
  <si>
    <t>Phosphatidylcholine transfer protein</t>
  </si>
  <si>
    <t>Protein kinase C and casein kinase substrate in neurons protein 3</t>
  </si>
  <si>
    <t>F-box only protein 4</t>
  </si>
  <si>
    <t>Isobutyryl-CoA dehydrogenase, mitochondrial</t>
  </si>
  <si>
    <t>Protein argonaute-2</t>
  </si>
  <si>
    <t>Nuclear pore complex protein Nup50</t>
  </si>
  <si>
    <t>Protein CDV3 homolog</t>
  </si>
  <si>
    <t>Sarcosine dehydrogenase, mitochondrial</t>
  </si>
  <si>
    <t>Ras-related protein Rab-21</t>
  </si>
  <si>
    <t>Paraneoplastic antigen Ma2</t>
  </si>
  <si>
    <t>Proteasome activator complex subunit 2</t>
  </si>
  <si>
    <t>Aspartyl aminopeptidase</t>
  </si>
  <si>
    <t>Malignant T-cell-amplified sequence 1</t>
  </si>
  <si>
    <t>Long-chain-fatty-acid--CoA ligase 5</t>
  </si>
  <si>
    <t>2-oxoglutarate dehydrogenase-like, mitochondrial</t>
  </si>
  <si>
    <t>Isoform 2 of Microtubule-associated tumor suppressor 1</t>
  </si>
  <si>
    <t>Isoform 4 of MKL/myocardin-like protein 2</t>
  </si>
  <si>
    <t>Isoform 2 of TBC1 domain family member 24</t>
  </si>
  <si>
    <t>E3 ubiquitin-protein ligase HECTD1</t>
  </si>
  <si>
    <t>Coronin-1C</t>
  </si>
  <si>
    <t>Isoform 2 of Apoptosis-associated speck-like protein containing a CARD</t>
  </si>
  <si>
    <t>Isoform 2 of Mammalian ependymin-related protein 1</t>
  </si>
  <si>
    <t>Isoform 2 of ATP-dependent RNA helicase DDX19B</t>
  </si>
  <si>
    <t>Isoform 3 of NFU1 iron-sulfur cluster scaffold homolog, mitochondrial</t>
  </si>
  <si>
    <t>Pre-mRNA-processing factor 19</t>
  </si>
  <si>
    <t>Isoform 2 of Ubiquilin-1</t>
  </si>
  <si>
    <t>Neudesin</t>
  </si>
  <si>
    <t>Isoform 2 of Sorting nexin-12</t>
  </si>
  <si>
    <t>Isoform 5 of Synergin gamma</t>
  </si>
  <si>
    <t>Protein NDRG2</t>
  </si>
  <si>
    <t>Vacuolar protein sorting-associated protein 4A</t>
  </si>
  <si>
    <t>Ras GTPase-activating protein-binding protein 2</t>
  </si>
  <si>
    <t>E3 ubiquitin-protein ligase CHIP</t>
  </si>
  <si>
    <t>Isoform 2 of Protein kinase C and casein kinase substrate in neurons protein 2</t>
  </si>
  <si>
    <t>Melanoma-associated antigen D2</t>
  </si>
  <si>
    <t>Sorting nexin-6</t>
  </si>
  <si>
    <t>26S proteasome non-ATPase regulatory subunit 13</t>
  </si>
  <si>
    <t>FAS-associated factor 1</t>
  </si>
  <si>
    <t>COP9 signalosome complex subunit 3</t>
  </si>
  <si>
    <t>NSFL1 cofactor p47</t>
  </si>
  <si>
    <t>Conserved oligomeric Golgi complex subunit 5</t>
  </si>
  <si>
    <t>Protein SCAF8</t>
  </si>
  <si>
    <t>Serine/threonine-protein phosphatase 6 regulatory subunit 1</t>
  </si>
  <si>
    <t>Isoform Beta of E3 ubiquitin-protein ligase TRIM33</t>
  </si>
  <si>
    <t>Isoform 2 of Trinucleotide repeat-containing gene 6B protein</t>
  </si>
  <si>
    <t>Isoform 2 of Exocyst complex component 7</t>
  </si>
  <si>
    <t>Ubiquitin carboxyl-terminal hydrolase 24</t>
  </si>
  <si>
    <t>Isoform 2 of TBC1 domain family member 2B</t>
  </si>
  <si>
    <t>Isoform 2 of Endoribonuclease Dicer</t>
  </si>
  <si>
    <t>Isoform 2 of Microtubule-associated protein RP/EB family member 3</t>
  </si>
  <si>
    <t>Microtubule-associated protein RP/EB family member 3</t>
  </si>
  <si>
    <t>Serine/arginine repetitive matrix protein 2</t>
  </si>
  <si>
    <t>Proliferation-associated protein 2G4</t>
  </si>
  <si>
    <t>Isoform SV3 of Cyclin-dependent kinase 11A</t>
  </si>
  <si>
    <t>Isoform 5 of Brain-specific angiogenesis inhibitor 1-associated protein 2</t>
  </si>
  <si>
    <t>Structural maintenance of chromosomes protein 3</t>
  </si>
  <si>
    <t>Charged multivesicular body protein 2b</t>
  </si>
  <si>
    <t>Myotubularin-related protein 6</t>
  </si>
  <si>
    <t>Bifunctional UDP-N-acetylglucosamine 2-epimerase/N-acetylmannosamine kinase</t>
  </si>
  <si>
    <t>UPF0568 protein C14orf166</t>
  </si>
  <si>
    <t>RuvB-like 2</t>
  </si>
  <si>
    <t>Peptidyl-prolyl cis-trans isomerase NIMA-interacting 4</t>
  </si>
  <si>
    <t>Choline/ethanolamine kinase</t>
  </si>
  <si>
    <t>Isoform 2 of Eukaryotic translation initiation factor 3 subunit L</t>
  </si>
  <si>
    <t>Phospholipase A-2-activating protein</t>
  </si>
  <si>
    <t>RuvB-like 1</t>
  </si>
  <si>
    <t>Nuclear migration protein nudC</t>
  </si>
  <si>
    <t>Cofilin-2</t>
  </si>
  <si>
    <t>Developmentally-regulated GTP-binding protein 1</t>
  </si>
  <si>
    <t>Nck-associated protein 1</t>
  </si>
  <si>
    <t>Protein canopy homolog 2</t>
  </si>
  <si>
    <t>Exocyst complex component 6B</t>
  </si>
  <si>
    <t>Isoform 4 of A-kinase anchor protein 2</t>
  </si>
  <si>
    <t>Disco-interacting protein 2 homolog C</t>
  </si>
  <si>
    <t>Pleckstrin homology domain-containing family A member 6</t>
  </si>
  <si>
    <t>Isoform 4 of Nischarin</t>
  </si>
  <si>
    <t>Isoform 2 of Trafficking protein particle complex subunit 8</t>
  </si>
  <si>
    <t>Bile acyl-CoA synthetase</t>
  </si>
  <si>
    <t>Glutathione S-transferase kappa 1</t>
  </si>
  <si>
    <t>Ragulator complex protein LAMTOR2</t>
  </si>
  <si>
    <t>28S ribosomal protein S28, mitochondrial</t>
  </si>
  <si>
    <t>Cytochrome c oxidase assembly protein 3 homolog, mitochondrial</t>
  </si>
  <si>
    <t>Lambda-crystallin homolog</t>
  </si>
  <si>
    <t>Translation machinery-associated protein 7</t>
  </si>
  <si>
    <t>Polymerase delta-interacting protein 2</t>
  </si>
  <si>
    <t>AP-3 complex subunit mu-1</t>
  </si>
  <si>
    <t>Isoform 3 of Guanine deaminase</t>
  </si>
  <si>
    <t>Inner nuclear membrane protein Man1</t>
  </si>
  <si>
    <t>Calcium-regulated heat stable protein 1</t>
  </si>
  <si>
    <t>Thyroid hormone receptor-associated protein 3</t>
  </si>
  <si>
    <t>Nucleolar protein 58</t>
  </si>
  <si>
    <t>Suppressor of G2 allele of SKP1 homolog</t>
  </si>
  <si>
    <t>Isoform 5 of Protein MTO1 homolog, mitochondrial</t>
  </si>
  <si>
    <t>Tyrosine--tRNA ligase, mitochondrial</t>
  </si>
  <si>
    <t>Isoform 3 of Ubiquinone biosynthesis monooxygenase COQ6</t>
  </si>
  <si>
    <t>Putative N-acetylglucosamine-6-phosphate deacetylase</t>
  </si>
  <si>
    <t>Acyl-coenzyme A thioesterase 9, mitochondrial</t>
  </si>
  <si>
    <t>Protein AAR2 homolog</t>
  </si>
  <si>
    <t>Nitric oxide synthase-interacting protein</t>
  </si>
  <si>
    <t>Putative deoxyribose-phosphate aldolase</t>
  </si>
  <si>
    <t>Protein MEMO1</t>
  </si>
  <si>
    <t>Calcium-binding protein 39</t>
  </si>
  <si>
    <t>Putative RNA-binding protein Luc7-like 2</t>
  </si>
  <si>
    <t>Ubiquitin-conjugating enzyme E2 J1</t>
  </si>
  <si>
    <t>28S ribosomal protein S2, mitochondrial</t>
  </si>
  <si>
    <t>Ribosome maturation protein SBDS</t>
  </si>
  <si>
    <t>RRP15-like protein</t>
  </si>
  <si>
    <t>Nucleolar protein 16</t>
  </si>
  <si>
    <t>Isoform 2 of TP53RK-binding protein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</si>
  <si>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</si>
  <si>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</si>
  <si>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</si>
  <si>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</si>
  <si>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Mitochondrial fission 1 protein</t>
  </si>
  <si>
    <t>BolA-like protein 1</t>
  </si>
  <si>
    <t>Isoform 4 of Charged multivesicular body protein 3</t>
  </si>
  <si>
    <t>Serine-threonine kinase receptor-associated protein</t>
  </si>
  <si>
    <t>tRNA-splicing ligase RtcB homolog</t>
  </si>
  <si>
    <t>Isoform 3 of F-box only protein 7</t>
  </si>
  <si>
    <t>Ras-related protein Rap-2c</t>
  </si>
  <si>
    <t>Rab GTPase-activating protein 1</t>
  </si>
  <si>
    <t>Zinc finger protein 330</t>
  </si>
  <si>
    <t>Coiled-coil domain-containing protein 9</t>
  </si>
  <si>
    <t>Isoform 3 of Chromatin target of PRMT1 protein</t>
  </si>
  <si>
    <t>Isoform 4 of Deoxynucleoside triphosphate triphosphohydrolase SAMHD1</t>
  </si>
  <si>
    <t>Isoform 3 of HBS1-like protein</t>
  </si>
  <si>
    <t>Talin-1</t>
  </si>
  <si>
    <t>Isoform 3 of Protein VPRBP</t>
  </si>
  <si>
    <t>Isoform 2 of Protein FAM115A</t>
  </si>
  <si>
    <t>Ubiquitin carboxyl-terminal hydrolase 15</t>
  </si>
  <si>
    <t>FERM, RhoGEF and pleckstrin domain-containing protein 1</t>
  </si>
  <si>
    <t>Talin-2</t>
  </si>
  <si>
    <t>Insulin receptor substrate 2</t>
  </si>
  <si>
    <t>Absent in melanoma 1 protein</t>
  </si>
  <si>
    <t>TNF receptor-associated factor 6</t>
  </si>
  <si>
    <t>Isoform 3 of WD repeat domain phosphoinositide-interacting protein 2</t>
  </si>
  <si>
    <t>Methylmalonic aciduria and homocystinuria type C protein</t>
  </si>
  <si>
    <t>AFG3-like protein 2</t>
  </si>
  <si>
    <t>E3 ubiquitin-protein ligase ARIH1</t>
  </si>
  <si>
    <t>U6 snRNA-associated Sm-like protein LSm4</t>
  </si>
  <si>
    <t>RING finger protein 114</t>
  </si>
  <si>
    <t>Isoform 4 of Protein PRRC2C</t>
  </si>
  <si>
    <t>Protein phosphatase methylesterase 1</t>
  </si>
  <si>
    <t>Isoform 2 of YTH domain family protein 2</t>
  </si>
  <si>
    <t>RNA polymerase II subunit A C-terminal domain phosphatase</t>
  </si>
  <si>
    <t>FACT complex subunit SPT16</t>
  </si>
  <si>
    <t>Mitochondrial import inner membrane translocase subunit Tim9</t>
  </si>
  <si>
    <t>Mitochondrial import inner membrane translocase subunit Tim8 B</t>
  </si>
  <si>
    <t>Isoform 2 of Ubiquitin carboxyl-terminal hydrolase isozyme L5</t>
  </si>
  <si>
    <t>CD2-associated protein</t>
  </si>
  <si>
    <t>V-type proton ATPase subunit D</t>
  </si>
  <si>
    <t>Transportin-3</t>
  </si>
  <si>
    <t>Mitochondrial import inner membrane translocase subunit Tim13</t>
  </si>
  <si>
    <t>Isoform 2 of Collagen type IV alpha-3-binding protein</t>
  </si>
  <si>
    <t>Mannose-1-phosphate guanyltransferase beta</t>
  </si>
  <si>
    <t>Trafficking protein particle complex subunit 1</t>
  </si>
  <si>
    <t>Serine/threonine-protein kinase MRCK beta</t>
  </si>
  <si>
    <t>RNA-binding protein 8A</t>
  </si>
  <si>
    <t>Sorting nexin-9</t>
  </si>
  <si>
    <t>Sorting nexin-5</t>
  </si>
  <si>
    <t>Heme-binding protein 2</t>
  </si>
  <si>
    <t>Isoform 4 of Leucine-rich repeat flightless-interacting protein 2</t>
  </si>
  <si>
    <t>Phosphoserine aminotransferase</t>
  </si>
  <si>
    <t>Carboxypeptidase Q</t>
  </si>
  <si>
    <t>Coatomer subunit gamma-1</t>
  </si>
  <si>
    <t>Chloride intracellular channel protein 4</t>
  </si>
  <si>
    <t>Isoform Cytoplasmic of Cysteine desulfurase, mitochondrial</t>
  </si>
  <si>
    <t>UPF0468 protein C16orf80</t>
  </si>
  <si>
    <t>GTP-binding protein SAR1b</t>
  </si>
  <si>
    <t>Brefeldin A-inhibited guanine nucleotide-exchange protein 2</t>
  </si>
  <si>
    <t>Brefeldin A-inhibited guanine nucleotide-exchange protein 1</t>
  </si>
  <si>
    <t>Mitotic spindle assembly checkpoint protein MAD1</t>
  </si>
  <si>
    <t>COMM domain-containing protein 10</t>
  </si>
  <si>
    <t>Cytoplasmic dynein 1 light intermediate chain 1</t>
  </si>
  <si>
    <t>Coiled-coil-helix-coiled-coil-helix domain-containing protein 2, mitochondrial</t>
  </si>
  <si>
    <t>Isoform 3 of Epsin-1</t>
  </si>
  <si>
    <t>Testis-expressed sequence 264 protein</t>
  </si>
  <si>
    <t>2-5-oligoadenylate synthase 3</t>
  </si>
  <si>
    <t>NF-kappa-B essential modulator</t>
  </si>
  <si>
    <t>Sulfide:quinone oxidoreductase, mitochondrial</t>
  </si>
  <si>
    <t>Isoform 2 of Protein piccolo</t>
  </si>
  <si>
    <t>Calpain-7</t>
  </si>
  <si>
    <t>Wiskott-Aldrich syndrome protein family member 2</t>
  </si>
  <si>
    <t>Bis(5-adenosyl)-triphosphatase ENPP4</t>
  </si>
  <si>
    <t>Centromere/kinetochore protein zw10 homolog</t>
  </si>
  <si>
    <t>Negative elongation factor E (Fragment)</t>
  </si>
  <si>
    <t>Exosome complex component RRP4</t>
  </si>
  <si>
    <t>RAB3GAP1 protein</t>
  </si>
  <si>
    <t>Leucine-rich repeat-containing protein C10orf11</t>
  </si>
  <si>
    <t>Proline-rich protein PRCC</t>
  </si>
  <si>
    <t>Hematological and neurological-expressed 1-like protein</t>
  </si>
  <si>
    <t>Chromosome 1 open reading frame 41, isoform CRA_b</t>
  </si>
  <si>
    <t>Diaphanous homolog 2 (Drosophila), isoform CRA_c</t>
  </si>
  <si>
    <t>Protein Shroom1</t>
  </si>
  <si>
    <t>Tumor suppressor p53-binding protein 1</t>
  </si>
  <si>
    <t>Down syndrome critical region protein 3</t>
  </si>
  <si>
    <t>NEDD8-activating enzyme E1 regulatory subunit</t>
  </si>
  <si>
    <t>Protein Hook homolog 1</t>
  </si>
  <si>
    <t>Tubulin alpha-4A chain</t>
  </si>
  <si>
    <t>Cadherin-2</t>
  </si>
  <si>
    <t>Serine/arginine repetitive matrix protein 1</t>
  </si>
  <si>
    <t>HLA-B associated transcript 3, isoform CRA_a</t>
  </si>
  <si>
    <t>Proteasome subunit beta type</t>
  </si>
  <si>
    <t>Capping protein (Actin filament) muscle Z-line, beta, isoform CRA_a</t>
  </si>
  <si>
    <t>Complement factor H-related protein 1</t>
  </si>
  <si>
    <t>Nuclear factor 1 A-type</t>
  </si>
  <si>
    <t>Astrocytic phosphoprotein PEA-15</t>
  </si>
  <si>
    <t>E3 ubiquitin-protein ligase UHRF2</t>
  </si>
  <si>
    <t>Hsp90 co-chaperone Cdc37-like 1</t>
  </si>
  <si>
    <t>Protein PALM2-AKAP2 (Fragment)</t>
  </si>
  <si>
    <t>TNF receptor-associated factor 2</t>
  </si>
  <si>
    <t>Guanylate kinase (Fragment)</t>
  </si>
  <si>
    <t>Histone deacetylase</t>
  </si>
  <si>
    <t>Leucine zipper transcription factor-like 1, isoform CRA_b</t>
  </si>
  <si>
    <t>PHD finger protein 23</t>
  </si>
  <si>
    <t>Probable ATP-dependent RNA helicase DDX58</t>
  </si>
  <si>
    <t>Retinoic acid receptor RXR-alpha</t>
  </si>
  <si>
    <t>RNA pseudouridylate synthase domain-containing protein 2</t>
  </si>
  <si>
    <t>Calponin-2</t>
  </si>
  <si>
    <t>Vacuolar fusion protein MON1 homolog B</t>
  </si>
  <si>
    <t>Beta-catenin-like protein 1</t>
  </si>
  <si>
    <t>Vesicle-fusing ATPase</t>
  </si>
  <si>
    <t>28S ribosomal protein S18b, mitochondrial</t>
  </si>
  <si>
    <t>Checkpoint protein HUS1</t>
  </si>
  <si>
    <t>COMM domain-containing protein 1</t>
  </si>
  <si>
    <t>Catenin beta-1</t>
  </si>
  <si>
    <t>Phosphatidylinositol 5-phosphate 4-kinase type-2 alpha</t>
  </si>
  <si>
    <t>MAP1S light chain</t>
  </si>
  <si>
    <t>Acyl-CoA synthetase family member 2, mitochondrial</t>
  </si>
  <si>
    <t>Protein-glutamine gamma-glutamyltransferase 2</t>
  </si>
  <si>
    <t>Glomulin</t>
  </si>
  <si>
    <t>Ras-related protein Rab-5A</t>
  </si>
  <si>
    <t>Histone H2A</t>
  </si>
  <si>
    <t>Small nuclear ribonucleoprotein Sm D3</t>
  </si>
  <si>
    <t>Citrate synthase</t>
  </si>
  <si>
    <t>Aldo-keto reductase family 1 member C2</t>
  </si>
  <si>
    <t>Protein zyg-11 homolog B</t>
  </si>
  <si>
    <t>Cartilage oligomeric matrix protein</t>
  </si>
  <si>
    <t>Lipolysis-stimulated lipoprotein receptor</t>
  </si>
  <si>
    <t>ATP synthase subunit gamma</t>
  </si>
  <si>
    <t>Protein CHURC1-FNTB</t>
  </si>
  <si>
    <t>Probable ATP-dependent RNA helicase DDX5</t>
  </si>
  <si>
    <t>Prostaglandin E synthase 3</t>
  </si>
  <si>
    <t>Methylosome protein 50</t>
  </si>
  <si>
    <t>Makorin, ring finger protein, 2, isoform CRA_b</t>
  </si>
  <si>
    <t>TOX high mobility group box family member 4</t>
  </si>
  <si>
    <t>Golgi SNAP receptor complex member 1</t>
  </si>
  <si>
    <t>6-phosphogluconate dehydrogenase, decarboxylating</t>
  </si>
  <si>
    <t>Macrophage erythroblast attacher</t>
  </si>
  <si>
    <t>Serine/threonine-protein kinase 24 12 kDa subunit</t>
  </si>
  <si>
    <t>Rab proteins geranylgeranyltransferase component A 1</t>
  </si>
  <si>
    <t>Kinesin-like protein KIF3B</t>
  </si>
  <si>
    <t>Annexin</t>
  </si>
  <si>
    <t>Protein LSM14 homolog A</t>
  </si>
  <si>
    <t>3(2),5-bisphosphate nucleotidase 1</t>
  </si>
  <si>
    <t>Ribokinase</t>
  </si>
  <si>
    <t>Eukaryotic translation initiation factor 3 subunit D</t>
  </si>
  <si>
    <t>2-hydroxyacyl-CoA lyase 1</t>
  </si>
  <si>
    <t>DNA replication licensing factor MCM3</t>
  </si>
  <si>
    <t>Keratin, type II cytoskeletal 72</t>
  </si>
  <si>
    <t>Caseinolytic peptidase B protein homolog</t>
  </si>
  <si>
    <t>Regulator of microtubule dynamics protein 1</t>
  </si>
  <si>
    <t>Leucine-rich repeat and calponin homology domain-containing protein 3</t>
  </si>
  <si>
    <t>Arginyl-tRNA--protein transferase 1</t>
  </si>
  <si>
    <t>Complement factor B</t>
  </si>
  <si>
    <t>Serine/arginine-rich-splicing factor 3</t>
  </si>
  <si>
    <t>Calnexin</t>
  </si>
  <si>
    <t>3-ketoacyl-CoA thiolase</t>
  </si>
  <si>
    <t>Insulin-like growth factor-binding protein 4</t>
  </si>
  <si>
    <t>Adenosine deaminase CECR1</t>
  </si>
  <si>
    <t>Replication protein A 14 kDa subunit</t>
  </si>
  <si>
    <t>40S ribosomal protein S7</t>
  </si>
  <si>
    <t>Septin-2</t>
  </si>
  <si>
    <t>Forkhead-associated domain-containing protein 1</t>
  </si>
  <si>
    <t>Membrane-associated progesterone receptor component 1</t>
  </si>
  <si>
    <t>V-type proton ATPase catalytic subunit A</t>
  </si>
  <si>
    <t>Beta-chimaerin</t>
  </si>
  <si>
    <t>Protein disulfide-isomerase A6</t>
  </si>
  <si>
    <t>Protein phosphatase 1F</t>
  </si>
  <si>
    <t>Lysosome-associated membrane glycoprotein 2</t>
  </si>
  <si>
    <t>Enolase</t>
  </si>
  <si>
    <t>Conserved oligomeric Golgi complex subunit 2</t>
  </si>
  <si>
    <t>Protein NDRG3</t>
  </si>
  <si>
    <t>Adenylyl cyclase-associated protein</t>
  </si>
  <si>
    <t>GRB2-associated-binding protein 1</t>
  </si>
  <si>
    <t>Delta-aminolevulinic acid dehydratase</t>
  </si>
  <si>
    <t>FYVE, RhoGEF and PH domain-containing protein 4</t>
  </si>
  <si>
    <t>Deoxyribonuclease-2-alpha</t>
  </si>
  <si>
    <t>Dolichyl-diphosphooligosaccharide--protein glycosyltransferase subunit 1</t>
  </si>
  <si>
    <t>WW domain-binding protein 4</t>
  </si>
  <si>
    <t>Transport and Golgi organization 2 homolog</t>
  </si>
  <si>
    <t>Tryptophan--tRNA ligase, mitochondrial</t>
  </si>
  <si>
    <t>2,4-dienoyl-CoA reductase, mitochondrial</t>
  </si>
  <si>
    <t>Acid sphingomyelinase-like phosphodiesterase 3a</t>
  </si>
  <si>
    <t>Ran-binding protein 3</t>
  </si>
  <si>
    <t>Growth factor receptor-bound protein 14</t>
  </si>
  <si>
    <t>Ubiquitin carboxyl-terminal hydrolase</t>
  </si>
  <si>
    <t>DNA-binding protein RFX5</t>
  </si>
  <si>
    <t>Tyrosine-protein phosphatase non-receptor type 3</t>
  </si>
  <si>
    <t>Protein NADK2</t>
  </si>
  <si>
    <t>Serine/threonine-protein kinase 25</t>
  </si>
  <si>
    <t>UPF0554 protein C2orf43</t>
  </si>
  <si>
    <t>Protein Wiz</t>
  </si>
  <si>
    <t>UDP-glucuronosyltransferase 1 family polypeptide A4s</t>
  </si>
  <si>
    <t>Protein eva-1 homolog A</t>
  </si>
  <si>
    <t>MAGUK p55 subfamily member 6</t>
  </si>
  <si>
    <t>Thymosin alpha-1</t>
  </si>
  <si>
    <t>Vesicle-associated membrane protein 8</t>
  </si>
  <si>
    <t>Transcription elongation factor B (SIII), polypeptide 2 (18kDa, elongin B), isoform CRA_b</t>
  </si>
  <si>
    <t>Transitional endoplasmic reticulum ATPase (Fragment)</t>
  </si>
  <si>
    <t>Protein CutA</t>
  </si>
  <si>
    <t>Choline-phosphate cytidylyltransferase A (Fragment)</t>
  </si>
  <si>
    <t>Sorcin</t>
  </si>
  <si>
    <t>E3 ubiquitin-protein ligase RNF181</t>
  </si>
  <si>
    <t>ADP-ribosylation factor 5 (Fragment)</t>
  </si>
  <si>
    <t>NEDD8-conjugating enzyme UBE2F</t>
  </si>
  <si>
    <t>N-alpha-acetyltransferase 50</t>
  </si>
  <si>
    <t>Programmed cell death protein 10</t>
  </si>
  <si>
    <t>40S ribosomal protein SA (Fragment)</t>
  </si>
  <si>
    <t>Metallo-beta-lactamase domain-containing protein 1 (Fragment)</t>
  </si>
  <si>
    <t>Frataxin, mitochondrial</t>
  </si>
  <si>
    <t>Serotransferrin (Fragment)</t>
  </si>
  <si>
    <t>Phosphoserine phosphatase (Fragment)</t>
  </si>
  <si>
    <t>DNA-directed RNA polymerases I, II, and III subunit RPABC3</t>
  </si>
  <si>
    <t>Protein BUD31 homolog</t>
  </si>
  <si>
    <t>Sterol-4-alpha-carboxylate 3-dehydrogenase, decarboxylating (Fragment)</t>
  </si>
  <si>
    <t>Eukaryotic translation initiation factor 4E type 2 (Fragment)</t>
  </si>
  <si>
    <t>COP9 signalosome complex subunit 1</t>
  </si>
  <si>
    <t>39S ribosomal protein L39, mitochondrial (Fragment)</t>
  </si>
  <si>
    <t>Angio-associated migratory cell protein</t>
  </si>
  <si>
    <t>Regulator of microtubule dynamics protein 2 (Fragment)</t>
  </si>
  <si>
    <t>Cysteine protease ATG4B (Fragment)</t>
  </si>
  <si>
    <t>WD repeat and FYVE domain-containing protein 1 (Fragment)</t>
  </si>
  <si>
    <t>Protein TSSC4 (Fragment)</t>
  </si>
  <si>
    <t>O-acetyl-ADP-ribose deacetylase 1 (Fragment)</t>
  </si>
  <si>
    <t>SWI/SNF-related matrix-associated actin-dependent regulator of chromatin subfamily A-like protein 1 (Fragment)</t>
  </si>
  <si>
    <t>ADP-ribosylation factor 4 (Fragment)</t>
  </si>
  <si>
    <t>Coiled-coil domain-containing protein 58</t>
  </si>
  <si>
    <t>Peptidyl-prolyl cis-trans isomerase (Fragment)</t>
  </si>
  <si>
    <t>NADH dehydrogenase [ubiquinone] complex I, assembly factor 7 (Fragment)</t>
  </si>
  <si>
    <t>Myotubularin-related protein 14</t>
  </si>
  <si>
    <t>Probable histidine--tRNA ligase, mitochondrial</t>
  </si>
  <si>
    <t>L-2-hydroxyglutarate dehydrogenase, mitochondrial</t>
  </si>
  <si>
    <t>Regulator of chromosome condensation (Fragment)</t>
  </si>
  <si>
    <t>60S ribosomal protein L24</t>
  </si>
  <si>
    <t>DnaJ homolog subfamily B member 2 (Fragment)</t>
  </si>
  <si>
    <t>Lamin-B receptor (Fragment)</t>
  </si>
  <si>
    <t>Lipoma-preferred partner (Fragment)</t>
  </si>
  <si>
    <t>ADP-sugar pyrophosphatase (Fragment)</t>
  </si>
  <si>
    <t>Aminoacylase-1 (Fragment)</t>
  </si>
  <si>
    <t>Dehydrogenase/reductase SDR family member 2 (Fragment)</t>
  </si>
  <si>
    <t>Ubiquitin-conjugating enzyme E2 H (Fragment)</t>
  </si>
  <si>
    <t>Interferon-induced protein with tetratricopeptide repeats 1</t>
  </si>
  <si>
    <t>CAR4/6</t>
  </si>
  <si>
    <t>Heterogeneous nuclear ribonucleoprotein A/B</t>
  </si>
  <si>
    <t>Alpha-methylacyl-CoA racemase</t>
  </si>
  <si>
    <t>OCIA domain-containing protein 1</t>
  </si>
  <si>
    <t>RNA-binding protein 47 (Fragment)</t>
  </si>
  <si>
    <t>LEM domain-containing protein 2</t>
  </si>
  <si>
    <t>Estradiol 17-beta-dehydrogenase 11</t>
  </si>
  <si>
    <t>Methylcrotonoyl-CoA carboxylase beta chain, mitochondrial (Fragment)</t>
  </si>
  <si>
    <t>Butyrophilin subfamily 3 member A3 (Fragment)</t>
  </si>
  <si>
    <t>Proteasome assembly chaperone 4</t>
  </si>
  <si>
    <t>Septin 11, isoform CRA_b</t>
  </si>
  <si>
    <t>Ribonuclease T2 (Fragment)</t>
  </si>
  <si>
    <t>von Willebrand factor A domain-containing protein 8</t>
  </si>
  <si>
    <t>Protein C15orf38-AP3S2</t>
  </si>
  <si>
    <t>Zinc transporter ZIP14 (Fragment)</t>
  </si>
  <si>
    <t>Uncharacterized protein KIAA0146 (Fragment)</t>
  </si>
  <si>
    <t>Transcription elongation factor B polypeptide 1 (Fragment)</t>
  </si>
  <si>
    <t>60S ribosomal protein L30 (Fragment)</t>
  </si>
  <si>
    <t>Protein DMTN (Fragment)</t>
  </si>
  <si>
    <t>Coiled-coil-helix-coiled-coil-helix domain-containing protein 7 (Fragment)</t>
  </si>
  <si>
    <t>AP-3 complex subunit beta-1</t>
  </si>
  <si>
    <t>2,4-dienoyl-CoA reductase, mitochondrial (Fragment)</t>
  </si>
  <si>
    <t>8-oxo-dGDP phosphatase NUDT18</t>
  </si>
  <si>
    <t>S-phase kinase-associated protein 1</t>
  </si>
  <si>
    <t>Protein LYRIC</t>
  </si>
  <si>
    <t>Dynactin subunit 6</t>
  </si>
  <si>
    <t>COP9 signalosome complex subunit 6</t>
  </si>
  <si>
    <t>AP-3 complex subunit delta-1</t>
  </si>
  <si>
    <t>Acid ceramidase</t>
  </si>
  <si>
    <t>TNFAIP3-interacting protein 1</t>
  </si>
  <si>
    <t>Transforming acidic coiled-coil-containing protein 2</t>
  </si>
  <si>
    <t>Nesprin-1</t>
  </si>
  <si>
    <t>Protein transport protein Sec24C</t>
  </si>
  <si>
    <t>Target of Myb protein 1</t>
  </si>
  <si>
    <t>Pyridoxal-dependent decarboxylase domain-containing protein 1</t>
  </si>
  <si>
    <t>TRAF family member-associated NF-kappa-B activator</t>
  </si>
  <si>
    <t>DNA-directed RNA polymerases I and III subunit RPAC1</t>
  </si>
  <si>
    <t>WASH complex subunit strumpellin</t>
  </si>
  <si>
    <t>Apoptotic chromatin condensation inducer in the nucleus</t>
  </si>
  <si>
    <t>Protein FAM91A1</t>
  </si>
  <si>
    <t>Intersectin-1</t>
  </si>
  <si>
    <t>High mobility group protein B3 (Fragment)</t>
  </si>
  <si>
    <t>Methyl-CpG-binding domain protein 1</t>
  </si>
  <si>
    <t>RNA-binding motif, single-stranded-interacting protein 1</t>
  </si>
  <si>
    <t>Basic leucine zipper and W2 domain-containing protein 2 (Fragment)</t>
  </si>
  <si>
    <t>General transcription factor IIF subunit 1</t>
  </si>
  <si>
    <t>Nucleoporin p54</t>
  </si>
  <si>
    <t>Cytoplasmic FMR1-interacting protein 2</t>
  </si>
  <si>
    <t>Ribulose-phosphate 3-epimerase</t>
  </si>
  <si>
    <t>Septin-10</t>
  </si>
  <si>
    <t>Exocyst complex component 6</t>
  </si>
  <si>
    <t>Caldesmon</t>
  </si>
  <si>
    <t>Pyruvate dehydrogenase protein X component, mitochondrial</t>
  </si>
  <si>
    <t>Conserved oligomeric Golgi complex subunit 1 (Fragment)</t>
  </si>
  <si>
    <t>Translation initiation factor eIF-2B subunit epsilon</t>
  </si>
  <si>
    <t>Putative E3 ubiquitin-protein ligase UBR7</t>
  </si>
  <si>
    <t>Heterogeneous nuclear ribonucleoprotein H</t>
  </si>
  <si>
    <t>Rho guanine nucleotide exchange factor 7</t>
  </si>
  <si>
    <t>Inhibitor of Bruton tyrosine kinase</t>
  </si>
  <si>
    <t>Androgen receptor</t>
  </si>
  <si>
    <t>Protein diaphanous homolog 1</t>
  </si>
  <si>
    <t>Suppressor of tumorigenicity 7 protein</t>
  </si>
  <si>
    <t>Nuclear pore complex protein Nup155</t>
  </si>
  <si>
    <t>Centrosomal protein of 170 kDa protein B</t>
  </si>
  <si>
    <t>Epidermal growth factor receptor</t>
  </si>
  <si>
    <t>Serine/threonine-protein phosphatase 2A 56 kDa regulatory subunit delta isoform</t>
  </si>
  <si>
    <t>AP2-associated protein kinase 1</t>
  </si>
  <si>
    <t>Peptidyl-prolyl cis-trans isomerase G</t>
  </si>
  <si>
    <t>Tensin-1</t>
  </si>
  <si>
    <t>Bifunctional protein NCOAT</t>
  </si>
  <si>
    <t>Protein FAM13A</t>
  </si>
  <si>
    <t>Translin</t>
  </si>
  <si>
    <t>Mediator of RNA polymerase II transcription subunit 22 (Fragment)</t>
  </si>
  <si>
    <t>Thioredoxin-dependent peroxide reductase, mitochondrial</t>
  </si>
  <si>
    <t>Tetranectin</t>
  </si>
  <si>
    <t>Probable leucine--tRNA ligase, mitochondrial</t>
  </si>
  <si>
    <t>DNA-directed RNA polymerase II subunit RPB4</t>
  </si>
  <si>
    <t>Sperm-specific antigen 2</t>
  </si>
  <si>
    <t>Zinc finger protein GLI1 (Fragment)</t>
  </si>
  <si>
    <t>Syntaxin-17</t>
  </si>
  <si>
    <t>Thioredoxin reductase 1, cytoplasmic</t>
  </si>
  <si>
    <t>UBX domain-containing protein 1 (Fragment)</t>
  </si>
  <si>
    <t>Cysteine and histidine-rich protein 1</t>
  </si>
  <si>
    <t>Terminal uridylyltransferase 4 (Fragment)</t>
  </si>
  <si>
    <t>Elongation factor 1-delta (Fragment)</t>
  </si>
  <si>
    <t>Sorting nexin-15 (Fragment)</t>
  </si>
  <si>
    <t>Poly [ADP-ribose] polymerase 10</t>
  </si>
  <si>
    <t>Sortilin-related receptor</t>
  </si>
  <si>
    <t>Sterol O-acyltransferase 1 (Fragment)</t>
  </si>
  <si>
    <t>Protein arginine N-methyltransferase 1</t>
  </si>
  <si>
    <t>Trafficking protein particle complex subunit 4</t>
  </si>
  <si>
    <t>Tetratricopeptide repeat protein 9C (Fragment)</t>
  </si>
  <si>
    <t>Hypoxia up-regulated protein 1</t>
  </si>
  <si>
    <t>Protein NEDD8-MDP1 (Fragment)</t>
  </si>
  <si>
    <t>Mitochondrial fission regulator 1-like</t>
  </si>
  <si>
    <t>Puromycin-sensitive aminopeptidase</t>
  </si>
  <si>
    <t>Methylosome subunit pICln</t>
  </si>
  <si>
    <t>Protein FAM118B (Fragment)</t>
  </si>
  <si>
    <t>LIM domain only protein 7</t>
  </si>
  <si>
    <t>Dr1-associated corepressor (Fragment)</t>
  </si>
  <si>
    <t>Tumor protein D53</t>
  </si>
  <si>
    <t>Syntaxin-5</t>
  </si>
  <si>
    <t>Radixin (Fragment)</t>
  </si>
  <si>
    <t>CD59 glycoprotein</t>
  </si>
  <si>
    <t>60S ribosomal protein L8</t>
  </si>
  <si>
    <t>Anoctamin-1 (Fragment)</t>
  </si>
  <si>
    <t>Chitinase domain-containing protein 1 (Fragment)</t>
  </si>
  <si>
    <t>Zinc finger CCCH domain-containing protein 11A</t>
  </si>
  <si>
    <t>Myomegalin</t>
  </si>
  <si>
    <t>Serine/threonine-protein phosphatase 6 regulatory subunit 3</t>
  </si>
  <si>
    <t>Mitogen-activated protein kinase 3</t>
  </si>
  <si>
    <t>Lysosomal acid phosphatase</t>
  </si>
  <si>
    <t>Cathepsin B heavy chain (Fragment)</t>
  </si>
  <si>
    <t>Ribosomal protein S6 kinase</t>
  </si>
  <si>
    <t>Small acidic protein (Fragment)</t>
  </si>
  <si>
    <t>Gamma-tubulin complex component 2</t>
  </si>
  <si>
    <t>Copine-1 (Fragment)</t>
  </si>
  <si>
    <t>Exportin-4</t>
  </si>
  <si>
    <t>Extended synaptotagmin-2</t>
  </si>
  <si>
    <t>tRNA-splicing endonuclease subunit Sen15</t>
  </si>
  <si>
    <t>Adenosine deaminase</t>
  </si>
  <si>
    <t>WASH complex subunit CCDC53</t>
  </si>
  <si>
    <t>Serine/threonine-protein kinase WNK1</t>
  </si>
  <si>
    <t>Mothers against decapentaplegic homolog 5</t>
  </si>
  <si>
    <t>Chromodomain-helicase-DNA-binding protein 4</t>
  </si>
  <si>
    <t>tRNA methyltransferase 112 homolog</t>
  </si>
  <si>
    <t>Succinyl-CoA ligase [ADP-forming] subunit beta, mitochondrial</t>
  </si>
  <si>
    <t>Complement component C8 beta chain</t>
  </si>
  <si>
    <t>Ribosomal protein S6 kinase alpha-3</t>
  </si>
  <si>
    <t>Uncharacterized protein</t>
  </si>
  <si>
    <t>Striatin-4</t>
  </si>
  <si>
    <t>Ubiquitin thioesterase OTUB1</t>
  </si>
  <si>
    <t>Methylmalonyl-CoA epimerase, mitochondrial (Fragment)</t>
  </si>
  <si>
    <t>Paxillin</t>
  </si>
  <si>
    <t>Mediator of RNA polymerase II transcription subunit 15</t>
  </si>
  <si>
    <t>Scavenger receptor cysteine-rich type 1 protein M130</t>
  </si>
  <si>
    <t>E3 ubiquitin-protein ligase TRIM21</t>
  </si>
  <si>
    <t>Tumor protein D52</t>
  </si>
  <si>
    <t>SEC23-interacting protein</t>
  </si>
  <si>
    <t>Glycolipid transfer protein</t>
  </si>
  <si>
    <t>Ras-related protein Rab-35 (Fragment)</t>
  </si>
  <si>
    <t>Thioredoxin reductase 2, mitochondrial</t>
  </si>
  <si>
    <t>Lipopolysaccharide-responsive and beige-like anchor protein</t>
  </si>
  <si>
    <t>PCTP-like protein (Fragment)</t>
  </si>
  <si>
    <t>Dimethylaniline monooxygenase [N-oxide-forming] 3</t>
  </si>
  <si>
    <t>Uveal autoantigen with coiled-coil domains and ankyrin repeats</t>
  </si>
  <si>
    <t>Protein lunapark</t>
  </si>
  <si>
    <t>Tight junction protein ZO-3</t>
  </si>
  <si>
    <t>Pre-mRNA-splicing factor SYF1</t>
  </si>
  <si>
    <t>Porphobilinogen deaminase</t>
  </si>
  <si>
    <t>Protein transport protein Sec23A</t>
  </si>
  <si>
    <t>Tumor susceptibility gene 101 protein</t>
  </si>
  <si>
    <t>Importin subunit alpha</t>
  </si>
  <si>
    <t>Peroxisomal membrane protein PEX14</t>
  </si>
  <si>
    <t>Cytochrome P450 3A5</t>
  </si>
  <si>
    <t>Histone deacetylase 4</t>
  </si>
  <si>
    <t>CLIP-associating protein 2</t>
  </si>
  <si>
    <t>Leucine--tRNA ligase, cytoplasmic</t>
  </si>
  <si>
    <t>Phenylalanine--tRNA ligase beta subunit</t>
  </si>
  <si>
    <t>Axin interactor, dorsalization-associated protein</t>
  </si>
  <si>
    <t>WW domain-binding protein 11</t>
  </si>
  <si>
    <t>Microsomal glutathione S-transferase 1 (Fragment)</t>
  </si>
  <si>
    <t>2-oxoglutarate dehydrogenase, mitochondrial</t>
  </si>
  <si>
    <t>Heat shock protein 75 kDa, mitochondrial</t>
  </si>
  <si>
    <t>DNA repair protein XRCC1</t>
  </si>
  <si>
    <t>Mevalonate kinase</t>
  </si>
  <si>
    <t>Epsin-2 (Fragment)</t>
  </si>
  <si>
    <t>Signal-induced proliferation-associated protein 1</t>
  </si>
  <si>
    <t>2,5-phosphodiesterase 12</t>
  </si>
  <si>
    <t>Probable global transcription activator SNF2L1 (Fragment)</t>
  </si>
  <si>
    <t>HCLS1-binding protein 3</t>
  </si>
  <si>
    <t>Calcineurin subunit B type 1</t>
  </si>
  <si>
    <t>WND/140 kDa</t>
  </si>
  <si>
    <t>Nucleoside diphosphate kinase</t>
  </si>
  <si>
    <t>Ataxin-2</t>
  </si>
  <si>
    <t>Cysteine and glycine-rich protein 2</t>
  </si>
  <si>
    <t>Methyltransferase-like protein 7A (Fragment)</t>
  </si>
  <si>
    <t>60S acidic ribosomal protein P0</t>
  </si>
  <si>
    <t>Sodium-coupled neutral amino acid transporter 4 (Fragment)</t>
  </si>
  <si>
    <t>Methionine aminopeptidase</t>
  </si>
  <si>
    <t>SCY1-like protein 2 (Fragment)</t>
  </si>
  <si>
    <t>Nuclear transcription factor Y subunit beta (Fragment)</t>
  </si>
  <si>
    <t>Density-regulated protein</t>
  </si>
  <si>
    <t>2-methoxy-6-polyprenyl-1,4-benzoquinol methylase, mitochondrial (Fragment)</t>
  </si>
  <si>
    <t>Protein MON2 homolog</t>
  </si>
  <si>
    <t>2-5-oligoadenylate synthase 1</t>
  </si>
  <si>
    <t>Cyclin-dependent kinase 4 (Fragment)</t>
  </si>
  <si>
    <t>Nascent polypeptide-associated complex subunit alpha</t>
  </si>
  <si>
    <t>Chromatin complexes subunit BAP18</t>
  </si>
  <si>
    <t>Biotinidase</t>
  </si>
  <si>
    <t>Myosin light polypeptide 6</t>
  </si>
  <si>
    <t>Aprataxin (Fragment)</t>
  </si>
  <si>
    <t>Mitogen-activated protein kinase kinase kinase 2 (Fragment)</t>
  </si>
  <si>
    <t>GMP synthase [glutamine-hydrolyzing]</t>
  </si>
  <si>
    <t>Golgi integral membrane protein 4</t>
  </si>
  <si>
    <t>60S ribosomal protein L10</t>
  </si>
  <si>
    <t>WASH complex subunit FAM21A</t>
  </si>
  <si>
    <t>Homer protein homolog 2</t>
  </si>
  <si>
    <t>Vezatin (Fragment)</t>
  </si>
  <si>
    <t>Nucleolysin TIA-1 isoform p40</t>
  </si>
  <si>
    <t>Actin-binding LIM protein 1</t>
  </si>
  <si>
    <t>Reticulon-4</t>
  </si>
  <si>
    <t>GTPase-activating protein and VPS9 domain-containing protein 1</t>
  </si>
  <si>
    <t>Coiled-coil domain-containing protein 93</t>
  </si>
  <si>
    <t>Serine/threonine-protein kinase Nek7 (Fragment)</t>
  </si>
  <si>
    <t>Factor X light chain</t>
  </si>
  <si>
    <t>Importin-11</t>
  </si>
  <si>
    <t>Disks large-associated protein 4</t>
  </si>
  <si>
    <t>Cleavage and polyadenylation-specificity factor subunit 6</t>
  </si>
  <si>
    <t>Poly(RC) binding protein 2, isoform CRA_f</t>
  </si>
  <si>
    <t>Caspase</t>
  </si>
  <si>
    <t>Lin-7 homolog C (C. elegans), isoform CRA_b</t>
  </si>
  <si>
    <t>Exosome complex exonuclease RRP44</t>
  </si>
  <si>
    <t>Loss of heterozygosity 12 chromosomal region 1 protein</t>
  </si>
  <si>
    <t>Septin 7, isoform CRA_a</t>
  </si>
  <si>
    <t>Zinc finger CCHC-type and RNA binding motif 1, isoform CRA_b</t>
  </si>
  <si>
    <t>HCG23215, isoform CRA_a</t>
  </si>
  <si>
    <t>Methyltransferase-like protein 10</t>
  </si>
  <si>
    <t>Protein NDRG2 (Fragment)</t>
  </si>
  <si>
    <t>Ribonuclease pancreatic</t>
  </si>
  <si>
    <t>Unconventional myosin-Va</t>
  </si>
  <si>
    <t>DDB1- and CUL4-associated factor 8</t>
  </si>
  <si>
    <t>Ataxin-3 (Fragment)</t>
  </si>
  <si>
    <t>Heterogeneous nuclear ribonucleoproteins C1/C2</t>
  </si>
  <si>
    <t>Chromodomain-helicase-DNA-binding protein 2 (Fragment)</t>
  </si>
  <si>
    <t>Heterogeneous nuclear ribonucleoproteins C1/C2 (Fragment)</t>
  </si>
  <si>
    <t>cTAGE family member 5</t>
  </si>
  <si>
    <t>AT rich interactive domain 1B (SWI1-like), isoform CRA_a</t>
  </si>
  <si>
    <t>Poly(A) polymerase alpha</t>
  </si>
  <si>
    <t>Complement factor I light chain</t>
  </si>
  <si>
    <t>28S ribosomal protein S22, mitochondrial</t>
  </si>
  <si>
    <t>Fibronectin type III domain containing 3A, isoform CRA_f</t>
  </si>
  <si>
    <t>WD repeat domain phosphoinositide-interacting protein 1</t>
  </si>
  <si>
    <t>Protein disulfide isomerase family A, member 3, isoform CRA_b</t>
  </si>
  <si>
    <t>Cordon-bleu protein-like 1</t>
  </si>
  <si>
    <t>tRNA pseudouridine synthase (Fragment)</t>
  </si>
  <si>
    <t>Melanoma inhibitory activity protein 3</t>
  </si>
  <si>
    <t>60S ribosomal protein L35 (Fragment)</t>
  </si>
  <si>
    <t>PX domain-containing protein 1 (Fragment)</t>
  </si>
  <si>
    <t>Eukaryotic translation initiation factor 4 gamma 2</t>
  </si>
  <si>
    <t>Inosine-5-monophosphate dehydrogenase 2 (Fragment)</t>
  </si>
  <si>
    <t>Neuroblastoma-amplified sequence (Fragment)</t>
  </si>
  <si>
    <t>Genetic suppressor element 1 (Fragment)</t>
  </si>
  <si>
    <t>Ubiquitin-fold modifier 1 (Fragment)</t>
  </si>
  <si>
    <t>Ras GTPase-activating protein nGAP (Fragment)</t>
  </si>
  <si>
    <t>ADP-ribosylation factor GTPase-activating protein 3 (Fragment)</t>
  </si>
  <si>
    <t>Pyrroline-5-carboxylate reductase 3 (Fragment)</t>
  </si>
  <si>
    <t>Golgin subfamily A member 4 (Fragment)</t>
  </si>
  <si>
    <t>DNA topoisomerase (Fragment)</t>
  </si>
  <si>
    <t>Cytoplasmic polyadenylation element-binding protein 2 (Fragment)</t>
  </si>
  <si>
    <t>WD repeat-containing protein 26 (Fragment)</t>
  </si>
  <si>
    <t>Pterin-4-alpha-carbinolamine dehydratase 2 (Fragment)</t>
  </si>
  <si>
    <t>Epididymis-specific alpha-mannosidase (Fragment)</t>
  </si>
  <si>
    <t>Transforming acidic coiled-coil-containing protein 1 (Fragment)</t>
  </si>
  <si>
    <t>Inositol monophosphatase 1 (Fragment)</t>
  </si>
  <si>
    <t>Stromal interaction molecule 1 (Fragment)</t>
  </si>
  <si>
    <t>39S ribosomal protein L49, mitochondrial (Fragment)</t>
  </si>
  <si>
    <t>Serine/threonine-protein phosphatase (Fragment)</t>
  </si>
  <si>
    <t>Selenoprotein H (Fragment)</t>
  </si>
  <si>
    <t>Sjoegren syndrome/scleroderma autoantigen 1 (Fragment)</t>
  </si>
  <si>
    <t>Pumilio homolog 1 (Fragment)</t>
  </si>
  <si>
    <t>40S ribosomal protein S2 (Fragment)</t>
  </si>
  <si>
    <t>Sphingomyelin phosphodiesterase (Fragment)</t>
  </si>
  <si>
    <t>Protein FRG1B (Fragment)</t>
  </si>
  <si>
    <t>Ragulator complex protein LAMTOR1 (Fragment)</t>
  </si>
  <si>
    <t>Protoporphyrinogen oxidase (Fragment)</t>
  </si>
  <si>
    <t>Oligoribonuclease, mitochondrial (Fragment)</t>
  </si>
  <si>
    <t>Rho GDP-dissociation inhibitor 2 (Fragment)</t>
  </si>
  <si>
    <t>Nucleosome assembly protein 1-like 1 (Fragment)</t>
  </si>
  <si>
    <t>Rab-3A-interacting protein (Fragment)</t>
  </si>
  <si>
    <t>R3H domain-containing protein 2 (Fragment)</t>
  </si>
  <si>
    <t>Isocitrate dehydrogenase [NAD] subunit alpha, mitochondrial</t>
  </si>
  <si>
    <t>Activating signal cointegrator 1</t>
  </si>
  <si>
    <t>SH2 domain-containing adapter protein F</t>
  </si>
  <si>
    <t>GMP reductase 2</t>
  </si>
  <si>
    <t>Annexin (Fragment)</t>
  </si>
  <si>
    <t>Acidic leucine-rich nuclear phosphoprotein 32 family member A</t>
  </si>
  <si>
    <t>Uncharacterized protein C15orf57 (Fragment)</t>
  </si>
  <si>
    <t>WD repeat-containing protein 61 (Fragment)</t>
  </si>
  <si>
    <t>Aflatoxin B1 aldehyde reductase member 2 (Fragment)</t>
  </si>
  <si>
    <t>Nucleolar protein 3 (Fragment)</t>
  </si>
  <si>
    <t>AKT-interacting protein (Fragment)</t>
  </si>
  <si>
    <t>Protein arginine N-methyltransferase 7</t>
  </si>
  <si>
    <t>Mannose-6-phosphate isomerase</t>
  </si>
  <si>
    <t>Microtubule-actin cross-linking factor 1, isoforms 1/2/3/5</t>
  </si>
  <si>
    <t>Trafficking protein particle complex subunit 2-like protein</t>
  </si>
  <si>
    <t>Codanin-1 (Fragment)</t>
  </si>
  <si>
    <t>RING finger protein 166 (Fragment)</t>
  </si>
  <si>
    <t>Kelch domain-containing protein 4 (Fragment)</t>
  </si>
  <si>
    <t>Enhancer of mRNA-decapping protein 3 (Fragment)</t>
  </si>
  <si>
    <t>Conserved oligomeric Golgi complex subunit 8</t>
  </si>
  <si>
    <t>HCG2044799</t>
  </si>
  <si>
    <t>Zinc finger FYVE domain-containing protein 19</t>
  </si>
  <si>
    <t>Ubiquitin domain-containing protein UBFD1</t>
  </si>
  <si>
    <t>Phosphopantothenoylcysteine decarboxylase</t>
  </si>
  <si>
    <t>Eukaryotic translation initiation factor 3 subunit C</t>
  </si>
  <si>
    <t>Beta-hexosaminidase</t>
  </si>
  <si>
    <t>Leucine-rich repeat-containing protein 57 (Fragment)</t>
  </si>
  <si>
    <t>Probable glutamate--tRNA ligase, mitochondrial</t>
  </si>
  <si>
    <t>[3-methyl-2-oxobutanoate dehydrogenase [lipoamide]] kinase, mitochondrial (Fragment)</t>
  </si>
  <si>
    <t>60S ribosomal protein L4 (Fragment)</t>
  </si>
  <si>
    <t>ADP-ribosylation factor-like protein 2-binding protein</t>
  </si>
  <si>
    <t>COMM domain-containing protein 4</t>
  </si>
  <si>
    <t>DAN domain family member 5 (Fragment)</t>
  </si>
  <si>
    <t>Galectin-8 (Fragment)</t>
  </si>
  <si>
    <t>Taperin</t>
  </si>
  <si>
    <t>RNA-binding protein EWS (Fragment)</t>
  </si>
  <si>
    <t>Cytochrome P450 2D6 (Fragment)</t>
  </si>
  <si>
    <t>Tropomyosin 1 (Alpha), isoform CRA_m</t>
  </si>
  <si>
    <t>MKI67 FHA domain-interacting nucleolar phosphoprotein (Fragment)</t>
  </si>
  <si>
    <t>General transcription factor 3C polypeptide 3 (Fragment)</t>
  </si>
  <si>
    <t>Zinc finger protein ZPR1 (Fragment)</t>
  </si>
  <si>
    <t>Non-homologous end-joining factor 1 (Fragment)</t>
  </si>
  <si>
    <t>Chromosome 6 open reading frame 107, isoform CRA_b</t>
  </si>
  <si>
    <t>Coiled-coil and C2 domain-containing protein 1B (Fragment)</t>
  </si>
  <si>
    <t>Nucleolar protein 7 (Fragment)</t>
  </si>
  <si>
    <t>Grancalcin (Fragment)</t>
  </si>
  <si>
    <t>Serologically defined colon cancer antigen 3 (Fragment)</t>
  </si>
  <si>
    <t>CWF19-like protein 2 (Fragment)</t>
  </si>
  <si>
    <t>Glucosamine (N-acetyl)-6-sulfatase (Sanfilippo disease IIID), isoform CRA_b</t>
  </si>
  <si>
    <t>BUD13 homolog (Fragment)</t>
  </si>
  <si>
    <t>AT-rich interactive domain-containing protein 4A (Fragment)</t>
  </si>
  <si>
    <t>Muscleblind-like protein 1 (Fragment)</t>
  </si>
  <si>
    <t>Isoamyl acetate-hydrolyzing esterase 1 homolog (Fragment)</t>
  </si>
  <si>
    <t>GRINL1A combined protein 15</t>
  </si>
  <si>
    <t>Sperm-associated antigen 7</t>
  </si>
  <si>
    <t>Golgi SNAP receptor complex member 2</t>
  </si>
  <si>
    <t>Elongator complex protein 5 (Fragment)</t>
  </si>
  <si>
    <t>Clustered mitochondria protein homolog</t>
  </si>
  <si>
    <t>Protein capicua homolog</t>
  </si>
  <si>
    <t>Eukaryotic translation initiation factor 5A-1 (Fragment)</t>
  </si>
  <si>
    <t>40S ribosomal protein S15a</t>
  </si>
  <si>
    <t>TOM1-like protein 1</t>
  </si>
  <si>
    <t>NF-kappa-B inhibitor beta (Fragment)</t>
  </si>
  <si>
    <t>Epididymal secretory protein E1</t>
  </si>
  <si>
    <t>26S proteasome non-ATPase regulatory subunit 9</t>
  </si>
  <si>
    <t>TBC1 domain family member 8B</t>
  </si>
  <si>
    <t>Serine/threonine-protein phosphatase 6 regulatory ankyrin repeat subunit B</t>
  </si>
  <si>
    <t>Transcription initiation factor IIA beta chain</t>
  </si>
  <si>
    <t>Copper chaperone for superoxide dismutase</t>
  </si>
  <si>
    <t>Eukaryotic translation initiation factor 3 subunit M (Fragment)</t>
  </si>
  <si>
    <t>Protein transport protein Sec16A</t>
  </si>
  <si>
    <t>Signal-induced proliferation-associated 1-like protein 1</t>
  </si>
  <si>
    <t>Nuclear pore complex protein Nup98-Nup96</t>
  </si>
  <si>
    <t>WASH complex subunit FAM21C</t>
  </si>
  <si>
    <t>Prospero homeobox protein 1</t>
  </si>
  <si>
    <t>Proteoglycan 4 (Fragment)</t>
  </si>
  <si>
    <t>Synaptojanin-1</t>
  </si>
  <si>
    <t>Protein FAM83H (Fragment)</t>
  </si>
  <si>
    <t>Sulfurtransferase</t>
  </si>
  <si>
    <t>Glucosylceramidase</t>
  </si>
  <si>
    <t>Serine/threonine-protein phosphatase 2A 56 kDa regulatory subunit epsilon isoform</t>
  </si>
  <si>
    <t>Protein cordon-bleu (Fragment)</t>
  </si>
  <si>
    <t>28S ribosomal protein S7, mitochondrial (Fragment)</t>
  </si>
  <si>
    <t>ADP-ribosylation factor-binding protein GGA3</t>
  </si>
  <si>
    <t>Myosin phosphatase Rho-interacting protein (Fragment)</t>
  </si>
  <si>
    <t>Hematological and neurological-expressed 1 protein</t>
  </si>
  <si>
    <t>Rho GDP-dissociation inhibitor 1 (Fragment)</t>
  </si>
  <si>
    <t>60S ribosomal protein L23</t>
  </si>
  <si>
    <t>Nebulin</t>
  </si>
  <si>
    <t>Prostamide/prostaglandin F synthase (Fragment)</t>
  </si>
  <si>
    <t>SWI/SNF-related matrix-associated actin-dependent regulator of chromatin subfamily E member 1 (Fragment)</t>
  </si>
  <si>
    <t>Serine/arginine-rich-splicing factor 2 (Fragment)</t>
  </si>
  <si>
    <t>Protein SCO1 homolog, mitochondrial</t>
  </si>
  <si>
    <t>Small nuclear ribonucleoprotein-associated protein N (Fragment)</t>
  </si>
  <si>
    <t>Nuclear pore complex protein Nup85 (Fragment)</t>
  </si>
  <si>
    <t>Fatty aldehyde dehydrogenase</t>
  </si>
  <si>
    <t>Ribosomal L1 domain-containing protein 1 (Fragment)</t>
  </si>
  <si>
    <t>Mitotic checkpoint protein BUB3 (Fragment)</t>
  </si>
  <si>
    <t>Protein cereblon (Fragment)</t>
  </si>
  <si>
    <t>Protein Njmu-R1</t>
  </si>
  <si>
    <t>Putative hydroxypyruvate isomerase (Fragment)</t>
  </si>
  <si>
    <t>Methyl-CpG binding domain protein 3, isoform CRA_b</t>
  </si>
  <si>
    <t>WW domain-binding protein 2 (Fragment)</t>
  </si>
  <si>
    <t>Mothers against decapentaplegic homolog 4</t>
  </si>
  <si>
    <t>40S ribosomal protein S15 (Fragment)</t>
  </si>
  <si>
    <t>Calreticulin (Fragment)</t>
  </si>
  <si>
    <t>HCG27535</t>
  </si>
  <si>
    <t>AP-1 complex subunit mu-1</t>
  </si>
  <si>
    <t>Histone H3 (Fragment)</t>
  </si>
  <si>
    <t>N-acetylglutamate synthase long form (Fragment)</t>
  </si>
  <si>
    <t>Lon protease homolog, mitochondrial</t>
  </si>
  <si>
    <t>Periplakin</t>
  </si>
  <si>
    <t>Cold-inducible RNA-binding protein (Fragment)</t>
  </si>
  <si>
    <t>Proteasome assembly chaperone 2</t>
  </si>
  <si>
    <t>Probable proline dehydrogenase 2</t>
  </si>
  <si>
    <t>UBX domain-containing protein 6 (Fragment)</t>
  </si>
  <si>
    <t>Protein C19orf12 (Fragment)</t>
  </si>
  <si>
    <t>Haloacid dehalogenase-like hydrolase domain-containing protein 2 (Fragment)</t>
  </si>
  <si>
    <t>Truncated apolipoprotein C-I (Fragment)</t>
  </si>
  <si>
    <t>Eukaryotic translation initiation factor 3 subunit K</t>
  </si>
  <si>
    <t>UV excision repair protein RAD23 homolog A</t>
  </si>
  <si>
    <t>Serine--tRNA ligase, mitochondrial</t>
  </si>
  <si>
    <t>Paf1, RNA polymerase II associated factor, homolog (S. cerevisiae), isoform CRA_c</t>
  </si>
  <si>
    <t>Zinc finger CCCH domain-containing protein 4 (Fragment)</t>
  </si>
  <si>
    <t>Dystrobrevin alpha</t>
  </si>
  <si>
    <t>Rho guanine nucleotide exchange factor 18 (Fragment)</t>
  </si>
  <si>
    <t>40S ribosomal protein S5 (Fragment)</t>
  </si>
  <si>
    <t>BRISC and BRCA1-A complex member 1 (Fragment)</t>
  </si>
  <si>
    <t>PIH1 domain-containing protein 1 (Fragment)</t>
  </si>
  <si>
    <t>RELA protein</t>
  </si>
  <si>
    <t>DNA polymerase delta subunit 3</t>
  </si>
  <si>
    <t>MMAA protein</t>
  </si>
  <si>
    <t>F-box/WD repeat-containing protein 2 (Fragment)</t>
  </si>
  <si>
    <t>Peptidyl-prolyl cis-trans isomerase A</t>
  </si>
  <si>
    <t>Filamin-A</t>
  </si>
  <si>
    <t>Tubulin beta chain</t>
  </si>
  <si>
    <t>Mov10, Moloney leukemia virus 10, homolog (Mouse), isoform CRA_a</t>
  </si>
  <si>
    <t>Rho-related GTP-binding protein RhoC (Fragment)</t>
  </si>
  <si>
    <t>Polyphosphoinositide phosphatase (Fragment)</t>
  </si>
  <si>
    <t>High mobility group nucleosome-binding domain-containing protein 5 (Fragment)</t>
  </si>
  <si>
    <t>Glucocorticoid modulatory element binding protein 2, isoform CRA_a</t>
  </si>
  <si>
    <t>Vacuolar protein sorting-associated protein 16 homolog</t>
  </si>
  <si>
    <t>Double-stranded RNA-binding protein Staufen homolog 1</t>
  </si>
  <si>
    <t>Peroxisomal biogenesis factor 19 (Fragment)</t>
  </si>
  <si>
    <t>RNA-binding protein Raly (Fragment)</t>
  </si>
  <si>
    <t>Proteasome inhibitor PI31 subunit</t>
  </si>
  <si>
    <t>Advanced glycosylation end product-specific receptor (Fragment)</t>
  </si>
  <si>
    <t>SH3 domain-binding glutamic acid-rich-like protein 3</t>
  </si>
  <si>
    <t>Serine/arginine-rich-splicing factor 11 (Fragment)</t>
  </si>
  <si>
    <t>Inter-alpha-trypsin inhibitor heavy chain H2</t>
  </si>
  <si>
    <t>Glutathione S-transferase omega-1 (Fragment)</t>
  </si>
  <si>
    <t>Protein argonaute-1</t>
  </si>
  <si>
    <t>Transcription initiation factor TFIID subunit 4 (Fragment)</t>
  </si>
  <si>
    <t>Adipogenesis regulatory factor (Fragment)</t>
  </si>
  <si>
    <t>Tropomyosin beta chain</t>
  </si>
  <si>
    <t>Copper homeostasis protein cutC homolog (Fragment)</t>
  </si>
  <si>
    <t>Uncharacterized protein C6orf106</t>
  </si>
  <si>
    <t>Dynein light chain Tctex-type 1</t>
  </si>
  <si>
    <t>A disintegrin and metalloproteinase with thrombospondin motifs 4</t>
  </si>
  <si>
    <t>Ribonuclease P protein subunit p30 (Fragment)</t>
  </si>
  <si>
    <t>Bromodomain containing 2, isoform CRA_a</t>
  </si>
  <si>
    <t>Em:AP000351.3 protein</t>
  </si>
  <si>
    <t>ATP-dependent DNA helicase Q5</t>
  </si>
  <si>
    <t>Casein kinase 1, alpha 1, isoform CRA_g</t>
  </si>
  <si>
    <t>Full-length cDNA clone CS0DI002YH20 of Placenta of Homo sapiens (human)</t>
  </si>
  <si>
    <t>TXNDC5 protein</t>
  </si>
  <si>
    <t>WAS protein family, member 3, isoform CRA_a</t>
  </si>
  <si>
    <t>Focal adhesion kinase 1</t>
  </si>
  <si>
    <t>40S ribosomal protein S21</t>
  </si>
  <si>
    <t>Galectin-9</t>
  </si>
  <si>
    <t>ETF1 protein</t>
  </si>
  <si>
    <t>POLD4 protein</t>
  </si>
  <si>
    <t>Unconventional myosin-Vb</t>
  </si>
  <si>
    <t>Cadherin 1, type 1, E-cadherin (Epithelial), isoform CRA_c</t>
  </si>
  <si>
    <t>26S proteasome non-ATPase regulatory subunit 8</t>
  </si>
  <si>
    <t>Polycomb complex protein BMI-1</t>
  </si>
  <si>
    <t>YTH domain family protein 3</t>
  </si>
  <si>
    <t>Protein S100-A6 (Fragment)</t>
  </si>
  <si>
    <t>DENN domain-containing protein 4C</t>
  </si>
  <si>
    <t>E3 ubiquitin-protein ligase AMFR (Fragment)</t>
  </si>
  <si>
    <t>26S protease regulatory subunit 6A</t>
  </si>
  <si>
    <t>norm_FC_TMT126_H.sapiens_hepatocytes_P013558</t>
  </si>
  <si>
    <t>norm_FC_TMT127L_H.sapiens_hepatocytes_P013558</t>
  </si>
  <si>
    <t>norm_FC_TMT127H_H.sapiens_hepatocytes_P013558</t>
  </si>
  <si>
    <t>norm_FC_TMT128L_H.sapiens_hepatocytes_P013558</t>
  </si>
  <si>
    <t>norm_FC_TMT128H_H.sapiens_hepatocytes_P013558</t>
  </si>
  <si>
    <t>norm_FC_TMT129L_H.sapiens_hepatocytes_P013558</t>
  </si>
  <si>
    <t>norm_FC_TMT129H_H.sapiens_hepatocytes_P013558</t>
  </si>
  <si>
    <t>norm_FC_TMT130L_H.sapiens_hepatocytes_P013558</t>
  </si>
  <si>
    <t>norm_FC_TMT130H_H.sapiens_hepatocytes_P013558</t>
  </si>
  <si>
    <t>norm_FC_TMT131L_H.sapiens_hepatocytes_P013558</t>
  </si>
  <si>
    <t>a_H.sapiens_hepatocytes_P013558</t>
  </si>
  <si>
    <t>b_H.sapiens_hepatocytes_P013558</t>
  </si>
  <si>
    <t>meltPoint_H.sapiens_hepatocytes_P013558</t>
  </si>
  <si>
    <t>inflPoint_H.sapiens_hepatocytes_P013558</t>
  </si>
  <si>
    <t>slope_H.sapiens_hepatocytes_P013558</t>
  </si>
  <si>
    <t>plateau_H.sapiens_hepatocytes_P013558</t>
  </si>
  <si>
    <t>R_sq_H.sapiens_hepatocytes_P013558</t>
  </si>
  <si>
    <t>protein_identified_in_H.sapiens_hepatocytes_P013558</t>
  </si>
  <si>
    <t>model_converged_H.sapiens_hepatocytes_P013558</t>
  </si>
  <si>
    <t>sufficient_data_for_fit_H.sapiens_hepatocytes_P013558</t>
  </si>
  <si>
    <t>numSpec_H.sapiens_hepatocytes_P013558</t>
  </si>
  <si>
    <t>Proteinname_H.sapiens_hepatocytes_P013558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</si>
</sst>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9"/>
  <sheetViews>
    <sheetView tabSelected="1" topLeftCell="D1" workbookViewId="0">
      <selection activeCell="Z2" sqref="Z2"/>
    </sheetView>
  </sheetViews>
  <sheetFormatPr defaultRowHeight="15" x14ac:dyDescent="0.25"/>
  <sheetData>
    <row r="1" spans="1:28" s="2" customFormat="1" ht="105" x14ac:dyDescent="0.25">
      <c r="A1" s="1" t="s">
        <v>0</v>
      </c>
      <c r="B1" s="1" t="s">
        <v>19046</v>
      </c>
      <c r="C1" s="1" t="s">
        <v>19047</v>
      </c>
      <c r="D1" s="1" t="s">
        <v>19048</v>
      </c>
      <c r="E1" s="1" t="s">
        <v>19049</v>
      </c>
      <c r="F1" s="1" t="s">
        <v>19050</v>
      </c>
      <c r="G1" s="1" t="s">
        <v>19051</v>
      </c>
      <c r="H1" s="1" t="s">
        <v>19052</v>
      </c>
      <c r="I1" s="1" t="s">
        <v>19053</v>
      </c>
      <c r="J1" s="1" t="s">
        <v>19054</v>
      </c>
      <c r="K1" s="1" t="s">
        <v>19055</v>
      </c>
      <c r="L1" s="1" t="s">
        <v>19056</v>
      </c>
      <c r="M1" s="1" t="s">
        <v>19057</v>
      </c>
      <c r="N1" s="1" t="s">
        <v>19058</v>
      </c>
      <c r="O1" s="1" t="s">
        <v>19059</v>
      </c>
      <c r="P1" s="1" t="s">
        <v>19060</v>
      </c>
      <c r="Q1" s="1" t="s">
        <v>19061</v>
      </c>
      <c r="R1" s="1" t="s">
        <v>19062</v>
      </c>
      <c r="S1" s="1" t="s">
        <v>1</v>
      </c>
      <c r="T1" s="1" t="s">
        <v>19063</v>
      </c>
      <c r="U1" s="1" t="s">
        <v>19064</v>
      </c>
      <c r="V1" s="1" t="s">
        <v>19065</v>
      </c>
      <c r="W1" s="1" t="s">
        <v>19066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19067</v>
      </c>
    </row>
    <row r="2" spans="1:28" x14ac:dyDescent="0.25">
      <c r="A2" t="s">
        <v>6</v>
      </c>
      <c r="B2">
        <v>0.98876768158843997</v>
      </c>
      <c r="C2">
        <v>0.93565587436341202</v>
      </c>
      <c r="D2">
        <v>0.85912381765632795</v>
      </c>
      <c r="E2">
        <v>0.38318057198636701</v>
      </c>
      <c r="F2">
        <v>0.16387461594140701</v>
      </c>
      <c r="G2">
        <v>9.3996862363001601E-2</v>
      </c>
      <c r="H2">
        <v>6.3420381639497606E-2</v>
      </c>
      <c r="I2">
        <v>6.0356558517480299E-2</v>
      </c>
      <c r="J2">
        <v>6.4405799475270101E-2</v>
      </c>
      <c r="K2">
        <v>4.6985869126241198E-2</v>
      </c>
      <c r="L2">
        <v>1276.26369698033</v>
      </c>
      <c r="M2">
        <v>26.1400828781263</v>
      </c>
      <c r="N2">
        <v>49.060029038715598</v>
      </c>
      <c r="O2">
        <v>48.540968779644203</v>
      </c>
      <c r="P2">
        <v>-0.126675983578622</v>
      </c>
      <c r="Q2">
        <v>5.9084200647853302E-2</v>
      </c>
      <c r="R2">
        <v>0.99841183265717504</v>
      </c>
      <c r="S2" t="s">
        <v>3834</v>
      </c>
      <c r="T2" t="s">
        <v>7662</v>
      </c>
      <c r="U2" t="s">
        <v>7662</v>
      </c>
      <c r="V2" t="s">
        <v>7662</v>
      </c>
      <c r="W2">
        <v>19</v>
      </c>
      <c r="X2" t="s">
        <v>7664</v>
      </c>
      <c r="Y2">
        <v>0.34343416482297862</v>
      </c>
      <c r="Z2" t="str">
        <f>HYPERLINK("Melting_Curves/meltCurve_sp_A0AVT1_UBA6_HUMAN_.pdf", "Melting_Curves/meltCurve_sp_A0AVT1_UBA6_HUMAN_.pdf")</f>
        <v>Melting_Curves/meltCurve_sp_A0AVT1_UBA6_HUMAN_.pdf</v>
      </c>
      <c r="AA2" t="s">
        <v>11492</v>
      </c>
      <c r="AB2" t="s">
        <v>15243</v>
      </c>
    </row>
    <row r="3" spans="1:28" x14ac:dyDescent="0.25">
      <c r="A3" t="s">
        <v>7</v>
      </c>
      <c r="B3">
        <v>0.98876768158843997</v>
      </c>
      <c r="C3">
        <v>0.88997950000981196</v>
      </c>
      <c r="D3">
        <v>0.91989784083162196</v>
      </c>
      <c r="E3">
        <v>0.64830308453478303</v>
      </c>
      <c r="F3">
        <v>0.51611361223882202</v>
      </c>
      <c r="G3">
        <v>0.29693018513581598</v>
      </c>
      <c r="H3">
        <v>0.19307159358528</v>
      </c>
      <c r="I3">
        <v>0.20431587995678299</v>
      </c>
      <c r="J3">
        <v>0.30521499694630699</v>
      </c>
      <c r="K3">
        <v>0.26183895157919901</v>
      </c>
      <c r="L3">
        <v>910.42896417003897</v>
      </c>
      <c r="M3">
        <v>17.9350675783033</v>
      </c>
      <c r="N3">
        <v>52.511261326432397</v>
      </c>
      <c r="O3">
        <v>50.144037408167002</v>
      </c>
      <c r="P3">
        <v>-6.9315861141794E-2</v>
      </c>
      <c r="Q3">
        <v>0.22484744632891801</v>
      </c>
      <c r="R3">
        <v>0.97533868889598596</v>
      </c>
      <c r="S3" t="s">
        <v>3835</v>
      </c>
      <c r="T3" t="s">
        <v>7662</v>
      </c>
      <c r="U3" t="s">
        <v>7662</v>
      </c>
      <c r="V3" t="s">
        <v>7662</v>
      </c>
      <c r="W3">
        <v>5</v>
      </c>
      <c r="X3" t="s">
        <v>7665</v>
      </c>
      <c r="Y3">
        <v>0.51611722312921016</v>
      </c>
      <c r="Z3" t="str">
        <f>HYPERLINK("Melting_Curves/meltCurve_sp_A0JNW5_UH1BL_HUMAN_.pdf", "Melting_Curves/meltCurve_sp_A0JNW5_UH1BL_HUMAN_.pdf")</f>
        <v>Melting_Curves/meltCurve_sp_A0JNW5_UH1BL_HUMAN_.pdf</v>
      </c>
      <c r="AA3" t="s">
        <v>11493</v>
      </c>
      <c r="AB3" t="s">
        <v>15244</v>
      </c>
    </row>
    <row r="4" spans="1:28" x14ac:dyDescent="0.25">
      <c r="A4" t="s">
        <v>8</v>
      </c>
      <c r="B4">
        <v>0.98876768158843997</v>
      </c>
      <c r="C4">
        <v>0.989275048268076</v>
      </c>
      <c r="D4">
        <v>0.93224926206592296</v>
      </c>
      <c r="E4">
        <v>0.77744647061896999</v>
      </c>
      <c r="F4">
        <v>0.63722845916433501</v>
      </c>
      <c r="G4">
        <v>0.41949636540785801</v>
      </c>
      <c r="H4">
        <v>0.31326569763144702</v>
      </c>
      <c r="I4">
        <v>0.37071748921242398</v>
      </c>
      <c r="J4">
        <v>0.44973489549965701</v>
      </c>
      <c r="K4">
        <v>0.52404852170267402</v>
      </c>
      <c r="L4">
        <v>1231.3448488275501</v>
      </c>
      <c r="M4">
        <v>24.027634180753399</v>
      </c>
      <c r="N4">
        <v>55.124071842825899</v>
      </c>
      <c r="O4">
        <v>50.896010625222097</v>
      </c>
      <c r="P4">
        <v>-6.9902091967331603E-2</v>
      </c>
      <c r="Q4">
        <v>0.40773501186199002</v>
      </c>
      <c r="R4">
        <v>0.94761040772382099</v>
      </c>
      <c r="S4" t="s">
        <v>3836</v>
      </c>
      <c r="T4" t="s">
        <v>7662</v>
      </c>
      <c r="U4" t="s">
        <v>7662</v>
      </c>
      <c r="V4" t="s">
        <v>7662</v>
      </c>
      <c r="W4">
        <v>32</v>
      </c>
      <c r="X4" t="s">
        <v>7666</v>
      </c>
      <c r="Y4">
        <v>0.63557214988008803</v>
      </c>
      <c r="Z4" t="str">
        <f>HYPERLINK("Melting_Curves/meltCurve_sp_A0MZ66_SHOT1_HUMAN_.pdf", "Melting_Curves/meltCurve_sp_A0MZ66_SHOT1_HUMAN_.pdf")</f>
        <v>Melting_Curves/meltCurve_sp_A0MZ66_SHOT1_HUMAN_.pdf</v>
      </c>
      <c r="AA4" t="s">
        <v>11494</v>
      </c>
      <c r="AB4" t="s">
        <v>15245</v>
      </c>
    </row>
    <row r="5" spans="1:28" x14ac:dyDescent="0.25">
      <c r="A5" t="s">
        <v>9</v>
      </c>
      <c r="B5">
        <v>0.98876768158843997</v>
      </c>
      <c r="C5">
        <v>1.0777766380582601</v>
      </c>
      <c r="D5">
        <v>0.93669522404604599</v>
      </c>
      <c r="E5">
        <v>0.75036507459243296</v>
      </c>
      <c r="F5">
        <v>0.71226960022739705</v>
      </c>
      <c r="G5">
        <v>0.562762959848077</v>
      </c>
      <c r="H5">
        <v>0.42549941533386798</v>
      </c>
      <c r="I5">
        <v>0.49574353614623701</v>
      </c>
      <c r="J5">
        <v>0.75330333252822002</v>
      </c>
      <c r="K5">
        <v>0.63226563452484696</v>
      </c>
      <c r="L5">
        <v>1253.8105090816</v>
      </c>
      <c r="M5">
        <v>25.205791418673702</v>
      </c>
      <c r="O5">
        <v>49.433025044599603</v>
      </c>
      <c r="P5">
        <v>-5.3889343104057102E-2</v>
      </c>
      <c r="Q5">
        <v>0.57725930441708995</v>
      </c>
      <c r="R5">
        <v>0.81340465863942002</v>
      </c>
      <c r="S5" t="s">
        <v>3837</v>
      </c>
      <c r="T5" t="s">
        <v>7662</v>
      </c>
      <c r="U5" t="s">
        <v>7662</v>
      </c>
      <c r="V5" t="s">
        <v>7662</v>
      </c>
      <c r="W5">
        <v>3</v>
      </c>
      <c r="X5" t="s">
        <v>7667</v>
      </c>
      <c r="Y5">
        <v>0.71825754966673139</v>
      </c>
      <c r="Z5" t="str">
        <f>HYPERLINK("Melting_Curves/meltCurve_sp_A1L170_CA226_HUMAN_.pdf", "Melting_Curves/meltCurve_sp_A1L170_CA226_HUMAN_.pdf")</f>
        <v>Melting_Curves/meltCurve_sp_A1L170_CA226_HUMAN_.pdf</v>
      </c>
      <c r="AA5" t="s">
        <v>11495</v>
      </c>
      <c r="AB5" t="s">
        <v>15246</v>
      </c>
    </row>
    <row r="6" spans="1:28" x14ac:dyDescent="0.25">
      <c r="A6" t="s">
        <v>10</v>
      </c>
      <c r="B6">
        <v>0.98876768158843997</v>
      </c>
      <c r="C6">
        <v>1.0659010086479801</v>
      </c>
      <c r="D6">
        <v>0.89570628635621097</v>
      </c>
      <c r="E6">
        <v>0.8646702111847</v>
      </c>
      <c r="F6">
        <v>0.96256025997044703</v>
      </c>
      <c r="G6">
        <v>0.67012495872051403</v>
      </c>
      <c r="H6">
        <v>0.53228929179889095</v>
      </c>
      <c r="I6">
        <v>0.66385015047969698</v>
      </c>
      <c r="J6">
        <v>0.61055233107085705</v>
      </c>
      <c r="K6">
        <v>0.77681084510005505</v>
      </c>
      <c r="L6">
        <v>3462.93497621288</v>
      </c>
      <c r="M6">
        <v>63.346620649690699</v>
      </c>
      <c r="O6">
        <v>54.612049973690702</v>
      </c>
      <c r="P6">
        <v>-0.102719509920459</v>
      </c>
      <c r="Q6">
        <v>0.64577613847610904</v>
      </c>
      <c r="R6">
        <v>0.77494356377719698</v>
      </c>
      <c r="S6" t="s">
        <v>3838</v>
      </c>
      <c r="T6" t="s">
        <v>7662</v>
      </c>
      <c r="U6" t="s">
        <v>7662</v>
      </c>
      <c r="V6" t="s">
        <v>7662</v>
      </c>
      <c r="W6">
        <v>2</v>
      </c>
      <c r="X6" t="s">
        <v>7668</v>
      </c>
      <c r="Y6">
        <v>0.81948071697963332</v>
      </c>
      <c r="Z6" t="str">
        <f>HYPERLINK("Melting_Curves/meltCurve_sp_A1L188_CQ089_HUMAN_.pdf", "Melting_Curves/meltCurve_sp_A1L188_CQ089_HUMAN_.pdf")</f>
        <v>Melting_Curves/meltCurve_sp_A1L188_CQ089_HUMAN_.pdf</v>
      </c>
      <c r="AA6" t="s">
        <v>11496</v>
      </c>
      <c r="AB6" t="s">
        <v>15247</v>
      </c>
    </row>
    <row r="7" spans="1:28" x14ac:dyDescent="0.25">
      <c r="A7" t="s">
        <v>11</v>
      </c>
      <c r="B7">
        <v>0.98876768158843997</v>
      </c>
      <c r="C7">
        <v>1.0188816528375899</v>
      </c>
      <c r="D7">
        <v>0.87145601638685999</v>
      </c>
      <c r="E7">
        <v>0.66924842503487003</v>
      </c>
      <c r="F7">
        <v>0.70013531489428604</v>
      </c>
      <c r="G7">
        <v>0.45431995117047602</v>
      </c>
      <c r="H7">
        <v>0.34283957938309201</v>
      </c>
      <c r="I7">
        <v>0.38669398636833702</v>
      </c>
      <c r="J7">
        <v>0.47019967682248098</v>
      </c>
      <c r="K7">
        <v>0.47262521991859302</v>
      </c>
      <c r="L7">
        <v>822.96242353563105</v>
      </c>
      <c r="M7">
        <v>16.322246668174301</v>
      </c>
      <c r="N7">
        <v>56.234400012976103</v>
      </c>
      <c r="O7">
        <v>49.681085291437199</v>
      </c>
      <c r="P7">
        <v>-4.8665962986075999E-2</v>
      </c>
      <c r="Q7">
        <v>0.40753193910050101</v>
      </c>
      <c r="R7">
        <v>0.93601890461706405</v>
      </c>
      <c r="S7" t="s">
        <v>3839</v>
      </c>
      <c r="T7" t="s">
        <v>7662</v>
      </c>
      <c r="U7" t="s">
        <v>7662</v>
      </c>
      <c r="V7" t="s">
        <v>7662</v>
      </c>
      <c r="W7">
        <v>4</v>
      </c>
      <c r="X7" t="s">
        <v>7669</v>
      </c>
      <c r="Y7">
        <v>0.62532663949525791</v>
      </c>
      <c r="Z7" t="str">
        <f>HYPERLINK("Melting_Curves/meltCurve_sp_A1L390_PKHG3_HUMAN_.pdf", "Melting_Curves/meltCurve_sp_A1L390_PKHG3_HUMAN_.pdf")</f>
        <v>Melting_Curves/meltCurve_sp_A1L390_PKHG3_HUMAN_.pdf</v>
      </c>
      <c r="AA7" t="s">
        <v>11497</v>
      </c>
      <c r="AB7" t="s">
        <v>15248</v>
      </c>
    </row>
    <row r="8" spans="1:28" x14ac:dyDescent="0.25">
      <c r="A8" t="s">
        <v>12</v>
      </c>
      <c r="B8">
        <v>0.98876768158843997</v>
      </c>
      <c r="C8">
        <v>1.15367814653096</v>
      </c>
      <c r="D8">
        <v>0.789022488682248</v>
      </c>
      <c r="E8">
        <v>0.648637487500762</v>
      </c>
      <c r="F8">
        <v>0.31165989086200402</v>
      </c>
      <c r="G8">
        <v>0.148770140505572</v>
      </c>
      <c r="H8">
        <v>0.102554216581017</v>
      </c>
      <c r="I8">
        <v>9.32876557992664E-2</v>
      </c>
      <c r="J8">
        <v>0.113254030362877</v>
      </c>
      <c r="K8">
        <v>0.10987067798688301</v>
      </c>
      <c r="L8">
        <v>1101.1844517768</v>
      </c>
      <c r="M8">
        <v>21.7980615577785</v>
      </c>
      <c r="N8">
        <v>50.994615346126203</v>
      </c>
      <c r="O8">
        <v>50.098141232871399</v>
      </c>
      <c r="P8">
        <v>-9.8745531527235794E-2</v>
      </c>
      <c r="Q8">
        <v>9.2239837368378999E-2</v>
      </c>
      <c r="R8">
        <v>0.969182220054146</v>
      </c>
      <c r="S8" t="s">
        <v>3840</v>
      </c>
      <c r="T8" t="s">
        <v>7662</v>
      </c>
      <c r="U8" t="s">
        <v>7662</v>
      </c>
      <c r="V8" t="s">
        <v>7662</v>
      </c>
      <c r="W8">
        <v>2</v>
      </c>
      <c r="X8" t="s">
        <v>7670</v>
      </c>
      <c r="Y8">
        <v>0.42117225714550671</v>
      </c>
      <c r="Z8" t="str">
        <f>HYPERLINK("Melting_Curves/meltCurve_sp_A1Z1Q3_2_MACD2_HUMAN_.pdf", "Melting_Curves/meltCurve_sp_A1Z1Q3_2_MACD2_HUMAN_.pdf")</f>
        <v>Melting_Curves/meltCurve_sp_A1Z1Q3_2_MACD2_HUMAN_.pdf</v>
      </c>
      <c r="AA8" t="s">
        <v>11498</v>
      </c>
      <c r="AB8" t="s">
        <v>15249</v>
      </c>
    </row>
    <row r="9" spans="1:28" x14ac:dyDescent="0.25">
      <c r="A9" t="s">
        <v>13</v>
      </c>
      <c r="B9">
        <v>0.98876768158843997</v>
      </c>
      <c r="C9">
        <v>0.67589194393472996</v>
      </c>
      <c r="D9">
        <v>1.04220519644481</v>
      </c>
      <c r="E9">
        <v>0.74790631769898497</v>
      </c>
      <c r="F9">
        <v>0.51430351090733695</v>
      </c>
      <c r="G9">
        <v>0.389801800326051</v>
      </c>
      <c r="H9">
        <v>0.31602370230870802</v>
      </c>
      <c r="I9">
        <v>0.37799537328716198</v>
      </c>
      <c r="J9">
        <v>0.34787857155922502</v>
      </c>
      <c r="K9">
        <v>0.60277198267915899</v>
      </c>
      <c r="L9">
        <v>1864.68403191938</v>
      </c>
      <c r="M9">
        <v>36.914256409135099</v>
      </c>
      <c r="N9">
        <v>52.9304650315202</v>
      </c>
      <c r="O9">
        <v>50.366380759456497</v>
      </c>
      <c r="P9">
        <v>-0.108598883489465</v>
      </c>
      <c r="Q9">
        <v>0.40730587813152302</v>
      </c>
      <c r="R9">
        <v>0.74131387109911095</v>
      </c>
      <c r="S9" t="s">
        <v>3841</v>
      </c>
      <c r="T9" t="s">
        <v>7662</v>
      </c>
      <c r="U9" t="s">
        <v>7662</v>
      </c>
      <c r="V9" t="s">
        <v>7662</v>
      </c>
      <c r="W9">
        <v>6</v>
      </c>
      <c r="X9" t="s">
        <v>7671</v>
      </c>
      <c r="Y9">
        <v>0.61745743719200907</v>
      </c>
      <c r="Z9" t="str">
        <f>HYPERLINK("Melting_Curves/meltCurve_sp_A2VDF0_2_FUCM_HUMAN_.pdf", "Melting_Curves/meltCurve_sp_A2VDF0_2_FUCM_HUMAN_.pdf")</f>
        <v>Melting_Curves/meltCurve_sp_A2VDF0_2_FUCM_HUMAN_.pdf</v>
      </c>
      <c r="AA9" t="s">
        <v>11499</v>
      </c>
      <c r="AB9" t="s">
        <v>15250</v>
      </c>
    </row>
    <row r="10" spans="1:28" x14ac:dyDescent="0.25">
      <c r="A10" t="s">
        <v>14</v>
      </c>
      <c r="B10">
        <v>0.98876768158843997</v>
      </c>
      <c r="C10">
        <v>1.0444590293099301</v>
      </c>
      <c r="D10">
        <v>1.0429573245541299</v>
      </c>
      <c r="E10">
        <v>0.90155913585692304</v>
      </c>
      <c r="F10">
        <v>0.69022833427619101</v>
      </c>
      <c r="G10">
        <v>0.45129154182095199</v>
      </c>
      <c r="H10">
        <v>0.32372311211135202</v>
      </c>
      <c r="I10">
        <v>0.30679234073220002</v>
      </c>
      <c r="J10">
        <v>0.190691217421982</v>
      </c>
      <c r="K10">
        <v>0.119437127508489</v>
      </c>
      <c r="L10">
        <v>923.93997881713995</v>
      </c>
      <c r="M10">
        <v>16.7060580547749</v>
      </c>
      <c r="N10">
        <v>56.558599433597998</v>
      </c>
      <c r="O10">
        <v>54.531438270013602</v>
      </c>
      <c r="P10">
        <v>-6.4747904039409596E-2</v>
      </c>
      <c r="Q10">
        <v>0.154662537986101</v>
      </c>
      <c r="R10">
        <v>0.98411926049423504</v>
      </c>
      <c r="S10" t="s">
        <v>3842</v>
      </c>
      <c r="T10" t="s">
        <v>7662</v>
      </c>
      <c r="U10" t="s">
        <v>7662</v>
      </c>
      <c r="V10" t="s">
        <v>7662</v>
      </c>
      <c r="W10">
        <v>3</v>
      </c>
      <c r="X10" t="s">
        <v>7672</v>
      </c>
      <c r="Y10">
        <v>0.6001068183977698</v>
      </c>
      <c r="Z10" t="str">
        <f>HYPERLINK("Melting_Curves/meltCurve_sp_A4D126_2_ISPD_HUMAN_.pdf", "Melting_Curves/meltCurve_sp_A4D126_2_ISPD_HUMAN_.pdf")</f>
        <v>Melting_Curves/meltCurve_sp_A4D126_2_ISPD_HUMAN_.pdf</v>
      </c>
      <c r="AA10" t="s">
        <v>11500</v>
      </c>
      <c r="AB10" t="s">
        <v>15251</v>
      </c>
    </row>
    <row r="11" spans="1:28" x14ac:dyDescent="0.25">
      <c r="A11" t="s">
        <v>15</v>
      </c>
      <c r="B11">
        <v>0.98876768158843997</v>
      </c>
      <c r="C11">
        <v>1.04469652101071</v>
      </c>
      <c r="D11">
        <v>0.97054771064425305</v>
      </c>
      <c r="E11">
        <v>0.769630559416556</v>
      </c>
      <c r="F11">
        <v>0.74462596423501703</v>
      </c>
      <c r="G11">
        <v>0.44431465523554398</v>
      </c>
      <c r="H11">
        <v>0.26617213657500899</v>
      </c>
      <c r="I11">
        <v>0.30150180683401701</v>
      </c>
      <c r="J11">
        <v>0.27142670678554798</v>
      </c>
      <c r="K11">
        <v>0.25841742295606002</v>
      </c>
      <c r="L11">
        <v>939.16616275727904</v>
      </c>
      <c r="M11">
        <v>17.412012727245099</v>
      </c>
      <c r="N11">
        <v>55.972335401552897</v>
      </c>
      <c r="O11">
        <v>53.241456416456899</v>
      </c>
      <c r="P11">
        <v>-6.2592572673844493E-2</v>
      </c>
      <c r="Q11">
        <v>0.234475061781103</v>
      </c>
      <c r="R11">
        <v>0.98222545714217602</v>
      </c>
      <c r="S11" t="s">
        <v>3843</v>
      </c>
      <c r="T11" t="s">
        <v>7662</v>
      </c>
      <c r="U11" t="s">
        <v>7662</v>
      </c>
      <c r="V11" t="s">
        <v>7662</v>
      </c>
      <c r="W11">
        <v>3</v>
      </c>
      <c r="X11" t="s">
        <v>7673</v>
      </c>
      <c r="Y11">
        <v>0.60301709017436322</v>
      </c>
      <c r="Z11" t="str">
        <f>HYPERLINK("Melting_Curves/meltCurve_sp_A4D1P6_2_WDR91_HUMAN_.pdf", "Melting_Curves/meltCurve_sp_A4D1P6_2_WDR91_HUMAN_.pdf")</f>
        <v>Melting_Curves/meltCurve_sp_A4D1P6_2_WDR91_HUMAN_.pdf</v>
      </c>
      <c r="AA11" t="s">
        <v>11501</v>
      </c>
      <c r="AB11" t="s">
        <v>15252</v>
      </c>
    </row>
    <row r="12" spans="1:28" x14ac:dyDescent="0.25">
      <c r="A12" t="s">
        <v>16</v>
      </c>
      <c r="B12">
        <v>0.98876768158843997</v>
      </c>
      <c r="C12">
        <v>0.95022519418778395</v>
      </c>
      <c r="D12">
        <v>1.02593781415297</v>
      </c>
      <c r="E12">
        <v>0.71424994492859295</v>
      </c>
      <c r="F12">
        <v>0.34253928823963398</v>
      </c>
      <c r="G12">
        <v>0.18858771399970201</v>
      </c>
      <c r="H12">
        <v>0.123717897968688</v>
      </c>
      <c r="I12">
        <v>0.121361489297588</v>
      </c>
      <c r="J12">
        <v>0.14456575788544199</v>
      </c>
      <c r="K12">
        <v>0.12749765394030299</v>
      </c>
      <c r="L12">
        <v>1676.42553239157</v>
      </c>
      <c r="M12">
        <v>32.776366264265697</v>
      </c>
      <c r="N12">
        <v>51.637449433819498</v>
      </c>
      <c r="O12">
        <v>50.9581214836318</v>
      </c>
      <c r="P12">
        <v>-0.13930733042611501</v>
      </c>
      <c r="Q12">
        <v>0.13366758161442999</v>
      </c>
      <c r="R12">
        <v>0.99581164252657794</v>
      </c>
      <c r="S12" t="s">
        <v>3844</v>
      </c>
      <c r="T12" t="s">
        <v>7662</v>
      </c>
      <c r="U12" t="s">
        <v>7662</v>
      </c>
      <c r="V12" t="s">
        <v>7662</v>
      </c>
      <c r="W12">
        <v>15</v>
      </c>
      <c r="X12" t="s">
        <v>7674</v>
      </c>
      <c r="Y12">
        <v>0.46015145923619238</v>
      </c>
      <c r="Z12" t="str">
        <f>HYPERLINK("Melting_Curves/meltCurve_sp_A5YKK6_2_CNOT1_HUMAN_.pdf", "Melting_Curves/meltCurve_sp_A5YKK6_2_CNOT1_HUMAN_.pdf")</f>
        <v>Melting_Curves/meltCurve_sp_A5YKK6_2_CNOT1_HUMAN_.pdf</v>
      </c>
      <c r="AA12" t="s">
        <v>11502</v>
      </c>
      <c r="AB12" t="s">
        <v>15253</v>
      </c>
    </row>
    <row r="13" spans="1:28" x14ac:dyDescent="0.25">
      <c r="A13" t="s">
        <v>17</v>
      </c>
      <c r="B13">
        <v>0.98876768158843997</v>
      </c>
      <c r="C13">
        <v>1.0748708720968301</v>
      </c>
      <c r="D13">
        <v>0.90783238590744797</v>
      </c>
      <c r="E13">
        <v>0.86810525176593201</v>
      </c>
      <c r="F13">
        <v>0.86792313191055204</v>
      </c>
      <c r="G13">
        <v>0.63908814681549697</v>
      </c>
      <c r="H13">
        <v>0.53959368440299704</v>
      </c>
      <c r="I13">
        <v>0.64543356824629705</v>
      </c>
      <c r="J13">
        <v>0.70612185182721898</v>
      </c>
      <c r="K13">
        <v>0.83087557671201395</v>
      </c>
      <c r="L13">
        <v>1233.70631363811</v>
      </c>
      <c r="M13">
        <v>23.895718941271301</v>
      </c>
      <c r="O13">
        <v>51.271256527129601</v>
      </c>
      <c r="P13">
        <v>-3.8076100002748803E-2</v>
      </c>
      <c r="Q13">
        <v>0.67321710013050895</v>
      </c>
      <c r="R13">
        <v>0.72945947385205601</v>
      </c>
      <c r="S13" t="s">
        <v>3845</v>
      </c>
      <c r="T13" t="s">
        <v>7662</v>
      </c>
      <c r="U13" t="s">
        <v>7662</v>
      </c>
      <c r="V13" t="s">
        <v>7662</v>
      </c>
      <c r="W13">
        <v>14</v>
      </c>
      <c r="X13" t="s">
        <v>7675</v>
      </c>
      <c r="Y13">
        <v>0.80312952266632465</v>
      </c>
      <c r="Z13" t="str">
        <f>HYPERLINK("Melting_Curves/meltCurve_sp_A6ND91_ASPD_HUMAN_.pdf", "Melting_Curves/meltCurve_sp_A6ND91_ASPD_HUMAN_.pdf")</f>
        <v>Melting_Curves/meltCurve_sp_A6ND91_ASPD_HUMAN_.pdf</v>
      </c>
      <c r="AA13" t="s">
        <v>11503</v>
      </c>
      <c r="AB13" t="s">
        <v>15254</v>
      </c>
    </row>
    <row r="14" spans="1:28" x14ac:dyDescent="0.25">
      <c r="A14" t="s">
        <v>18</v>
      </c>
      <c r="B14">
        <v>0.98876768158843997</v>
      </c>
      <c r="C14">
        <v>1.13328169249636</v>
      </c>
      <c r="D14">
        <v>0.88609814777866003</v>
      </c>
      <c r="E14">
        <v>0.67645701296040495</v>
      </c>
      <c r="F14">
        <v>0.80375808298155704</v>
      </c>
      <c r="G14">
        <v>0.54501609214916902</v>
      </c>
      <c r="H14">
        <v>0.42909945996712601</v>
      </c>
      <c r="I14">
        <v>0.49501575661626601</v>
      </c>
      <c r="J14">
        <v>0.60130626582226598</v>
      </c>
      <c r="K14">
        <v>0.74877074083754003</v>
      </c>
      <c r="L14">
        <v>1052.06346170706</v>
      </c>
      <c r="M14">
        <v>21.388509157943702</v>
      </c>
      <c r="O14">
        <v>48.764329169626699</v>
      </c>
      <c r="P14">
        <v>-4.66296930562742E-2</v>
      </c>
      <c r="Q14">
        <v>0.57476064720093401</v>
      </c>
      <c r="R14">
        <v>0.74599146480671696</v>
      </c>
      <c r="S14" t="s">
        <v>3846</v>
      </c>
      <c r="T14" t="s">
        <v>7662</v>
      </c>
      <c r="U14" t="s">
        <v>7662</v>
      </c>
      <c r="V14" t="s">
        <v>7662</v>
      </c>
      <c r="W14">
        <v>22</v>
      </c>
      <c r="X14" t="s">
        <v>7676</v>
      </c>
      <c r="Y14">
        <v>0.71019174248762951</v>
      </c>
      <c r="Z14" t="str">
        <f>HYPERLINK("Melting_Curves/meltCurve_sp_A6NDB9_PALM3_HUMAN_.pdf", "Melting_Curves/meltCurve_sp_A6NDB9_PALM3_HUMAN_.pdf")</f>
        <v>Melting_Curves/meltCurve_sp_A6NDB9_PALM3_HUMAN_.pdf</v>
      </c>
      <c r="AA14" t="s">
        <v>11504</v>
      </c>
      <c r="AB14" t="s">
        <v>15255</v>
      </c>
    </row>
    <row r="15" spans="1:28" x14ac:dyDescent="0.25">
      <c r="A15" t="s">
        <v>19</v>
      </c>
      <c r="B15">
        <v>0.98876768158843997</v>
      </c>
      <c r="C15">
        <v>1.09827212063882</v>
      </c>
      <c r="D15">
        <v>0.94782313488907199</v>
      </c>
      <c r="E15">
        <v>0.90663204640917705</v>
      </c>
      <c r="F15">
        <v>0.99432130165209298</v>
      </c>
      <c r="G15">
        <v>0.72176154678771698</v>
      </c>
      <c r="H15">
        <v>0.57897022948695298</v>
      </c>
      <c r="I15">
        <v>0.357015747007419</v>
      </c>
      <c r="J15">
        <v>8.4627442940476305E-2</v>
      </c>
      <c r="K15">
        <v>7.22061341131853E-2</v>
      </c>
      <c r="L15">
        <v>1134.96368570237</v>
      </c>
      <c r="M15">
        <v>18.528747123573599</v>
      </c>
      <c r="N15">
        <v>61.254207777180099</v>
      </c>
      <c r="O15">
        <v>60.554101101801102</v>
      </c>
      <c r="P15">
        <v>-7.6500057438560407E-2</v>
      </c>
      <c r="Q15">
        <v>0</v>
      </c>
      <c r="R15">
        <v>0.97003339414595202</v>
      </c>
      <c r="S15" t="s">
        <v>3847</v>
      </c>
      <c r="T15" t="s">
        <v>7662</v>
      </c>
      <c r="U15" t="s">
        <v>7662</v>
      </c>
      <c r="V15" t="s">
        <v>7662</v>
      </c>
      <c r="W15">
        <v>6</v>
      </c>
      <c r="X15" t="s">
        <v>7677</v>
      </c>
      <c r="Y15">
        <v>0.71320861270256708</v>
      </c>
      <c r="Z15" t="str">
        <f>HYPERLINK("Melting_Curves/meltCurve_sp_A6NDG6_PGP_HUMAN_.pdf", "Melting_Curves/meltCurve_sp_A6NDG6_PGP_HUMAN_.pdf")</f>
        <v>Melting_Curves/meltCurve_sp_A6NDG6_PGP_HUMAN_.pdf</v>
      </c>
      <c r="AA15" t="s">
        <v>11505</v>
      </c>
      <c r="AB15" t="s">
        <v>15256</v>
      </c>
    </row>
    <row r="16" spans="1:28" x14ac:dyDescent="0.25">
      <c r="A16" t="s">
        <v>20</v>
      </c>
      <c r="B16">
        <v>0.98876768158843997</v>
      </c>
      <c r="C16">
        <v>1.07031531801999</v>
      </c>
      <c r="D16">
        <v>0.70437963734814302</v>
      </c>
      <c r="E16">
        <v>0.39922782543992602</v>
      </c>
      <c r="F16">
        <v>0.106690612427066</v>
      </c>
      <c r="G16">
        <v>7.4120619376974506E-2</v>
      </c>
      <c r="H16">
        <v>0</v>
      </c>
      <c r="I16">
        <v>0</v>
      </c>
      <c r="J16">
        <v>0</v>
      </c>
      <c r="K16">
        <v>0</v>
      </c>
      <c r="L16">
        <v>1060.1545146250701</v>
      </c>
      <c r="M16">
        <v>21.796844187755301</v>
      </c>
      <c r="N16">
        <v>48.637967371932199</v>
      </c>
      <c r="O16">
        <v>48.234153669242303</v>
      </c>
      <c r="P16">
        <v>-0.112976763357845</v>
      </c>
      <c r="Q16">
        <v>0</v>
      </c>
      <c r="R16">
        <v>0.98527315958073503</v>
      </c>
      <c r="S16" t="s">
        <v>3848</v>
      </c>
      <c r="T16" t="s">
        <v>7662</v>
      </c>
      <c r="U16" t="s">
        <v>7662</v>
      </c>
      <c r="V16" t="s">
        <v>7662</v>
      </c>
      <c r="W16">
        <v>1</v>
      </c>
      <c r="X16" t="s">
        <v>7678</v>
      </c>
      <c r="Y16">
        <v>0.29969942058232751</v>
      </c>
      <c r="Z16" t="str">
        <f>HYPERLINK("Melting_Curves/meltCurve_sp_A6NDU8_CE051_HUMAN_.pdf", "Melting_Curves/meltCurve_sp_A6NDU8_CE051_HUMAN_.pdf")</f>
        <v>Melting_Curves/meltCurve_sp_A6NDU8_CE051_HUMAN_.pdf</v>
      </c>
      <c r="AA16" t="s">
        <v>11506</v>
      </c>
      <c r="AB16" t="s">
        <v>15257</v>
      </c>
    </row>
    <row r="17" spans="1:28" x14ac:dyDescent="0.25">
      <c r="A17" t="s">
        <v>21</v>
      </c>
      <c r="B17">
        <v>0.98876768158843997</v>
      </c>
      <c r="C17">
        <v>0.96088481063211295</v>
      </c>
      <c r="D17">
        <v>0.81397764304255105</v>
      </c>
      <c r="E17">
        <v>0.753614569635637</v>
      </c>
      <c r="F17">
        <v>0.63003611863858699</v>
      </c>
      <c r="G17">
        <v>0.238353045657863</v>
      </c>
      <c r="H17">
        <v>0.101977191570418</v>
      </c>
      <c r="I17">
        <v>0.12512343573420101</v>
      </c>
      <c r="J17">
        <v>4.7778278910140699E-2</v>
      </c>
      <c r="K17">
        <v>6.2882494466781805E-2</v>
      </c>
      <c r="L17">
        <v>770.289305187276</v>
      </c>
      <c r="M17">
        <v>14.363776395632399</v>
      </c>
      <c r="N17">
        <v>53.640035354656902</v>
      </c>
      <c r="O17">
        <v>52.619888043173198</v>
      </c>
      <c r="P17">
        <v>-6.8134290388575505E-2</v>
      </c>
      <c r="Q17">
        <v>1.71354342195504E-3</v>
      </c>
      <c r="R17">
        <v>0.98084030787159604</v>
      </c>
      <c r="S17" t="s">
        <v>3849</v>
      </c>
      <c r="T17" t="s">
        <v>7662</v>
      </c>
      <c r="U17" t="s">
        <v>7662</v>
      </c>
      <c r="V17" t="s">
        <v>7662</v>
      </c>
      <c r="W17">
        <v>2</v>
      </c>
      <c r="X17" t="s">
        <v>7679</v>
      </c>
      <c r="Y17">
        <v>0.47723539163615192</v>
      </c>
      <c r="Z17" t="str">
        <f>HYPERLINK("Melting_Curves/meltCurve_sp_A6NED2_RCCD1_HUMAN_.pdf", "Melting_Curves/meltCurve_sp_A6NED2_RCCD1_HUMAN_.pdf")</f>
        <v>Melting_Curves/meltCurve_sp_A6NED2_RCCD1_HUMAN_.pdf</v>
      </c>
      <c r="AA17" t="s">
        <v>11507</v>
      </c>
      <c r="AB17" t="s">
        <v>15258</v>
      </c>
    </row>
    <row r="18" spans="1:28" x14ac:dyDescent="0.25">
      <c r="A18" t="s">
        <v>22</v>
      </c>
      <c r="B18">
        <v>0.98876768158843997</v>
      </c>
      <c r="C18">
        <v>1.0403514511118901</v>
      </c>
      <c r="D18">
        <v>0.92464339334394197</v>
      </c>
      <c r="E18">
        <v>0.62851047804565696</v>
      </c>
      <c r="F18">
        <v>0.33344992897509601</v>
      </c>
      <c r="G18">
        <v>0.14871261060578</v>
      </c>
      <c r="H18">
        <v>0.12185154842995501</v>
      </c>
      <c r="I18">
        <v>8.0204157172865706E-2</v>
      </c>
      <c r="J18">
        <v>0.23224162248053301</v>
      </c>
      <c r="K18">
        <v>7.9295822677026506E-2</v>
      </c>
      <c r="L18">
        <v>1339.541089821</v>
      </c>
      <c r="M18">
        <v>26.4808687109708</v>
      </c>
      <c r="N18">
        <v>51.127461082016602</v>
      </c>
      <c r="O18">
        <v>50.299404347575297</v>
      </c>
      <c r="P18">
        <v>-0.11550394334981801</v>
      </c>
      <c r="Q18">
        <v>0.122427975862706</v>
      </c>
      <c r="R18">
        <v>0.98678115029952596</v>
      </c>
      <c r="S18" t="s">
        <v>3850</v>
      </c>
      <c r="T18" t="s">
        <v>7662</v>
      </c>
      <c r="U18" t="s">
        <v>7662</v>
      </c>
      <c r="V18" t="s">
        <v>7662</v>
      </c>
      <c r="W18">
        <v>2</v>
      </c>
      <c r="X18" t="s">
        <v>7680</v>
      </c>
      <c r="Y18">
        <v>0.43910940597994652</v>
      </c>
      <c r="Z18" t="str">
        <f>HYPERLINK("Melting_Curves/meltCurve_sp_A6NIH7_U119B_HUMAN_.pdf", "Melting_Curves/meltCurve_sp_A6NIH7_U119B_HUMAN_.pdf")</f>
        <v>Melting_Curves/meltCurve_sp_A6NIH7_U119B_HUMAN_.pdf</v>
      </c>
      <c r="AA18" t="s">
        <v>11508</v>
      </c>
      <c r="AB18" t="s">
        <v>15259</v>
      </c>
    </row>
    <row r="19" spans="1:28" x14ac:dyDescent="0.25">
      <c r="A19" t="s">
        <v>23</v>
      </c>
      <c r="B19">
        <v>0.98876768158843997</v>
      </c>
      <c r="C19">
        <v>1.02194801119371</v>
      </c>
      <c r="D19">
        <v>0.87540232305113597</v>
      </c>
      <c r="E19">
        <v>0.76016526105271998</v>
      </c>
      <c r="F19">
        <v>0.864202479435078</v>
      </c>
      <c r="G19">
        <v>0.64784004564193698</v>
      </c>
      <c r="H19">
        <v>0.49257573520039799</v>
      </c>
      <c r="I19">
        <v>0.54339143468768203</v>
      </c>
      <c r="J19">
        <v>0.56493526235512903</v>
      </c>
      <c r="K19">
        <v>0.556232258253608</v>
      </c>
      <c r="L19">
        <v>618.124368248618</v>
      </c>
      <c r="M19">
        <v>11.6962540624332</v>
      </c>
      <c r="O19">
        <v>51.3741478311767</v>
      </c>
      <c r="P19">
        <v>-2.8571912046445599E-2</v>
      </c>
      <c r="Q19">
        <v>0.49814130639492898</v>
      </c>
      <c r="R19">
        <v>0.89982085689906799</v>
      </c>
      <c r="S19" t="s">
        <v>3851</v>
      </c>
      <c r="T19" t="s">
        <v>7662</v>
      </c>
      <c r="U19" t="s">
        <v>7662</v>
      </c>
      <c r="V19" t="s">
        <v>7662</v>
      </c>
      <c r="W19">
        <v>8</v>
      </c>
      <c r="X19" t="s">
        <v>7681</v>
      </c>
      <c r="Y19">
        <v>0.72795290685687108</v>
      </c>
      <c r="Z19" t="str">
        <f>HYPERLINK("Melting_Curves/meltCurve_sp_A6NK44_GLOD5_HUMAN_.pdf", "Melting_Curves/meltCurve_sp_A6NK44_GLOD5_HUMAN_.pdf")</f>
        <v>Melting_Curves/meltCurve_sp_A6NK44_GLOD5_HUMAN_.pdf</v>
      </c>
      <c r="AA19" t="s">
        <v>11509</v>
      </c>
      <c r="AB19" t="s">
        <v>15260</v>
      </c>
    </row>
    <row r="20" spans="1:28" x14ac:dyDescent="0.25">
      <c r="A20" t="s">
        <v>24</v>
      </c>
      <c r="B20">
        <v>0.98876768158843997</v>
      </c>
      <c r="C20">
        <v>0.90633789403863696</v>
      </c>
      <c r="D20">
        <v>0.82770492404538298</v>
      </c>
      <c r="E20">
        <v>0.72107238975913501</v>
      </c>
      <c r="F20">
        <v>0.59473625957207299</v>
      </c>
      <c r="G20">
        <v>0.37751945625428501</v>
      </c>
      <c r="H20">
        <v>0.20745773629160999</v>
      </c>
      <c r="I20">
        <v>0.18593351920610399</v>
      </c>
      <c r="J20">
        <v>0.20468267087506001</v>
      </c>
      <c r="K20">
        <v>0.19343235896337299</v>
      </c>
      <c r="L20">
        <v>607.86018275021502</v>
      </c>
      <c r="M20">
        <v>11.478660887107401</v>
      </c>
      <c r="N20">
        <v>54.084624770693701</v>
      </c>
      <c r="O20">
        <v>51.424904432723899</v>
      </c>
      <c r="P20">
        <v>-4.98725901907736E-2</v>
      </c>
      <c r="Q20">
        <v>0.106530198756323</v>
      </c>
      <c r="R20">
        <v>0.98769503896858801</v>
      </c>
      <c r="S20" t="s">
        <v>3852</v>
      </c>
      <c r="T20" t="s">
        <v>7662</v>
      </c>
      <c r="U20" t="s">
        <v>7662</v>
      </c>
      <c r="V20" t="s">
        <v>7662</v>
      </c>
      <c r="W20">
        <v>2</v>
      </c>
      <c r="X20" t="s">
        <v>7682</v>
      </c>
      <c r="Y20">
        <v>0.51918144472046446</v>
      </c>
      <c r="Z20" t="str">
        <f>HYPERLINK("Melting_Curves/meltCurve_sp_A6NK58_LIPT2_HUMAN_.pdf", "Melting_Curves/meltCurve_sp_A6NK58_LIPT2_HUMAN_.pdf")</f>
        <v>Melting_Curves/meltCurve_sp_A6NK58_LIPT2_HUMAN_.pdf</v>
      </c>
      <c r="AA20" t="s">
        <v>11510</v>
      </c>
      <c r="AB20" t="s">
        <v>15261</v>
      </c>
    </row>
    <row r="21" spans="1:28" x14ac:dyDescent="0.25">
      <c r="A21" t="s">
        <v>25</v>
      </c>
      <c r="B21">
        <v>0.98876768158843997</v>
      </c>
      <c r="C21">
        <v>0.90463958595410898</v>
      </c>
      <c r="D21">
        <v>0.91182304609514397</v>
      </c>
      <c r="E21">
        <v>0.82755177242875999</v>
      </c>
      <c r="F21">
        <v>0.61548900617357205</v>
      </c>
      <c r="G21">
        <v>0.42718956225128701</v>
      </c>
      <c r="H21">
        <v>0.343037124022956</v>
      </c>
      <c r="I21">
        <v>0.36063016514709001</v>
      </c>
      <c r="J21">
        <v>0.39207430498755902</v>
      </c>
      <c r="K21">
        <v>0.27500715587021002</v>
      </c>
      <c r="L21">
        <v>877.01493255488106</v>
      </c>
      <c r="M21">
        <v>16.7524990066537</v>
      </c>
      <c r="N21">
        <v>55.5699741603338</v>
      </c>
      <c r="O21">
        <v>51.622389797782098</v>
      </c>
      <c r="P21">
        <v>-5.5941153678983703E-2</v>
      </c>
      <c r="Q21">
        <v>0.31052030219918397</v>
      </c>
      <c r="R21">
        <v>0.97614383460579901</v>
      </c>
      <c r="S21" t="s">
        <v>3853</v>
      </c>
      <c r="T21" t="s">
        <v>7662</v>
      </c>
      <c r="U21" t="s">
        <v>7662</v>
      </c>
      <c r="V21" t="s">
        <v>7662</v>
      </c>
      <c r="W21">
        <v>5</v>
      </c>
      <c r="X21" t="s">
        <v>7683</v>
      </c>
      <c r="Y21">
        <v>0.60722347121776321</v>
      </c>
      <c r="Z21" t="str">
        <f>HYPERLINK("Melting_Curves/meltCurve_sp_A6NKD9_CC85C_HUMAN_.pdf", "Melting_Curves/meltCurve_sp_A6NKD9_CC85C_HUMAN_.pdf")</f>
        <v>Melting_Curves/meltCurve_sp_A6NKD9_CC85C_HUMAN_.pdf</v>
      </c>
      <c r="AA21" t="s">
        <v>11511</v>
      </c>
      <c r="AB21" t="s">
        <v>15262</v>
      </c>
    </row>
    <row r="22" spans="1:28" x14ac:dyDescent="0.25">
      <c r="A22" t="s">
        <v>26</v>
      </c>
      <c r="B22">
        <v>0.98876768158843997</v>
      </c>
      <c r="C22">
        <v>1.3956118544721601</v>
      </c>
      <c r="D22">
        <v>0.91050957805569799</v>
      </c>
      <c r="E22">
        <v>0.78963497838747498</v>
      </c>
      <c r="F22">
        <v>2.1594990516686701</v>
      </c>
      <c r="G22">
        <v>1.3371876673080401</v>
      </c>
      <c r="H22">
        <v>1.0156923892019101</v>
      </c>
      <c r="I22">
        <v>1.2357051784555599</v>
      </c>
      <c r="J22">
        <v>1.9119579091426799</v>
      </c>
      <c r="K22">
        <v>2.1672234027346899</v>
      </c>
      <c r="L22">
        <v>12836.176049755601</v>
      </c>
      <c r="M22">
        <v>250</v>
      </c>
      <c r="O22">
        <v>51.3414041708143</v>
      </c>
      <c r="P22">
        <v>0.60867036643579098</v>
      </c>
      <c r="Q22">
        <v>1.5</v>
      </c>
      <c r="R22">
        <v>0.33373874748029098</v>
      </c>
      <c r="S22" t="s">
        <v>3854</v>
      </c>
      <c r="T22" t="s">
        <v>7662</v>
      </c>
      <c r="U22" t="s">
        <v>7662</v>
      </c>
      <c r="V22" t="s">
        <v>7662</v>
      </c>
      <c r="W22">
        <v>3</v>
      </c>
      <c r="X22" t="s">
        <v>7684</v>
      </c>
      <c r="Y22">
        <v>1.310876542104348</v>
      </c>
      <c r="Z22" t="str">
        <f>HYPERLINK("Melting_Curves/meltCurve_sp_A6NKN8_PC4L1_HUMAN_.pdf", "Melting_Curves/meltCurve_sp_A6NKN8_PC4L1_HUMAN_.pdf")</f>
        <v>Melting_Curves/meltCurve_sp_A6NKN8_PC4L1_HUMAN_.pdf</v>
      </c>
      <c r="AA22" t="s">
        <v>11512</v>
      </c>
      <c r="AB22" t="s">
        <v>15263</v>
      </c>
    </row>
    <row r="23" spans="1:28" x14ac:dyDescent="0.25">
      <c r="A23" t="s">
        <v>27</v>
      </c>
      <c r="B23">
        <v>0.98876768158843997</v>
      </c>
      <c r="C23">
        <v>1.0631613218110101</v>
      </c>
      <c r="D23">
        <v>0.92137636605274698</v>
      </c>
      <c r="E23">
        <v>0.80433221040656999</v>
      </c>
      <c r="F23">
        <v>0.87639392382171399</v>
      </c>
      <c r="G23">
        <v>0.56213590893909304</v>
      </c>
      <c r="H23">
        <v>0.40550176052398501</v>
      </c>
      <c r="I23">
        <v>0.32558904633739399</v>
      </c>
      <c r="J23">
        <v>0.39307988012978901</v>
      </c>
      <c r="K23">
        <v>0.35056115058365001</v>
      </c>
      <c r="L23">
        <v>932.08743047970802</v>
      </c>
      <c r="M23">
        <v>16.8462318996867</v>
      </c>
      <c r="N23">
        <v>58.770679949507397</v>
      </c>
      <c r="O23">
        <v>54.567127049815802</v>
      </c>
      <c r="P23">
        <v>-5.2983707468728297E-2</v>
      </c>
      <c r="Q23">
        <v>0.31355960229067997</v>
      </c>
      <c r="R23">
        <v>0.95648722957780097</v>
      </c>
      <c r="S23" t="s">
        <v>3855</v>
      </c>
      <c r="T23" t="s">
        <v>7662</v>
      </c>
      <c r="U23" t="s">
        <v>7662</v>
      </c>
      <c r="V23" t="s">
        <v>7662</v>
      </c>
      <c r="W23">
        <v>8</v>
      </c>
      <c r="X23" t="s">
        <v>7685</v>
      </c>
      <c r="Y23">
        <v>0.67568197070092373</v>
      </c>
      <c r="Z23" t="str">
        <f>HYPERLINK("Melting_Curves/meltCurve_sp_A6NLP5_TTC36_HUMAN_.pdf", "Melting_Curves/meltCurve_sp_A6NLP5_TTC36_HUMAN_.pdf")</f>
        <v>Melting_Curves/meltCurve_sp_A6NLP5_TTC36_HUMAN_.pdf</v>
      </c>
      <c r="AA23" t="s">
        <v>11513</v>
      </c>
      <c r="AB23" t="s">
        <v>15264</v>
      </c>
    </row>
    <row r="24" spans="1:28" x14ac:dyDescent="0.25">
      <c r="A24" t="s">
        <v>28</v>
      </c>
      <c r="B24">
        <v>0.98876768158843997</v>
      </c>
      <c r="C24">
        <v>1.1142170810483401</v>
      </c>
      <c r="D24">
        <v>0.97719595503927503</v>
      </c>
      <c r="E24">
        <v>0.84779525864130101</v>
      </c>
      <c r="F24">
        <v>0.71890965630651105</v>
      </c>
      <c r="G24">
        <v>0.48248790419345999</v>
      </c>
      <c r="H24">
        <v>0.27545526983984198</v>
      </c>
      <c r="I24">
        <v>0.25822810290102299</v>
      </c>
      <c r="J24">
        <v>0.25897214837817201</v>
      </c>
      <c r="K24">
        <v>0.29932676588162899</v>
      </c>
      <c r="L24">
        <v>1088.3492440053701</v>
      </c>
      <c r="M24">
        <v>20.0759566628175</v>
      </c>
      <c r="N24">
        <v>56.115223437611</v>
      </c>
      <c r="O24">
        <v>53.682286946280797</v>
      </c>
      <c r="P24">
        <v>-7.0407354839862102E-2</v>
      </c>
      <c r="Q24">
        <v>0.24695859320469299</v>
      </c>
      <c r="R24">
        <v>0.98064593873910699</v>
      </c>
      <c r="S24" t="s">
        <v>3856</v>
      </c>
      <c r="T24" t="s">
        <v>7662</v>
      </c>
      <c r="U24" t="s">
        <v>7662</v>
      </c>
      <c r="V24" t="s">
        <v>7662</v>
      </c>
      <c r="W24">
        <v>2</v>
      </c>
      <c r="X24" t="s">
        <v>7686</v>
      </c>
      <c r="Y24">
        <v>0.6138264123229954</v>
      </c>
      <c r="Z24" t="str">
        <f>HYPERLINK("Melting_Curves/meltCurve_sp_A8MSI8_LYRM9_HUMAN_.pdf", "Melting_Curves/meltCurve_sp_A8MSI8_LYRM9_HUMAN_.pdf")</f>
        <v>Melting_Curves/meltCurve_sp_A8MSI8_LYRM9_HUMAN_.pdf</v>
      </c>
      <c r="AA24" t="s">
        <v>11514</v>
      </c>
      <c r="AB24" t="s">
        <v>15265</v>
      </c>
    </row>
    <row r="25" spans="1:28" x14ac:dyDescent="0.25">
      <c r="A25" t="s">
        <v>29</v>
      </c>
      <c r="B25">
        <v>0.98876768158843997</v>
      </c>
      <c r="C25">
        <v>0.80967919577555303</v>
      </c>
      <c r="D25">
        <v>0.87230515629609495</v>
      </c>
      <c r="E25">
        <v>0.64698135854303795</v>
      </c>
      <c r="F25">
        <v>0.50003687068682001</v>
      </c>
      <c r="G25">
        <v>0.27252424167803102</v>
      </c>
      <c r="H25">
        <v>9.0259042604733497E-2</v>
      </c>
      <c r="I25">
        <v>8.7074119393667895E-2</v>
      </c>
      <c r="J25">
        <v>5.9172943603876399E-2</v>
      </c>
      <c r="K25">
        <v>1.64940696679713E-2</v>
      </c>
      <c r="L25">
        <v>653.67002655809199</v>
      </c>
      <c r="M25">
        <v>12.489973900150201</v>
      </c>
      <c r="N25">
        <v>52.3356021678945</v>
      </c>
      <c r="O25">
        <v>51.048302938029202</v>
      </c>
      <c r="P25">
        <v>-6.1180055048435697E-2</v>
      </c>
      <c r="Q25">
        <v>0</v>
      </c>
      <c r="R25">
        <v>0.98200815739006797</v>
      </c>
      <c r="S25" t="s">
        <v>3857</v>
      </c>
      <c r="T25" t="s">
        <v>7662</v>
      </c>
      <c r="U25" t="s">
        <v>7662</v>
      </c>
      <c r="V25" t="s">
        <v>7662</v>
      </c>
      <c r="W25">
        <v>4</v>
      </c>
      <c r="X25" t="s">
        <v>7687</v>
      </c>
      <c r="Y25">
        <v>0.4396297422681279</v>
      </c>
      <c r="Z25" t="str">
        <f>HYPERLINK("Melting_Curves/meltCurve_sp_A8MXV4_NUD19_HUMAN_.pdf", "Melting_Curves/meltCurve_sp_A8MXV4_NUD19_HUMAN_.pdf")</f>
        <v>Melting_Curves/meltCurve_sp_A8MXV4_NUD19_HUMAN_.pdf</v>
      </c>
      <c r="AA25" t="s">
        <v>11515</v>
      </c>
      <c r="AB25" t="s">
        <v>15266</v>
      </c>
    </row>
    <row r="26" spans="1:28" x14ac:dyDescent="0.25">
      <c r="A26" t="s">
        <v>30</v>
      </c>
      <c r="B26">
        <v>0.98876768158843997</v>
      </c>
      <c r="C26">
        <v>1.24259330161629</v>
      </c>
      <c r="D26">
        <v>0.87881799936706495</v>
      </c>
      <c r="E26">
        <v>0.68454184765929305</v>
      </c>
      <c r="F26">
        <v>1.15162125935931</v>
      </c>
      <c r="G26">
        <v>0.72927685253184804</v>
      </c>
      <c r="H26">
        <v>0.64298910363614203</v>
      </c>
      <c r="I26">
        <v>0.76520109480091303</v>
      </c>
      <c r="J26">
        <v>1.06662706782005</v>
      </c>
      <c r="K26">
        <v>1.1998083910292401</v>
      </c>
      <c r="L26">
        <v>15000</v>
      </c>
      <c r="M26">
        <v>223.187450525347</v>
      </c>
      <c r="O26">
        <v>67.202685318194298</v>
      </c>
      <c r="P26">
        <v>0.165920308276298</v>
      </c>
      <c r="Q26">
        <v>1.1998372211238599</v>
      </c>
      <c r="R26">
        <v>4.7184213570236099E-3</v>
      </c>
      <c r="S26" t="s">
        <v>3858</v>
      </c>
      <c r="T26" t="s">
        <v>7662</v>
      </c>
      <c r="U26" t="s">
        <v>7662</v>
      </c>
      <c r="V26" t="s">
        <v>7662</v>
      </c>
      <c r="W26">
        <v>5</v>
      </c>
      <c r="X26" t="s">
        <v>7688</v>
      </c>
      <c r="Y26">
        <v>1.018568375319677</v>
      </c>
      <c r="Z26" t="str">
        <f>HYPERLINK("Melting_Curves/meltCurve_sp_B1AK53_ESPN_HUMAN_.pdf", "Melting_Curves/meltCurve_sp_B1AK53_ESPN_HUMAN_.pdf")</f>
        <v>Melting_Curves/meltCurve_sp_B1AK53_ESPN_HUMAN_.pdf</v>
      </c>
      <c r="AA26" t="s">
        <v>11516</v>
      </c>
      <c r="AB26" t="s">
        <v>15267</v>
      </c>
    </row>
    <row r="27" spans="1:28" x14ac:dyDescent="0.25">
      <c r="A27" t="s">
        <v>31</v>
      </c>
      <c r="B27">
        <v>0.98876768158843997</v>
      </c>
      <c r="C27">
        <v>0.96456877824369303</v>
      </c>
      <c r="D27">
        <v>0.96066272401250796</v>
      </c>
      <c r="E27">
        <v>0.71971886491960002</v>
      </c>
      <c r="F27">
        <v>0.61299661250349802</v>
      </c>
      <c r="G27">
        <v>0.33406051003722698</v>
      </c>
      <c r="H27">
        <v>0.25149209383096099</v>
      </c>
      <c r="I27">
        <v>0.29770037138177802</v>
      </c>
      <c r="J27">
        <v>0.33599206934612802</v>
      </c>
      <c r="K27">
        <v>0.34203572750426597</v>
      </c>
      <c r="L27">
        <v>1099.87926183731</v>
      </c>
      <c r="M27">
        <v>21.3326661158234</v>
      </c>
      <c r="N27">
        <v>53.7984862248544</v>
      </c>
      <c r="O27">
        <v>51.111804304238298</v>
      </c>
      <c r="P27">
        <v>-7.36357548488588E-2</v>
      </c>
      <c r="Q27">
        <v>0.29431019122713098</v>
      </c>
      <c r="R27">
        <v>0.98035795150697502</v>
      </c>
      <c r="S27" t="s">
        <v>3859</v>
      </c>
      <c r="T27" t="s">
        <v>7662</v>
      </c>
      <c r="U27" t="s">
        <v>7662</v>
      </c>
      <c r="V27" t="s">
        <v>7662</v>
      </c>
      <c r="W27">
        <v>4</v>
      </c>
      <c r="X27" t="s">
        <v>7689</v>
      </c>
      <c r="Y27">
        <v>0.57488146317784883</v>
      </c>
      <c r="Z27" t="str">
        <f>HYPERLINK("Melting_Curves/meltCurve_sp_B7ZAP0_RBG10_HUMAN_.pdf", "Melting_Curves/meltCurve_sp_B7ZAP0_RBG10_HUMAN_.pdf")</f>
        <v>Melting_Curves/meltCurve_sp_B7ZAP0_RBG10_HUMAN_.pdf</v>
      </c>
      <c r="AA27" t="s">
        <v>11517</v>
      </c>
      <c r="AB27" t="s">
        <v>15268</v>
      </c>
    </row>
    <row r="28" spans="1:28" x14ac:dyDescent="0.25">
      <c r="A28" t="s">
        <v>32</v>
      </c>
      <c r="B28">
        <v>0.98876768158843997</v>
      </c>
      <c r="C28">
        <v>1.09500255836678</v>
      </c>
      <c r="D28">
        <v>0.82351356307479195</v>
      </c>
      <c r="E28">
        <v>0.54529932252741597</v>
      </c>
      <c r="F28">
        <v>0.465717887874743</v>
      </c>
      <c r="G28">
        <v>0.341692045547208</v>
      </c>
      <c r="H28">
        <v>0.20789603812373</v>
      </c>
      <c r="I28">
        <v>0.248317828664778</v>
      </c>
      <c r="J28">
        <v>0.34478628915487203</v>
      </c>
      <c r="K28">
        <v>0.34385415100718297</v>
      </c>
      <c r="L28">
        <v>1072.8694257800701</v>
      </c>
      <c r="M28">
        <v>21.896969844416201</v>
      </c>
      <c r="N28">
        <v>51.0655388634529</v>
      </c>
      <c r="O28">
        <v>48.593104092261598</v>
      </c>
      <c r="P28">
        <v>-7.9522550070717998E-2</v>
      </c>
      <c r="Q28">
        <v>0.29411984229277199</v>
      </c>
      <c r="R28">
        <v>0.95813228329785405</v>
      </c>
      <c r="S28" t="s">
        <v>3860</v>
      </c>
      <c r="T28" t="s">
        <v>7662</v>
      </c>
      <c r="U28" t="s">
        <v>7662</v>
      </c>
      <c r="V28" t="s">
        <v>7662</v>
      </c>
      <c r="W28">
        <v>2</v>
      </c>
      <c r="X28" t="s">
        <v>7690</v>
      </c>
      <c r="Y28">
        <v>0.51401210912849715</v>
      </c>
      <c r="Z28" t="str">
        <f>HYPERLINK("Melting_Curves/meltCurve_sp_B7ZBB8_PP13G_HUMAN_.pdf", "Melting_Curves/meltCurve_sp_B7ZBB8_PP13G_HUMAN_.pdf")</f>
        <v>Melting_Curves/meltCurve_sp_B7ZBB8_PP13G_HUMAN_.pdf</v>
      </c>
      <c r="AA28" t="s">
        <v>11518</v>
      </c>
      <c r="AB28" t="s">
        <v>15269</v>
      </c>
    </row>
    <row r="29" spans="1:28" x14ac:dyDescent="0.25">
      <c r="A29" t="s">
        <v>33</v>
      </c>
      <c r="B29">
        <v>0.98876768158843997</v>
      </c>
      <c r="C29">
        <v>1.0342378138939301</v>
      </c>
      <c r="D29">
        <v>0.95964732926872598</v>
      </c>
      <c r="E29">
        <v>0.65636417038153905</v>
      </c>
      <c r="F29">
        <v>0.74951532187835801</v>
      </c>
      <c r="G29">
        <v>0.521196680588209</v>
      </c>
      <c r="H29">
        <v>0.39435941436682598</v>
      </c>
      <c r="I29">
        <v>0.42973839001623698</v>
      </c>
      <c r="J29">
        <v>0.45549013427236901</v>
      </c>
      <c r="K29">
        <v>0.40511592970204002</v>
      </c>
      <c r="L29">
        <v>779.465764220202</v>
      </c>
      <c r="M29">
        <v>15.064197962739399</v>
      </c>
      <c r="N29">
        <v>57.899064463597398</v>
      </c>
      <c r="O29">
        <v>50.856800559328001</v>
      </c>
      <c r="P29">
        <v>-4.4493129229799901E-2</v>
      </c>
      <c r="Q29">
        <v>0.39922367701127598</v>
      </c>
      <c r="R29">
        <v>0.94069798412612604</v>
      </c>
      <c r="S29" t="s">
        <v>3861</v>
      </c>
      <c r="T29" t="s">
        <v>7662</v>
      </c>
      <c r="U29" t="s">
        <v>7662</v>
      </c>
      <c r="V29" t="s">
        <v>7662</v>
      </c>
      <c r="W29">
        <v>8</v>
      </c>
      <c r="X29" t="s">
        <v>7691</v>
      </c>
      <c r="Y29">
        <v>0.64784615630241693</v>
      </c>
      <c r="Z29" t="str">
        <f>HYPERLINK("Melting_Curves/meltCurve_sp_C4AMC7_WASH3_HUMAN_.pdf", "Melting_Curves/meltCurve_sp_C4AMC7_WASH3_HUMAN_.pdf")</f>
        <v>Melting_Curves/meltCurve_sp_C4AMC7_WASH3_HUMAN_.pdf</v>
      </c>
      <c r="AA29" t="s">
        <v>11519</v>
      </c>
      <c r="AB29" t="s">
        <v>15270</v>
      </c>
    </row>
    <row r="30" spans="1:28" x14ac:dyDescent="0.25">
      <c r="A30" t="s">
        <v>34</v>
      </c>
      <c r="B30">
        <v>0.98876768158843997</v>
      </c>
      <c r="C30">
        <v>0.98233545777409703</v>
      </c>
      <c r="D30">
        <v>0.88572941978641695</v>
      </c>
      <c r="E30">
        <v>0.67926427442908499</v>
      </c>
      <c r="F30">
        <v>0.72746039056676504</v>
      </c>
      <c r="G30">
        <v>0.52976982496825697</v>
      </c>
      <c r="H30">
        <v>0.46838269014487</v>
      </c>
      <c r="I30">
        <v>0.35837110052853899</v>
      </c>
      <c r="J30">
        <v>0.94915927086336505</v>
      </c>
      <c r="K30">
        <v>0.52674596962702303</v>
      </c>
      <c r="L30">
        <v>1005.24515022204</v>
      </c>
      <c r="M30">
        <v>20.826263173825701</v>
      </c>
      <c r="O30">
        <v>47.829729518825701</v>
      </c>
      <c r="P30">
        <v>-4.6370906626716599E-2</v>
      </c>
      <c r="Q30">
        <v>0.57402892764192603</v>
      </c>
      <c r="R30">
        <v>0.55790442851923805</v>
      </c>
      <c r="S30" t="s">
        <v>3862</v>
      </c>
      <c r="T30" t="s">
        <v>7662</v>
      </c>
      <c r="U30" t="s">
        <v>7662</v>
      </c>
      <c r="V30" t="s">
        <v>7662</v>
      </c>
      <c r="W30">
        <v>2</v>
      </c>
      <c r="X30" t="s">
        <v>7692</v>
      </c>
      <c r="Y30">
        <v>0.69696093200896525</v>
      </c>
      <c r="Z30" t="str">
        <f>HYPERLINK("Melting_Curves/meltCurve_sp_F8WCM5_INSR2_HUMAN_.pdf", "Melting_Curves/meltCurve_sp_F8WCM5_INSR2_HUMAN_.pdf")</f>
        <v>Melting_Curves/meltCurve_sp_F8WCM5_INSR2_HUMAN_.pdf</v>
      </c>
      <c r="AA30" t="s">
        <v>11520</v>
      </c>
      <c r="AB30" t="s">
        <v>15271</v>
      </c>
    </row>
    <row r="31" spans="1:28" x14ac:dyDescent="0.25">
      <c r="A31" t="s">
        <v>35</v>
      </c>
      <c r="B31">
        <v>0.98876768158843997</v>
      </c>
      <c r="C31">
        <v>1.0344775841999601</v>
      </c>
      <c r="D31">
        <v>0.81873271864810304</v>
      </c>
      <c r="E31">
        <v>0.64338769202263402</v>
      </c>
      <c r="F31">
        <v>0.70476213627578699</v>
      </c>
      <c r="G31">
        <v>0.41617773695312898</v>
      </c>
      <c r="H31">
        <v>0.35113264773129199</v>
      </c>
      <c r="I31">
        <v>0.27747578953693802</v>
      </c>
      <c r="J31">
        <v>1.3547932463380301</v>
      </c>
      <c r="K31">
        <v>0.296241843925722</v>
      </c>
      <c r="L31">
        <v>1185.2415264882</v>
      </c>
      <c r="M31">
        <v>25.062012495406499</v>
      </c>
      <c r="O31">
        <v>46.994345871420201</v>
      </c>
      <c r="P31">
        <v>-5.8924612939352902E-2</v>
      </c>
      <c r="Q31">
        <v>0.55804249108223203</v>
      </c>
      <c r="R31">
        <v>0.26747781828445499</v>
      </c>
      <c r="S31" t="s">
        <v>3863</v>
      </c>
      <c r="T31" t="s">
        <v>7662</v>
      </c>
      <c r="U31" t="s">
        <v>7662</v>
      </c>
      <c r="V31" t="s">
        <v>7662</v>
      </c>
      <c r="W31">
        <v>1</v>
      </c>
      <c r="X31" t="s">
        <v>7693</v>
      </c>
      <c r="Y31">
        <v>0.66937863592035407</v>
      </c>
      <c r="Z31" t="str">
        <f>HYPERLINK("Melting_Curves/meltCurve_sp_O00124_2_UBXN8_HUMAN_.pdf", "Melting_Curves/meltCurve_sp_O00124_2_UBXN8_HUMAN_.pdf")</f>
        <v>Melting_Curves/meltCurve_sp_O00124_2_UBXN8_HUMAN_.pdf</v>
      </c>
      <c r="AA31" t="s">
        <v>11521</v>
      </c>
      <c r="AB31" t="s">
        <v>15272</v>
      </c>
    </row>
    <row r="32" spans="1:28" x14ac:dyDescent="0.25">
      <c r="A32" t="s">
        <v>36</v>
      </c>
      <c r="B32">
        <v>0.98876768158843997</v>
      </c>
      <c r="C32">
        <v>0.95189286250764304</v>
      </c>
      <c r="D32">
        <v>0.87848635380845896</v>
      </c>
      <c r="E32">
        <v>0.74656335130560803</v>
      </c>
      <c r="F32">
        <v>0.59390470381335703</v>
      </c>
      <c r="G32">
        <v>0.32720527446752701</v>
      </c>
      <c r="H32">
        <v>0.16668768837817899</v>
      </c>
      <c r="I32">
        <v>0.106659018494473</v>
      </c>
      <c r="J32">
        <v>7.3554172472522397E-2</v>
      </c>
      <c r="K32">
        <v>5.65814329505046E-2</v>
      </c>
      <c r="L32">
        <v>711.10748567004805</v>
      </c>
      <c r="M32">
        <v>13.156729593734299</v>
      </c>
      <c r="N32">
        <v>54.048955410027503</v>
      </c>
      <c r="O32">
        <v>52.846043025355399</v>
      </c>
      <c r="P32">
        <v>-6.2251330531262701E-2</v>
      </c>
      <c r="Q32">
        <v>0</v>
      </c>
      <c r="R32">
        <v>0.99809057438295601</v>
      </c>
      <c r="S32" t="s">
        <v>3864</v>
      </c>
      <c r="T32" t="s">
        <v>7662</v>
      </c>
      <c r="U32" t="s">
        <v>7662</v>
      </c>
      <c r="V32" t="s">
        <v>7662</v>
      </c>
      <c r="W32">
        <v>9</v>
      </c>
      <c r="X32" t="s">
        <v>7694</v>
      </c>
      <c r="Y32">
        <v>0.49205502874712348</v>
      </c>
      <c r="Z32" t="str">
        <f>HYPERLINK("Melting_Curves/meltCurve_sp_O00142_KITM_HUMAN_.pdf", "Melting_Curves/meltCurve_sp_O00142_KITM_HUMAN_.pdf")</f>
        <v>Melting_Curves/meltCurve_sp_O00142_KITM_HUMAN_.pdf</v>
      </c>
      <c r="AA32" t="s">
        <v>11522</v>
      </c>
      <c r="AB32" t="s">
        <v>15273</v>
      </c>
    </row>
    <row r="33" spans="1:28" x14ac:dyDescent="0.25">
      <c r="A33" t="s">
        <v>37</v>
      </c>
      <c r="B33">
        <v>0.98876768158843997</v>
      </c>
      <c r="C33">
        <v>1.09708558568438</v>
      </c>
      <c r="D33">
        <v>0.89207876627987903</v>
      </c>
      <c r="E33">
        <v>0.73946669584994296</v>
      </c>
      <c r="F33">
        <v>0.87454161000625996</v>
      </c>
      <c r="G33">
        <v>0.64334484840201001</v>
      </c>
      <c r="H33">
        <v>0.50234633031610998</v>
      </c>
      <c r="I33">
        <v>0.61496893931589502</v>
      </c>
      <c r="J33">
        <v>0.770986236949052</v>
      </c>
      <c r="K33">
        <v>0.91234575306940002</v>
      </c>
      <c r="L33">
        <v>1287.7703154230601</v>
      </c>
      <c r="M33">
        <v>26.991370153124102</v>
      </c>
      <c r="O33">
        <v>47.450881045484003</v>
      </c>
      <c r="P33">
        <v>-4.1310565950353498E-2</v>
      </c>
      <c r="Q33">
        <v>0.70950675783790595</v>
      </c>
      <c r="R33">
        <v>0.54365341627983099</v>
      </c>
      <c r="S33" t="s">
        <v>3865</v>
      </c>
      <c r="T33" t="s">
        <v>7662</v>
      </c>
      <c r="U33" t="s">
        <v>7662</v>
      </c>
      <c r="V33" t="s">
        <v>7662</v>
      </c>
      <c r="W33">
        <v>18</v>
      </c>
      <c r="X33" t="s">
        <v>7695</v>
      </c>
      <c r="Y33">
        <v>0.78634997529078499</v>
      </c>
      <c r="Z33" t="str">
        <f>HYPERLINK("Melting_Curves/meltCurve_sp_O00151_PDLI1_HUMAN_.pdf", "Melting_Curves/meltCurve_sp_O00151_PDLI1_HUMAN_.pdf")</f>
        <v>Melting_Curves/meltCurve_sp_O00151_PDLI1_HUMAN_.pdf</v>
      </c>
      <c r="AA33" t="s">
        <v>11523</v>
      </c>
      <c r="AB33" t="s">
        <v>15274</v>
      </c>
    </row>
    <row r="34" spans="1:28" x14ac:dyDescent="0.25">
      <c r="A34" t="s">
        <v>38</v>
      </c>
      <c r="B34">
        <v>0.98876768158843997</v>
      </c>
      <c r="C34">
        <v>0.878021521021772</v>
      </c>
      <c r="D34">
        <v>0.73668637776217005</v>
      </c>
      <c r="E34">
        <v>0.58543388301681099</v>
      </c>
      <c r="F34">
        <v>0.50100205324108205</v>
      </c>
      <c r="G34">
        <v>0.37101771420615598</v>
      </c>
      <c r="H34">
        <v>0.26037114864039501</v>
      </c>
      <c r="I34">
        <v>0.14301821758075001</v>
      </c>
      <c r="J34">
        <v>9.89584086462304E-2</v>
      </c>
      <c r="K34">
        <v>9.6022567208035606E-2</v>
      </c>
      <c r="L34">
        <v>458.39585878426999</v>
      </c>
      <c r="M34">
        <v>8.7239529971957701</v>
      </c>
      <c r="N34">
        <v>52.544510858038997</v>
      </c>
      <c r="O34">
        <v>50.002759185022398</v>
      </c>
      <c r="P34">
        <v>-4.3652977970132303E-2</v>
      </c>
      <c r="Q34">
        <v>0</v>
      </c>
      <c r="R34">
        <v>0.99042707891566995</v>
      </c>
      <c r="S34" t="s">
        <v>3866</v>
      </c>
      <c r="T34" t="s">
        <v>7662</v>
      </c>
      <c r="U34" t="s">
        <v>7662</v>
      </c>
      <c r="V34" t="s">
        <v>7662</v>
      </c>
      <c r="W34">
        <v>8</v>
      </c>
      <c r="X34" t="s">
        <v>7696</v>
      </c>
      <c r="Y34">
        <v>0.45887571698063262</v>
      </c>
      <c r="Z34" t="str">
        <f>HYPERLINK("Melting_Curves/meltCurve_sp_O00154_4_BACH_HUMAN_.pdf", "Melting_Curves/meltCurve_sp_O00154_4_BACH_HUMAN_.pdf")</f>
        <v>Melting_Curves/meltCurve_sp_O00154_4_BACH_HUMAN_.pdf</v>
      </c>
      <c r="AA34" t="s">
        <v>11524</v>
      </c>
      <c r="AB34" t="s">
        <v>15275</v>
      </c>
    </row>
    <row r="35" spans="1:28" x14ac:dyDescent="0.25">
      <c r="A35" t="s">
        <v>39</v>
      </c>
      <c r="B35">
        <v>0.98876768158843997</v>
      </c>
      <c r="C35">
        <v>1.0465738238426401</v>
      </c>
      <c r="D35">
        <v>1.03533500789018</v>
      </c>
      <c r="E35">
        <v>0.72038485206792202</v>
      </c>
      <c r="F35">
        <v>0.69196745159559403</v>
      </c>
      <c r="G35">
        <v>0.45070147151422901</v>
      </c>
      <c r="H35">
        <v>0.34844040960203099</v>
      </c>
      <c r="I35">
        <v>0.38760182298082901</v>
      </c>
      <c r="J35">
        <v>0.46004549541633299</v>
      </c>
      <c r="K35">
        <v>0.53613657331580999</v>
      </c>
      <c r="L35">
        <v>1237.9239084447299</v>
      </c>
      <c r="M35">
        <v>24.146794881613001</v>
      </c>
      <c r="N35">
        <v>55.851627194198301</v>
      </c>
      <c r="O35">
        <v>50.918859704095702</v>
      </c>
      <c r="P35">
        <v>-6.7444404411950307E-2</v>
      </c>
      <c r="Q35">
        <v>0.43112298250530801</v>
      </c>
      <c r="R35">
        <v>0.93414203863205503</v>
      </c>
      <c r="S35" t="s">
        <v>3867</v>
      </c>
      <c r="T35" t="s">
        <v>7662</v>
      </c>
      <c r="U35" t="s">
        <v>7662</v>
      </c>
      <c r="V35" t="s">
        <v>7662</v>
      </c>
      <c r="W35">
        <v>2</v>
      </c>
      <c r="X35" t="s">
        <v>7697</v>
      </c>
      <c r="Y35">
        <v>0.65028175373026886</v>
      </c>
      <c r="Z35" t="str">
        <f>HYPERLINK("Melting_Curves/meltCurve_sp_O00161_2_SNP23_HUMAN_.pdf", "Melting_Curves/meltCurve_sp_O00161_2_SNP23_HUMAN_.pdf")</f>
        <v>Melting_Curves/meltCurve_sp_O00161_2_SNP23_HUMAN_.pdf</v>
      </c>
      <c r="AA35" t="s">
        <v>11525</v>
      </c>
      <c r="AB35" t="s">
        <v>15276</v>
      </c>
    </row>
    <row r="36" spans="1:28" x14ac:dyDescent="0.25">
      <c r="A36" t="s">
        <v>40</v>
      </c>
      <c r="B36">
        <v>0.98876768158843997</v>
      </c>
      <c r="C36">
        <v>1.0560645325870399</v>
      </c>
      <c r="D36">
        <v>0.87526275247375096</v>
      </c>
      <c r="E36">
        <v>0.68891310219393798</v>
      </c>
      <c r="F36">
        <v>0.45932372693045098</v>
      </c>
      <c r="G36">
        <v>0.15029700543826599</v>
      </c>
      <c r="H36">
        <v>8.0370782480069097E-2</v>
      </c>
      <c r="I36">
        <v>7.4215427669770906E-2</v>
      </c>
      <c r="J36">
        <v>8.90035353546062E-2</v>
      </c>
      <c r="K36">
        <v>7.8747389250512695E-2</v>
      </c>
      <c r="L36">
        <v>1040.83187849451</v>
      </c>
      <c r="M36">
        <v>20.0937510788543</v>
      </c>
      <c r="N36">
        <v>52.116639660273101</v>
      </c>
      <c r="O36">
        <v>51.293933894236297</v>
      </c>
      <c r="P36">
        <v>-9.2289514642191497E-2</v>
      </c>
      <c r="Q36">
        <v>5.7669027251150598E-2</v>
      </c>
      <c r="R36">
        <v>0.99219004057710403</v>
      </c>
      <c r="S36" t="s">
        <v>3868</v>
      </c>
      <c r="T36" t="s">
        <v>7662</v>
      </c>
      <c r="U36" t="s">
        <v>7662</v>
      </c>
      <c r="V36" t="s">
        <v>7662</v>
      </c>
      <c r="W36">
        <v>11</v>
      </c>
      <c r="X36" t="s">
        <v>7698</v>
      </c>
      <c r="Y36">
        <v>0.44122189983795151</v>
      </c>
      <c r="Z36" t="str">
        <f>HYPERLINK("Melting_Curves/meltCurve_sp_O00170_AIP_HUMAN_.pdf", "Melting_Curves/meltCurve_sp_O00170_AIP_HUMAN_.pdf")</f>
        <v>Melting_Curves/meltCurve_sp_O00170_AIP_HUMAN_.pdf</v>
      </c>
      <c r="AA36" t="s">
        <v>11526</v>
      </c>
      <c r="AB36" t="s">
        <v>15277</v>
      </c>
    </row>
    <row r="37" spans="1:28" x14ac:dyDescent="0.25">
      <c r="A37" t="s">
        <v>41</v>
      </c>
      <c r="B37">
        <v>0.98876768158843997</v>
      </c>
      <c r="C37">
        <v>0.83285398543561096</v>
      </c>
      <c r="D37">
        <v>0.84867079404672496</v>
      </c>
      <c r="E37">
        <v>0.463167380425555</v>
      </c>
      <c r="F37">
        <v>0.14411288533764399</v>
      </c>
      <c r="G37">
        <v>7.3213738826993405E-2</v>
      </c>
      <c r="H37">
        <v>4.6646757346893497E-2</v>
      </c>
      <c r="I37">
        <v>3.8562775998332403E-2</v>
      </c>
      <c r="J37">
        <v>6.3410422150718695E-2</v>
      </c>
      <c r="K37">
        <v>4.2458827680068097E-2</v>
      </c>
      <c r="L37">
        <v>1062.86973301235</v>
      </c>
      <c r="M37">
        <v>21.633661234246102</v>
      </c>
      <c r="N37">
        <v>49.290078994342402</v>
      </c>
      <c r="O37">
        <v>48.716345905343601</v>
      </c>
      <c r="P37">
        <v>-0.107263206779038</v>
      </c>
      <c r="Q37">
        <v>3.3848767657342002E-2</v>
      </c>
      <c r="R37">
        <v>0.98404277471102897</v>
      </c>
      <c r="S37" t="s">
        <v>3869</v>
      </c>
      <c r="T37" t="s">
        <v>7662</v>
      </c>
      <c r="U37" t="s">
        <v>7662</v>
      </c>
      <c r="V37" t="s">
        <v>7662</v>
      </c>
      <c r="W37">
        <v>12</v>
      </c>
      <c r="X37" t="s">
        <v>7699</v>
      </c>
      <c r="Y37">
        <v>0.33941719975594459</v>
      </c>
      <c r="Z37" t="str">
        <f>HYPERLINK("Melting_Curves/meltCurve_sp_O00231_PSD11_HUMAN_.pdf", "Melting_Curves/meltCurve_sp_O00231_PSD11_HUMAN_.pdf")</f>
        <v>Melting_Curves/meltCurve_sp_O00231_PSD11_HUMAN_.pdf</v>
      </c>
      <c r="AA37" t="s">
        <v>11527</v>
      </c>
      <c r="AB37" t="s">
        <v>15278</v>
      </c>
    </row>
    <row r="38" spans="1:28" x14ac:dyDescent="0.25">
      <c r="A38" t="s">
        <v>42</v>
      </c>
      <c r="B38">
        <v>0.98876768158843997</v>
      </c>
      <c r="C38">
        <v>0.848950709030173</v>
      </c>
      <c r="D38">
        <v>0.85168882738935303</v>
      </c>
      <c r="E38">
        <v>0.52403546430233106</v>
      </c>
      <c r="F38">
        <v>0.217112227920398</v>
      </c>
      <c r="G38">
        <v>0.134772742259189</v>
      </c>
      <c r="H38">
        <v>8.7775810722585196E-2</v>
      </c>
      <c r="I38">
        <v>9.6246450349829399E-2</v>
      </c>
      <c r="J38">
        <v>8.8177545605380298E-2</v>
      </c>
      <c r="K38">
        <v>8.5091970050566804E-2</v>
      </c>
      <c r="L38">
        <v>974.40906446500105</v>
      </c>
      <c r="M38">
        <v>19.713569238862501</v>
      </c>
      <c r="N38">
        <v>49.833757098921801</v>
      </c>
      <c r="O38">
        <v>48.928165362689299</v>
      </c>
      <c r="P38">
        <v>-9.3267644612021305E-2</v>
      </c>
      <c r="Q38">
        <v>7.4088304184768597E-2</v>
      </c>
      <c r="R38">
        <v>0.98682554098976005</v>
      </c>
      <c r="S38" t="s">
        <v>3870</v>
      </c>
      <c r="T38" t="s">
        <v>7662</v>
      </c>
      <c r="U38" t="s">
        <v>7662</v>
      </c>
      <c r="V38" t="s">
        <v>7662</v>
      </c>
      <c r="W38">
        <v>8</v>
      </c>
      <c r="X38" t="s">
        <v>7700</v>
      </c>
      <c r="Y38">
        <v>0.37838615722326419</v>
      </c>
      <c r="Z38" t="str">
        <f>HYPERLINK("Melting_Curves/meltCurve_sp_O00232_PSD12_HUMAN_.pdf", "Melting_Curves/meltCurve_sp_O00232_PSD12_HUMAN_.pdf")</f>
        <v>Melting_Curves/meltCurve_sp_O00232_PSD12_HUMAN_.pdf</v>
      </c>
      <c r="AA38" t="s">
        <v>11528</v>
      </c>
      <c r="AB38" t="s">
        <v>15279</v>
      </c>
    </row>
    <row r="39" spans="1:28" x14ac:dyDescent="0.25">
      <c r="A39" t="s">
        <v>43</v>
      </c>
      <c r="B39">
        <v>0.98876768158843997</v>
      </c>
      <c r="C39">
        <v>1.0736496043298001</v>
      </c>
      <c r="D39">
        <v>0.87749651654481797</v>
      </c>
      <c r="E39">
        <v>0.75700977231191802</v>
      </c>
      <c r="F39">
        <v>0.79702295005217605</v>
      </c>
      <c r="G39">
        <v>0.58872096971592403</v>
      </c>
      <c r="H39">
        <v>0.42033691833759101</v>
      </c>
      <c r="I39">
        <v>0.472385793716255</v>
      </c>
      <c r="J39">
        <v>0.54030298538815602</v>
      </c>
      <c r="K39">
        <v>0.57479821913055995</v>
      </c>
      <c r="L39">
        <v>813.02482843172197</v>
      </c>
      <c r="M39">
        <v>15.7277847041989</v>
      </c>
      <c r="N39">
        <v>69.793861433920199</v>
      </c>
      <c r="O39">
        <v>50.879480124792899</v>
      </c>
      <c r="P39">
        <v>-3.9297162272820103E-2</v>
      </c>
      <c r="Q39">
        <v>0.49153645530872803</v>
      </c>
      <c r="R39">
        <v>0.89604389123943795</v>
      </c>
      <c r="S39" t="s">
        <v>3871</v>
      </c>
      <c r="T39" t="s">
        <v>7662</v>
      </c>
      <c r="U39" t="s">
        <v>7662</v>
      </c>
      <c r="V39" t="s">
        <v>7662</v>
      </c>
      <c r="W39">
        <v>6</v>
      </c>
      <c r="X39" t="s">
        <v>7701</v>
      </c>
      <c r="Y39">
        <v>0.7003807183003149</v>
      </c>
      <c r="Z39" t="str">
        <f>HYPERLINK("Melting_Curves/meltCurve_sp_O00244_ATOX1_HUMAN_.pdf", "Melting_Curves/meltCurve_sp_O00244_ATOX1_HUMAN_.pdf")</f>
        <v>Melting_Curves/meltCurve_sp_O00244_ATOX1_HUMAN_.pdf</v>
      </c>
      <c r="AA39" t="s">
        <v>11529</v>
      </c>
      <c r="AB39" t="s">
        <v>15280</v>
      </c>
    </row>
    <row r="40" spans="1:28" x14ac:dyDescent="0.25">
      <c r="A40" t="s">
        <v>44</v>
      </c>
      <c r="B40">
        <v>0.98876768158843997</v>
      </c>
      <c r="C40">
        <v>1.0106160023967801</v>
      </c>
      <c r="D40">
        <v>0.89596004771705895</v>
      </c>
      <c r="E40">
        <v>0.73663810177803701</v>
      </c>
      <c r="F40">
        <v>0.53337219264365598</v>
      </c>
      <c r="G40">
        <v>0.342004732482179</v>
      </c>
      <c r="H40">
        <v>0.25091906013640602</v>
      </c>
      <c r="I40">
        <v>0.26838067393039999</v>
      </c>
      <c r="J40">
        <v>0.30439664447029202</v>
      </c>
      <c r="K40">
        <v>0.32199041340828199</v>
      </c>
      <c r="L40">
        <v>1059.7769292308799</v>
      </c>
      <c r="M40">
        <v>20.6888102933193</v>
      </c>
      <c r="N40">
        <v>53.286866874664703</v>
      </c>
      <c r="O40">
        <v>50.753258581567003</v>
      </c>
      <c r="P40">
        <v>-7.3836530679124296E-2</v>
      </c>
      <c r="Q40">
        <v>0.27548503213254799</v>
      </c>
      <c r="R40">
        <v>0.99078826784091001</v>
      </c>
      <c r="S40" t="s">
        <v>3872</v>
      </c>
      <c r="T40" t="s">
        <v>7662</v>
      </c>
      <c r="U40" t="s">
        <v>7662</v>
      </c>
      <c r="V40" t="s">
        <v>7662</v>
      </c>
      <c r="W40">
        <v>12</v>
      </c>
      <c r="X40" t="s">
        <v>7702</v>
      </c>
      <c r="Y40">
        <v>0.55600255325638126</v>
      </c>
      <c r="Z40" t="str">
        <f>HYPERLINK("Melting_Curves/meltCurve_sp_O00267_2_SPT5H_HUMAN_.pdf", "Melting_Curves/meltCurve_sp_O00267_2_SPT5H_HUMAN_.pdf")</f>
        <v>Melting_Curves/meltCurve_sp_O00267_2_SPT5H_HUMAN_.pdf</v>
      </c>
      <c r="AA40" t="s">
        <v>11530</v>
      </c>
      <c r="AB40" t="s">
        <v>15281</v>
      </c>
    </row>
    <row r="41" spans="1:28" x14ac:dyDescent="0.25">
      <c r="A41" t="s">
        <v>45</v>
      </c>
      <c r="B41">
        <v>0.98876768158843997</v>
      </c>
      <c r="C41">
        <v>1.0689111916204499</v>
      </c>
      <c r="D41">
        <v>0.91068078496175298</v>
      </c>
      <c r="E41">
        <v>0.78635084185134396</v>
      </c>
      <c r="F41">
        <v>0.86910410091391399</v>
      </c>
      <c r="G41">
        <v>0.583580496343587</v>
      </c>
      <c r="H41">
        <v>0.45253543540232699</v>
      </c>
      <c r="I41">
        <v>0.48440099513513102</v>
      </c>
      <c r="J41">
        <v>0.64418737780906599</v>
      </c>
      <c r="K41">
        <v>0.64363211045416302</v>
      </c>
      <c r="L41">
        <v>984.57810162205601</v>
      </c>
      <c r="M41">
        <v>18.881050744629398</v>
      </c>
      <c r="O41">
        <v>51.571970933528</v>
      </c>
      <c r="P41">
        <v>-4.1286193945441203E-2</v>
      </c>
      <c r="Q41">
        <v>0.54893963909804899</v>
      </c>
      <c r="R41">
        <v>0.827899013688284</v>
      </c>
      <c r="S41" t="s">
        <v>3873</v>
      </c>
      <c r="T41" t="s">
        <v>7662</v>
      </c>
      <c r="U41" t="s">
        <v>7662</v>
      </c>
      <c r="V41" t="s">
        <v>7662</v>
      </c>
      <c r="W41">
        <v>12</v>
      </c>
      <c r="X41" t="s">
        <v>7703</v>
      </c>
      <c r="Y41">
        <v>0.73846648022232741</v>
      </c>
      <c r="Z41" t="str">
        <f>HYPERLINK("Melting_Curves/meltCurve_sp_O00273_DFFA_HUMAN_.pdf", "Melting_Curves/meltCurve_sp_O00273_DFFA_HUMAN_.pdf")</f>
        <v>Melting_Curves/meltCurve_sp_O00273_DFFA_HUMAN_.pdf</v>
      </c>
      <c r="AA41" t="s">
        <v>11531</v>
      </c>
      <c r="AB41" t="s">
        <v>15282</v>
      </c>
    </row>
    <row r="42" spans="1:28" x14ac:dyDescent="0.25">
      <c r="A42" t="s">
        <v>46</v>
      </c>
      <c r="B42">
        <v>0.98876768158843997</v>
      </c>
      <c r="C42">
        <v>1.06800712585683</v>
      </c>
      <c r="D42">
        <v>0.77361346853846302</v>
      </c>
      <c r="E42">
        <v>0.66424259601505198</v>
      </c>
      <c r="F42">
        <v>0.58638837176135294</v>
      </c>
      <c r="G42">
        <v>0.10448716247843701</v>
      </c>
      <c r="H42">
        <v>4.5217890107299603E-2</v>
      </c>
      <c r="I42">
        <v>2.9453516275308001E-2</v>
      </c>
      <c r="J42">
        <v>3.58663448315647E-2</v>
      </c>
      <c r="K42">
        <v>2.7869422100074599E-2</v>
      </c>
      <c r="L42">
        <v>881.85059530906506</v>
      </c>
      <c r="M42">
        <v>16.8381710035626</v>
      </c>
      <c r="N42">
        <v>52.3721136053097</v>
      </c>
      <c r="O42">
        <v>51.650155420540003</v>
      </c>
      <c r="P42">
        <v>-8.1506296319013197E-2</v>
      </c>
      <c r="Q42">
        <v>0</v>
      </c>
      <c r="R42">
        <v>0.96453028836711097</v>
      </c>
      <c r="S42" t="s">
        <v>3874</v>
      </c>
      <c r="T42" t="s">
        <v>7662</v>
      </c>
      <c r="U42" t="s">
        <v>7662</v>
      </c>
      <c r="V42" t="s">
        <v>7662</v>
      </c>
      <c r="W42">
        <v>10</v>
      </c>
      <c r="X42" t="s">
        <v>7704</v>
      </c>
      <c r="Y42">
        <v>0.430862971119928</v>
      </c>
      <c r="Z42" t="str">
        <f>HYPERLINK("Melting_Curves/meltCurve_sp_O00299_CLIC1_HUMAN_.pdf", "Melting_Curves/meltCurve_sp_O00299_CLIC1_HUMAN_.pdf")</f>
        <v>Melting_Curves/meltCurve_sp_O00299_CLIC1_HUMAN_.pdf</v>
      </c>
      <c r="AA42" t="s">
        <v>11532</v>
      </c>
      <c r="AB42" t="s">
        <v>15283</v>
      </c>
    </row>
    <row r="43" spans="1:28" x14ac:dyDescent="0.25">
      <c r="A43" t="s">
        <v>47</v>
      </c>
      <c r="B43">
        <v>0.98876768158843997</v>
      </c>
      <c r="C43">
        <v>1.1840256309803201</v>
      </c>
      <c r="D43">
        <v>0.87763603505107701</v>
      </c>
      <c r="E43">
        <v>0.67597047343054595</v>
      </c>
      <c r="F43">
        <v>0.80906243107831299</v>
      </c>
      <c r="G43">
        <v>0.54537063044566403</v>
      </c>
      <c r="H43">
        <v>0.44046824193511402</v>
      </c>
      <c r="I43">
        <v>0.475324238968864</v>
      </c>
      <c r="J43">
        <v>0.83935551591103696</v>
      </c>
      <c r="K43">
        <v>0.75427239600247298</v>
      </c>
      <c r="L43">
        <v>11528.8472464767</v>
      </c>
      <c r="M43">
        <v>250</v>
      </c>
      <c r="O43">
        <v>46.112439156364097</v>
      </c>
      <c r="P43">
        <v>-0.476354294564865</v>
      </c>
      <c r="Q43">
        <v>0.64854627513114604</v>
      </c>
      <c r="R43">
        <v>0.60884686355519901</v>
      </c>
      <c r="S43" t="s">
        <v>3875</v>
      </c>
      <c r="T43" t="s">
        <v>7662</v>
      </c>
      <c r="U43" t="s">
        <v>7662</v>
      </c>
      <c r="V43" t="s">
        <v>7662</v>
      </c>
      <c r="W43">
        <v>7</v>
      </c>
      <c r="X43" t="s">
        <v>7705</v>
      </c>
      <c r="Y43">
        <v>0.72021726018081678</v>
      </c>
      <c r="Z43" t="str">
        <f>HYPERLINK("Melting_Curves/meltCurve_sp_O00401_WASL_HUMAN_.pdf", "Melting_Curves/meltCurve_sp_O00401_WASL_HUMAN_.pdf")</f>
        <v>Melting_Curves/meltCurve_sp_O00401_WASL_HUMAN_.pdf</v>
      </c>
      <c r="AA43" t="s">
        <v>11533</v>
      </c>
      <c r="AB43" t="s">
        <v>15284</v>
      </c>
    </row>
    <row r="44" spans="1:28" x14ac:dyDescent="0.25">
      <c r="A44" t="s">
        <v>48</v>
      </c>
      <c r="B44">
        <v>0.98876768158843997</v>
      </c>
      <c r="C44">
        <v>0.93685462987877299</v>
      </c>
      <c r="D44">
        <v>0.99401239531979502</v>
      </c>
      <c r="E44">
        <v>0.91391166437008597</v>
      </c>
      <c r="F44">
        <v>0.62202237272244698</v>
      </c>
      <c r="G44">
        <v>0.24583180349664399</v>
      </c>
      <c r="H44">
        <v>8.1481705263766593E-2</v>
      </c>
      <c r="I44">
        <v>5.1201296938355602E-2</v>
      </c>
      <c r="J44">
        <v>5.4131542903838897E-2</v>
      </c>
      <c r="K44">
        <v>4.68567522204245E-2</v>
      </c>
      <c r="L44">
        <v>1424.2145549812601</v>
      </c>
      <c r="M44">
        <v>26.382602015379199</v>
      </c>
      <c r="N44">
        <v>54.169580103563597</v>
      </c>
      <c r="O44">
        <v>53.675806272401701</v>
      </c>
      <c r="P44">
        <v>-0.117546356103796</v>
      </c>
      <c r="Q44">
        <v>4.3410963876619198E-2</v>
      </c>
      <c r="R44">
        <v>0.99718130700972296</v>
      </c>
      <c r="S44" t="s">
        <v>3876</v>
      </c>
      <c r="T44" t="s">
        <v>7662</v>
      </c>
      <c r="U44" t="s">
        <v>7662</v>
      </c>
      <c r="V44" t="s">
        <v>7662</v>
      </c>
      <c r="W44">
        <v>19</v>
      </c>
      <c r="X44" t="s">
        <v>7706</v>
      </c>
      <c r="Y44">
        <v>0.49729648938939292</v>
      </c>
      <c r="Z44" t="str">
        <f>HYPERLINK("Melting_Curves/meltCurve_sp_O00410_IPO5_HUMAN_.pdf", "Melting_Curves/meltCurve_sp_O00410_IPO5_HUMAN_.pdf")</f>
        <v>Melting_Curves/meltCurve_sp_O00410_IPO5_HUMAN_.pdf</v>
      </c>
      <c r="AA44" t="s">
        <v>11534</v>
      </c>
      <c r="AB44" t="s">
        <v>15285</v>
      </c>
    </row>
    <row r="45" spans="1:28" x14ac:dyDescent="0.25">
      <c r="A45" t="s">
        <v>49</v>
      </c>
      <c r="B45">
        <v>0.98876768158843997</v>
      </c>
      <c r="C45">
        <v>0.86798337614979104</v>
      </c>
      <c r="D45">
        <v>0.93436129114926203</v>
      </c>
      <c r="E45">
        <v>0.63032164760297005</v>
      </c>
      <c r="F45">
        <v>0.146845126095488</v>
      </c>
      <c r="G45">
        <v>9.6998698232102096E-2</v>
      </c>
      <c r="H45">
        <v>5.90798081620756E-2</v>
      </c>
      <c r="I45">
        <v>5.7719339201133799E-2</v>
      </c>
      <c r="J45">
        <v>6.2446007631163203E-2</v>
      </c>
      <c r="K45">
        <v>5.4753592846136998E-2</v>
      </c>
      <c r="L45">
        <v>2193.8429628148901</v>
      </c>
      <c r="M45">
        <v>43.490976317370901</v>
      </c>
      <c r="N45">
        <v>50.5982607306426</v>
      </c>
      <c r="O45">
        <v>50.337333836236198</v>
      </c>
      <c r="P45">
        <v>-0.20255681470103701</v>
      </c>
      <c r="Q45">
        <v>6.2228008530421403E-2</v>
      </c>
      <c r="R45">
        <v>0.985946678353251</v>
      </c>
      <c r="S45" t="s">
        <v>3877</v>
      </c>
      <c r="T45" t="s">
        <v>7662</v>
      </c>
      <c r="U45" t="s">
        <v>7662</v>
      </c>
      <c r="V45" t="s">
        <v>7662</v>
      </c>
      <c r="W45">
        <v>13</v>
      </c>
      <c r="X45" t="s">
        <v>7707</v>
      </c>
      <c r="Y45">
        <v>0.39144914740468079</v>
      </c>
      <c r="Z45" t="str">
        <f>HYPERLINK("Melting_Curves/meltCurve_sp_O00429_4_DNM1L_HUMAN_.pdf", "Melting_Curves/meltCurve_sp_O00429_4_DNM1L_HUMAN_.pdf")</f>
        <v>Melting_Curves/meltCurve_sp_O00429_4_DNM1L_HUMAN_.pdf</v>
      </c>
      <c r="AA45" t="s">
        <v>11535</v>
      </c>
      <c r="AB45" t="s">
        <v>15286</v>
      </c>
    </row>
    <row r="46" spans="1:28" x14ac:dyDescent="0.25">
      <c r="A46" t="s">
        <v>50</v>
      </c>
      <c r="B46">
        <v>0.98876768158843997</v>
      </c>
      <c r="C46">
        <v>0.84012534790354398</v>
      </c>
      <c r="D46">
        <v>0.61534196181008405</v>
      </c>
      <c r="E46">
        <v>0.29713670837554002</v>
      </c>
      <c r="F46">
        <v>0.190544273679285</v>
      </c>
      <c r="G46">
        <v>0.128338487216099</v>
      </c>
      <c r="H46">
        <v>0.10223791314274699</v>
      </c>
      <c r="I46">
        <v>8.8371526067655207E-2</v>
      </c>
      <c r="J46">
        <v>0.28203162845990998</v>
      </c>
      <c r="K46">
        <v>9.4867841553522195E-2</v>
      </c>
      <c r="L46">
        <v>957.43438989814899</v>
      </c>
      <c r="M46">
        <v>20.640797247323398</v>
      </c>
      <c r="N46">
        <v>47.095578538649001</v>
      </c>
      <c r="O46">
        <v>45.956724304000701</v>
      </c>
      <c r="P46">
        <v>-9.7273113406045095E-2</v>
      </c>
      <c r="Q46">
        <v>0.13371071366260201</v>
      </c>
      <c r="R46">
        <v>0.97129945279698504</v>
      </c>
      <c r="S46" t="s">
        <v>3878</v>
      </c>
      <c r="T46" t="s">
        <v>7662</v>
      </c>
      <c r="U46" t="s">
        <v>7662</v>
      </c>
      <c r="V46" t="s">
        <v>7662</v>
      </c>
      <c r="W46">
        <v>3</v>
      </c>
      <c r="X46" t="s">
        <v>7708</v>
      </c>
      <c r="Y46">
        <v>0.33026610788312272</v>
      </c>
      <c r="Z46" t="str">
        <f>HYPERLINK("Melting_Curves/meltCurve_sp_O00442_RTCA_HUMAN_.pdf", "Melting_Curves/meltCurve_sp_O00442_RTCA_HUMAN_.pdf")</f>
        <v>Melting_Curves/meltCurve_sp_O00442_RTCA_HUMAN_.pdf</v>
      </c>
      <c r="AA46" t="s">
        <v>11536</v>
      </c>
      <c r="AB46" t="s">
        <v>15287</v>
      </c>
    </row>
    <row r="47" spans="1:28" x14ac:dyDescent="0.25">
      <c r="A47" t="s">
        <v>51</v>
      </c>
      <c r="B47">
        <v>0.98876768158843997</v>
      </c>
      <c r="C47">
        <v>1.1995841639043701</v>
      </c>
      <c r="D47">
        <v>1.07125058955629</v>
      </c>
      <c r="E47">
        <v>0.90751339162922495</v>
      </c>
      <c r="F47">
        <v>0.42084057521377299</v>
      </c>
      <c r="G47">
        <v>6.5760912258074802E-2</v>
      </c>
      <c r="H47">
        <v>0.107812955141661</v>
      </c>
      <c r="I47">
        <v>0.117261138622217</v>
      </c>
      <c r="J47">
        <v>0.13044544398642099</v>
      </c>
      <c r="K47">
        <v>0.115758112292437</v>
      </c>
      <c r="L47">
        <v>2644.7822117903402</v>
      </c>
      <c r="M47">
        <v>50.550612460121201</v>
      </c>
      <c r="N47">
        <v>52.5659415330489</v>
      </c>
      <c r="O47">
        <v>52.237804528194097</v>
      </c>
      <c r="P47">
        <v>-0.216401151968835</v>
      </c>
      <c r="Q47">
        <v>0.1055054470589</v>
      </c>
      <c r="R47">
        <v>0.97539239385765297</v>
      </c>
      <c r="S47" t="s">
        <v>3879</v>
      </c>
      <c r="T47" t="s">
        <v>7662</v>
      </c>
      <c r="U47" t="s">
        <v>7662</v>
      </c>
      <c r="V47" t="s">
        <v>7662</v>
      </c>
      <c r="W47">
        <v>3</v>
      </c>
      <c r="X47" t="s">
        <v>7709</v>
      </c>
      <c r="Y47">
        <v>0.47484851738367118</v>
      </c>
      <c r="Z47" t="str">
        <f>HYPERLINK("Melting_Curves/meltCurve_sp_O00459_P85B_HUMAN_.pdf", "Melting_Curves/meltCurve_sp_O00459_P85B_HUMAN_.pdf")</f>
        <v>Melting_Curves/meltCurve_sp_O00459_P85B_HUMAN_.pdf</v>
      </c>
      <c r="AA47" t="s">
        <v>11537</v>
      </c>
      <c r="AB47" t="s">
        <v>15288</v>
      </c>
    </row>
    <row r="48" spans="1:28" x14ac:dyDescent="0.25">
      <c r="A48" t="s">
        <v>52</v>
      </c>
      <c r="B48">
        <v>0.98876768158843997</v>
      </c>
      <c r="C48">
        <v>0.91349630011649297</v>
      </c>
      <c r="D48">
        <v>0.90703900126185</v>
      </c>
      <c r="E48">
        <v>0.77817805878031299</v>
      </c>
      <c r="F48">
        <v>0.66357053023118495</v>
      </c>
      <c r="G48">
        <v>0.37181841063156401</v>
      </c>
      <c r="H48">
        <v>0.26038124900344101</v>
      </c>
      <c r="I48">
        <v>0.26825443929416698</v>
      </c>
      <c r="J48">
        <v>0.26085316941329101</v>
      </c>
      <c r="K48">
        <v>0.26993088318884001</v>
      </c>
      <c r="L48">
        <v>862.37957036541604</v>
      </c>
      <c r="M48">
        <v>16.302332845872801</v>
      </c>
      <c r="N48">
        <v>54.905441080775297</v>
      </c>
      <c r="O48">
        <v>52.122370817501199</v>
      </c>
      <c r="P48">
        <v>-6.0649645855873797E-2</v>
      </c>
      <c r="Q48">
        <v>0.224411868116103</v>
      </c>
      <c r="R48">
        <v>0.98448731763848796</v>
      </c>
      <c r="S48" t="s">
        <v>3880</v>
      </c>
      <c r="T48" t="s">
        <v>7662</v>
      </c>
      <c r="U48" t="s">
        <v>7662</v>
      </c>
      <c r="V48" t="s">
        <v>7662</v>
      </c>
      <c r="W48">
        <v>4</v>
      </c>
      <c r="X48" t="s">
        <v>7710</v>
      </c>
      <c r="Y48">
        <v>0.57274044827495296</v>
      </c>
      <c r="Z48" t="str">
        <f>HYPERLINK("Melting_Curves/meltCurve_sp_O00462_MANBA_HUMAN_.pdf", "Melting_Curves/meltCurve_sp_O00462_MANBA_HUMAN_.pdf")</f>
        <v>Melting_Curves/meltCurve_sp_O00462_MANBA_HUMAN_.pdf</v>
      </c>
      <c r="AA48" t="s">
        <v>11538</v>
      </c>
      <c r="AB48" t="s">
        <v>15289</v>
      </c>
    </row>
    <row r="49" spans="1:28" x14ac:dyDescent="0.25">
      <c r="A49" t="s">
        <v>53</v>
      </c>
      <c r="B49">
        <v>0.98876768158843997</v>
      </c>
      <c r="C49">
        <v>0.87870373039420901</v>
      </c>
      <c r="D49">
        <v>0.97521805842334797</v>
      </c>
      <c r="E49">
        <v>0.54013618565664301</v>
      </c>
      <c r="F49">
        <v>0.150577171713839</v>
      </c>
      <c r="G49">
        <v>7.9174938578449094E-2</v>
      </c>
      <c r="H49">
        <v>5.3811798875178202E-2</v>
      </c>
      <c r="I49">
        <v>3.3607328329340602E-2</v>
      </c>
      <c r="J49">
        <v>3.5410274109978102E-2</v>
      </c>
      <c r="K49">
        <v>4.08347058279055E-2</v>
      </c>
      <c r="L49">
        <v>1833.0970474390001</v>
      </c>
      <c r="M49">
        <v>36.593818216166703</v>
      </c>
      <c r="N49">
        <v>50.221852783073302</v>
      </c>
      <c r="O49">
        <v>49.944189668309001</v>
      </c>
      <c r="P49">
        <v>-0.17497169757801101</v>
      </c>
      <c r="Q49">
        <v>4.4779238092776799E-2</v>
      </c>
      <c r="R49">
        <v>0.99042400014675303</v>
      </c>
      <c r="S49" t="s">
        <v>3881</v>
      </c>
      <c r="T49" t="s">
        <v>7662</v>
      </c>
      <c r="U49" t="s">
        <v>7662</v>
      </c>
      <c r="V49" t="s">
        <v>7662</v>
      </c>
      <c r="W49">
        <v>6</v>
      </c>
      <c r="X49" t="s">
        <v>7711</v>
      </c>
      <c r="Y49">
        <v>0.3701096334185151</v>
      </c>
      <c r="Z49" t="str">
        <f>HYPERLINK("Melting_Curves/meltCurve_sp_O00471_EXOC5_HUMAN_.pdf", "Melting_Curves/meltCurve_sp_O00471_EXOC5_HUMAN_.pdf")</f>
        <v>Melting_Curves/meltCurve_sp_O00471_EXOC5_HUMAN_.pdf</v>
      </c>
      <c r="AA49" t="s">
        <v>11539</v>
      </c>
      <c r="AB49" t="s">
        <v>15290</v>
      </c>
    </row>
    <row r="50" spans="1:28" x14ac:dyDescent="0.25">
      <c r="A50" t="s">
        <v>54</v>
      </c>
      <c r="B50">
        <v>0.98876768158843997</v>
      </c>
      <c r="C50">
        <v>1.9519571349609699</v>
      </c>
      <c r="D50">
        <v>1.0531890773290999</v>
      </c>
      <c r="E50">
        <v>1.2203507275280401</v>
      </c>
      <c r="F50">
        <v>1.31143932804007</v>
      </c>
      <c r="G50">
        <v>1.15533667227619</v>
      </c>
      <c r="H50">
        <v>1.0377473736107401</v>
      </c>
      <c r="I50">
        <v>1.33885321862301</v>
      </c>
      <c r="J50">
        <v>2.6142419572725002</v>
      </c>
      <c r="K50">
        <v>2.3076940330063098</v>
      </c>
      <c r="L50">
        <v>10275.6551124785</v>
      </c>
      <c r="M50">
        <v>250</v>
      </c>
      <c r="O50">
        <v>41.099966107042398</v>
      </c>
      <c r="P50">
        <v>0.76034081155761302</v>
      </c>
      <c r="Q50">
        <v>1.5</v>
      </c>
      <c r="R50">
        <v>8.6155803327317398E-2</v>
      </c>
      <c r="S50" t="s">
        <v>3882</v>
      </c>
      <c r="T50" t="s">
        <v>7662</v>
      </c>
      <c r="U50" t="s">
        <v>7662</v>
      </c>
      <c r="V50" t="s">
        <v>7662</v>
      </c>
      <c r="W50">
        <v>1</v>
      </c>
      <c r="X50" t="s">
        <v>7712</v>
      </c>
      <c r="Y50">
        <v>1.4815843089275871</v>
      </c>
      <c r="Z50" t="str">
        <f>HYPERLINK("Melting_Curves/meltCurve_sp_O00479_HMGN4_HUMAN_.pdf", "Melting_Curves/meltCurve_sp_O00479_HMGN4_HUMAN_.pdf")</f>
        <v>Melting_Curves/meltCurve_sp_O00479_HMGN4_HUMAN_.pdf</v>
      </c>
      <c r="AA50" t="s">
        <v>11540</v>
      </c>
      <c r="AB50" t="s">
        <v>15291</v>
      </c>
    </row>
    <row r="51" spans="1:28" x14ac:dyDescent="0.25">
      <c r="A51" t="s">
        <v>55</v>
      </c>
      <c r="B51">
        <v>0.98876768158843997</v>
      </c>
      <c r="C51">
        <v>0.83383601917266303</v>
      </c>
      <c r="D51">
        <v>0.86706324004473301</v>
      </c>
      <c r="E51">
        <v>0.53760930318171096</v>
      </c>
      <c r="F51">
        <v>0.165944854246109</v>
      </c>
      <c r="G51">
        <v>7.4998380570684905E-2</v>
      </c>
      <c r="H51">
        <v>3.7478010595821898E-2</v>
      </c>
      <c r="I51">
        <v>5.77673069379935E-2</v>
      </c>
      <c r="J51">
        <v>5.4770024260148299E-2</v>
      </c>
      <c r="K51">
        <v>4.2308695140825997E-2</v>
      </c>
      <c r="L51">
        <v>1112.4460638713999</v>
      </c>
      <c r="M51">
        <v>22.384035469204999</v>
      </c>
      <c r="N51">
        <v>49.852565850915902</v>
      </c>
      <c r="O51">
        <v>49.306633916312897</v>
      </c>
      <c r="P51">
        <v>-0.109696121859505</v>
      </c>
      <c r="Q51">
        <v>3.34837011805134E-2</v>
      </c>
      <c r="R51">
        <v>0.98110637519795196</v>
      </c>
      <c r="S51" t="s">
        <v>3883</v>
      </c>
      <c r="T51" t="s">
        <v>7662</v>
      </c>
      <c r="U51" t="s">
        <v>7662</v>
      </c>
      <c r="V51" t="s">
        <v>7662</v>
      </c>
      <c r="W51">
        <v>5</v>
      </c>
      <c r="X51" t="s">
        <v>7713</v>
      </c>
      <c r="Y51">
        <v>0.35669691463270681</v>
      </c>
      <c r="Z51" t="str">
        <f>HYPERLINK("Melting_Curves/meltCurve_sp_O00487_PSDE_HUMAN_.pdf", "Melting_Curves/meltCurve_sp_O00487_PSDE_HUMAN_.pdf")</f>
        <v>Melting_Curves/meltCurve_sp_O00487_PSDE_HUMAN_.pdf</v>
      </c>
      <c r="AA51" t="s">
        <v>11541</v>
      </c>
      <c r="AB51" t="s">
        <v>15292</v>
      </c>
    </row>
    <row r="52" spans="1:28" x14ac:dyDescent="0.25">
      <c r="A52" t="s">
        <v>56</v>
      </c>
      <c r="B52">
        <v>0.98876768158843997</v>
      </c>
      <c r="C52">
        <v>1.03420738549256</v>
      </c>
      <c r="D52">
        <v>0.91142113534561797</v>
      </c>
      <c r="E52">
        <v>0.73558748005572905</v>
      </c>
      <c r="F52">
        <v>0.62296881410538896</v>
      </c>
      <c r="G52">
        <v>0.39957449487568802</v>
      </c>
      <c r="H52">
        <v>0.28153518776750902</v>
      </c>
      <c r="I52">
        <v>0.31923296823503899</v>
      </c>
      <c r="J52">
        <v>0.33987168607736101</v>
      </c>
      <c r="K52">
        <v>0.42372305183212999</v>
      </c>
      <c r="L52">
        <v>1024.7237394639999</v>
      </c>
      <c r="M52">
        <v>19.918871082395299</v>
      </c>
      <c r="N52">
        <v>54.4152220820759</v>
      </c>
      <c r="O52">
        <v>50.934770195102601</v>
      </c>
      <c r="P52">
        <v>-6.5365130885773101E-2</v>
      </c>
      <c r="Q52">
        <v>0.33143843598817302</v>
      </c>
      <c r="R52">
        <v>0.97235712202508195</v>
      </c>
      <c r="S52" t="s">
        <v>3884</v>
      </c>
      <c r="T52" t="s">
        <v>7662</v>
      </c>
      <c r="U52" t="s">
        <v>7662</v>
      </c>
      <c r="V52" t="s">
        <v>7662</v>
      </c>
      <c r="W52">
        <v>17</v>
      </c>
      <c r="X52" t="s">
        <v>7714</v>
      </c>
      <c r="Y52">
        <v>0.59583104697183176</v>
      </c>
      <c r="Z52" t="str">
        <f>HYPERLINK("Melting_Curves/meltCurve_sp_O00499_6_BIN1_HUMAN_.pdf", "Melting_Curves/meltCurve_sp_O00499_6_BIN1_HUMAN_.pdf")</f>
        <v>Melting_Curves/meltCurve_sp_O00499_6_BIN1_HUMAN_.pdf</v>
      </c>
      <c r="AA52" t="s">
        <v>11542</v>
      </c>
      <c r="AB52" t="s">
        <v>15293</v>
      </c>
    </row>
    <row r="53" spans="1:28" x14ac:dyDescent="0.25">
      <c r="A53" t="s">
        <v>57</v>
      </c>
      <c r="B53">
        <v>0.98876768158843997</v>
      </c>
      <c r="C53">
        <v>0.97724067267904102</v>
      </c>
      <c r="D53">
        <v>0.95601237612881695</v>
      </c>
      <c r="E53">
        <v>0.87144226216418397</v>
      </c>
      <c r="F53">
        <v>0.54910138479360904</v>
      </c>
      <c r="G53">
        <v>0.127918758877823</v>
      </c>
      <c r="H53">
        <v>8.5559718486082098E-2</v>
      </c>
      <c r="I53">
        <v>7.3385801410203996E-2</v>
      </c>
      <c r="J53">
        <v>7.3616578760218307E-2</v>
      </c>
      <c r="K53">
        <v>7.3316797427925004E-2</v>
      </c>
      <c r="L53">
        <v>1737.65133269546</v>
      </c>
      <c r="M53">
        <v>32.785583327651104</v>
      </c>
      <c r="N53">
        <v>53.237465726834898</v>
      </c>
      <c r="O53">
        <v>52.804454397729401</v>
      </c>
      <c r="P53">
        <v>-0.14468278872609</v>
      </c>
      <c r="Q53">
        <v>6.7899974473616301E-2</v>
      </c>
      <c r="R53">
        <v>0.99809508394871205</v>
      </c>
      <c r="S53" t="s">
        <v>3885</v>
      </c>
      <c r="T53" t="s">
        <v>7662</v>
      </c>
      <c r="U53" t="s">
        <v>7662</v>
      </c>
      <c r="V53" t="s">
        <v>7662</v>
      </c>
      <c r="W53">
        <v>6</v>
      </c>
      <c r="X53" t="s">
        <v>7715</v>
      </c>
      <c r="Y53">
        <v>0.47689871274767648</v>
      </c>
      <c r="Z53" t="str">
        <f>HYPERLINK("Melting_Curves/meltCurve_sp_O00505_IMA3_HUMAN_.pdf", "Melting_Curves/meltCurve_sp_O00505_IMA3_HUMAN_.pdf")</f>
        <v>Melting_Curves/meltCurve_sp_O00505_IMA3_HUMAN_.pdf</v>
      </c>
      <c r="AA53" t="s">
        <v>11543</v>
      </c>
      <c r="AB53" t="s">
        <v>15294</v>
      </c>
    </row>
    <row r="54" spans="1:28" x14ac:dyDescent="0.25">
      <c r="A54" t="s">
        <v>58</v>
      </c>
      <c r="B54">
        <v>0.98876768158843997</v>
      </c>
      <c r="C54">
        <v>1.1203210262521801</v>
      </c>
      <c r="D54">
        <v>0.87553812238175599</v>
      </c>
      <c r="E54">
        <v>0.71741312597722195</v>
      </c>
      <c r="F54">
        <v>0.88972246237478803</v>
      </c>
      <c r="G54">
        <v>0.64586193161116801</v>
      </c>
      <c r="H54">
        <v>0.50194784703002504</v>
      </c>
      <c r="I54">
        <v>0.62166068364483695</v>
      </c>
      <c r="J54">
        <v>0.81472810650817795</v>
      </c>
      <c r="K54">
        <v>0.90808796322905905</v>
      </c>
      <c r="L54">
        <v>11507.671336188499</v>
      </c>
      <c r="M54">
        <v>250</v>
      </c>
      <c r="O54">
        <v>46.027739441963398</v>
      </c>
      <c r="P54">
        <v>-0.36867865983145298</v>
      </c>
      <c r="Q54">
        <v>0.72848887419681196</v>
      </c>
      <c r="R54">
        <v>0.52298982420513296</v>
      </c>
      <c r="S54" t="s">
        <v>3886</v>
      </c>
      <c r="T54" t="s">
        <v>7662</v>
      </c>
      <c r="U54" t="s">
        <v>7662</v>
      </c>
      <c r="V54" t="s">
        <v>7662</v>
      </c>
      <c r="W54">
        <v>15</v>
      </c>
      <c r="X54" t="s">
        <v>7716</v>
      </c>
      <c r="Y54">
        <v>0.78309074662774913</v>
      </c>
      <c r="Z54" t="str">
        <f>HYPERLINK("Melting_Curves/meltCurve_sp_O00515_LAD1_HUMAN_.pdf", "Melting_Curves/meltCurve_sp_O00515_LAD1_HUMAN_.pdf")</f>
        <v>Melting_Curves/meltCurve_sp_O00515_LAD1_HUMAN_.pdf</v>
      </c>
      <c r="AA54" t="s">
        <v>11544</v>
      </c>
      <c r="AB54" t="s">
        <v>15295</v>
      </c>
    </row>
    <row r="55" spans="1:28" x14ac:dyDescent="0.25">
      <c r="A55" t="s">
        <v>59</v>
      </c>
      <c r="B55">
        <v>0.98876768158843997</v>
      </c>
      <c r="C55">
        <v>0.93488884269586303</v>
      </c>
      <c r="D55">
        <v>0.87621154950908897</v>
      </c>
      <c r="E55">
        <v>0.71129800192144899</v>
      </c>
      <c r="F55">
        <v>0.56067795786170305</v>
      </c>
      <c r="G55">
        <v>0.29361605888764197</v>
      </c>
      <c r="H55">
        <v>0.18365351445679701</v>
      </c>
      <c r="I55">
        <v>0.16668443950105599</v>
      </c>
      <c r="J55">
        <v>0.20549133904247999</v>
      </c>
      <c r="K55">
        <v>0.156557124720971</v>
      </c>
      <c r="L55">
        <v>787.64172425233005</v>
      </c>
      <c r="M55">
        <v>15.0770992383385</v>
      </c>
      <c r="N55">
        <v>53.314160542457103</v>
      </c>
      <c r="O55">
        <v>51.347759410159</v>
      </c>
      <c r="P55">
        <v>-6.3805163216008806E-2</v>
      </c>
      <c r="Q55">
        <v>0.130886460090861</v>
      </c>
      <c r="R55">
        <v>0.99258019333389003</v>
      </c>
      <c r="S55" t="s">
        <v>3887</v>
      </c>
      <c r="T55" t="s">
        <v>7662</v>
      </c>
      <c r="U55" t="s">
        <v>7662</v>
      </c>
      <c r="V55" t="s">
        <v>7662</v>
      </c>
      <c r="W55">
        <v>7</v>
      </c>
      <c r="X55" t="s">
        <v>7717</v>
      </c>
      <c r="Y55">
        <v>0.50462889718646542</v>
      </c>
      <c r="Z55" t="str">
        <f>HYPERLINK("Melting_Curves/meltCurve_sp_O00534_VMA5A_HUMAN_.pdf", "Melting_Curves/meltCurve_sp_O00534_VMA5A_HUMAN_.pdf")</f>
        <v>Melting_Curves/meltCurve_sp_O00534_VMA5A_HUMAN_.pdf</v>
      </c>
      <c r="AA55" t="s">
        <v>11545</v>
      </c>
      <c r="AB55" t="s">
        <v>15296</v>
      </c>
    </row>
    <row r="56" spans="1:28" x14ac:dyDescent="0.25">
      <c r="A56" t="s">
        <v>60</v>
      </c>
      <c r="B56">
        <v>0.98876768158843997</v>
      </c>
      <c r="C56">
        <v>1.0247845014764401</v>
      </c>
      <c r="D56">
        <v>0.79007332561237897</v>
      </c>
      <c r="E56">
        <v>0.70381586362335102</v>
      </c>
      <c r="F56">
        <v>0.81610242318806403</v>
      </c>
      <c r="G56">
        <v>0.48699619700670299</v>
      </c>
      <c r="H56">
        <v>0.41587227725807202</v>
      </c>
      <c r="I56">
        <v>0.447750999254244</v>
      </c>
      <c r="J56">
        <v>0.61297139788052102</v>
      </c>
      <c r="K56">
        <v>0.83782046423821899</v>
      </c>
      <c r="L56">
        <v>834.24300048107796</v>
      </c>
      <c r="M56">
        <v>17.375507350361801</v>
      </c>
      <c r="O56">
        <v>47.3901573955226</v>
      </c>
      <c r="P56">
        <v>-3.87947438255975E-2</v>
      </c>
      <c r="Q56">
        <v>0.576787055424129</v>
      </c>
      <c r="R56">
        <v>0.60243196087397399</v>
      </c>
      <c r="S56" t="s">
        <v>3888</v>
      </c>
      <c r="T56" t="s">
        <v>7662</v>
      </c>
      <c r="U56" t="s">
        <v>7662</v>
      </c>
      <c r="V56" t="s">
        <v>7662</v>
      </c>
      <c r="W56">
        <v>4</v>
      </c>
      <c r="X56" t="s">
        <v>7718</v>
      </c>
      <c r="Y56">
        <v>0.69789928163287829</v>
      </c>
      <c r="Z56" t="str">
        <f>HYPERLINK("Melting_Curves/meltCurve_sp_O00567_NOP56_HUMAN_.pdf", "Melting_Curves/meltCurve_sp_O00567_NOP56_HUMAN_.pdf")</f>
        <v>Melting_Curves/meltCurve_sp_O00567_NOP56_HUMAN_.pdf</v>
      </c>
      <c r="AA56" t="s">
        <v>11546</v>
      </c>
      <c r="AB56" t="s">
        <v>15297</v>
      </c>
    </row>
    <row r="57" spans="1:28" x14ac:dyDescent="0.25">
      <c r="A57" t="s">
        <v>61</v>
      </c>
      <c r="B57">
        <v>0.98876768158843997</v>
      </c>
      <c r="C57">
        <v>1.0503530499756599</v>
      </c>
      <c r="D57">
        <v>0.80378980565100799</v>
      </c>
      <c r="E57">
        <v>0.38854285273705003</v>
      </c>
      <c r="F57">
        <v>0.248265999896156</v>
      </c>
      <c r="G57">
        <v>0.16094893400157301</v>
      </c>
      <c r="H57">
        <v>0.116077003834507</v>
      </c>
      <c r="I57">
        <v>0.13824691359265601</v>
      </c>
      <c r="J57">
        <v>0.144653347869524</v>
      </c>
      <c r="K57">
        <v>0.17321678958362599</v>
      </c>
      <c r="L57">
        <v>1295.6042319194401</v>
      </c>
      <c r="M57">
        <v>26.8108680045165</v>
      </c>
      <c r="N57">
        <v>48.9588225180621</v>
      </c>
      <c r="O57">
        <v>48.057419132742901</v>
      </c>
      <c r="P57">
        <v>-0.118992140106982</v>
      </c>
      <c r="Q57">
        <v>0.14685410725591799</v>
      </c>
      <c r="R57">
        <v>0.99263052015136699</v>
      </c>
      <c r="S57" t="s">
        <v>3889</v>
      </c>
      <c r="T57" t="s">
        <v>7662</v>
      </c>
      <c r="U57" t="s">
        <v>7662</v>
      </c>
      <c r="V57" t="s">
        <v>7662</v>
      </c>
      <c r="W57">
        <v>18</v>
      </c>
      <c r="X57" t="s">
        <v>7719</v>
      </c>
      <c r="Y57">
        <v>0.39008011991278602</v>
      </c>
      <c r="Z57" t="str">
        <f>HYPERLINK("Melting_Curves/meltCurve_sp_O00571_DDX3X_HUMAN_.pdf", "Melting_Curves/meltCurve_sp_O00571_DDX3X_HUMAN_.pdf")</f>
        <v>Melting_Curves/meltCurve_sp_O00571_DDX3X_HUMAN_.pdf</v>
      </c>
      <c r="AA57" t="s">
        <v>11547</v>
      </c>
      <c r="AB57" t="s">
        <v>15298</v>
      </c>
    </row>
    <row r="58" spans="1:28" x14ac:dyDescent="0.25">
      <c r="A58" t="s">
        <v>62</v>
      </c>
      <c r="B58">
        <v>0.98876768158843997</v>
      </c>
      <c r="C58">
        <v>1.1376406838342401</v>
      </c>
      <c r="D58">
        <v>0.82224870932278804</v>
      </c>
      <c r="E58">
        <v>0.65736429100120597</v>
      </c>
      <c r="F58">
        <v>0.55444764210580499</v>
      </c>
      <c r="G58">
        <v>0.33092877989845698</v>
      </c>
      <c r="H58">
        <v>0.16593170053013501</v>
      </c>
      <c r="I58">
        <v>0.109088195524826</v>
      </c>
      <c r="J58">
        <v>7.7076631335967996E-2</v>
      </c>
      <c r="K58">
        <v>0.12626537296028301</v>
      </c>
      <c r="L58">
        <v>735.02536732735996</v>
      </c>
      <c r="M58">
        <v>13.9178254442228</v>
      </c>
      <c r="N58">
        <v>53.2686672797347</v>
      </c>
      <c r="O58">
        <v>51.757345672255603</v>
      </c>
      <c r="P58">
        <v>-6.3452765951043405E-2</v>
      </c>
      <c r="Q58">
        <v>5.6260015642330102E-2</v>
      </c>
      <c r="R58">
        <v>0.96924556009823404</v>
      </c>
      <c r="S58" t="s">
        <v>3890</v>
      </c>
      <c r="T58" t="s">
        <v>7662</v>
      </c>
      <c r="U58" t="s">
        <v>7662</v>
      </c>
      <c r="V58" t="s">
        <v>7662</v>
      </c>
      <c r="W58">
        <v>6</v>
      </c>
      <c r="X58" t="s">
        <v>7720</v>
      </c>
      <c r="Y58">
        <v>0.48197804629125462</v>
      </c>
      <c r="Z58" t="str">
        <f>HYPERLINK("Melting_Curves/meltCurve_sp_O00625_PIR_HUMAN_.pdf", "Melting_Curves/meltCurve_sp_O00625_PIR_HUMAN_.pdf")</f>
        <v>Melting_Curves/meltCurve_sp_O00625_PIR_HUMAN_.pdf</v>
      </c>
      <c r="AA58" t="s">
        <v>11548</v>
      </c>
      <c r="AB58" t="s">
        <v>15299</v>
      </c>
    </row>
    <row r="59" spans="1:28" x14ac:dyDescent="0.25">
      <c r="A59" t="s">
        <v>63</v>
      </c>
      <c r="B59">
        <v>0.98876768158843997</v>
      </c>
      <c r="C59">
        <v>0.88254690337014396</v>
      </c>
      <c r="D59">
        <v>0.91981004705763703</v>
      </c>
      <c r="E59">
        <v>0.75765926596563804</v>
      </c>
      <c r="F59">
        <v>0.57556622918192002</v>
      </c>
      <c r="G59">
        <v>0.36032161829232101</v>
      </c>
      <c r="H59">
        <v>9.0309000432717695E-2</v>
      </c>
      <c r="I59">
        <v>7.5086032893857804E-2</v>
      </c>
      <c r="J59">
        <v>0.102935316046807</v>
      </c>
      <c r="K59">
        <v>6.4626438003852094E-2</v>
      </c>
      <c r="L59">
        <v>765.64161427055103</v>
      </c>
      <c r="M59">
        <v>14.2000981613013</v>
      </c>
      <c r="N59">
        <v>53.963514777925603</v>
      </c>
      <c r="O59">
        <v>52.882548702049696</v>
      </c>
      <c r="P59">
        <v>-6.6739564172125093E-2</v>
      </c>
      <c r="Q59">
        <v>5.9460038530843801E-3</v>
      </c>
      <c r="R59">
        <v>0.98612157060974304</v>
      </c>
      <c r="S59" t="s">
        <v>3891</v>
      </c>
      <c r="T59" t="s">
        <v>7662</v>
      </c>
      <c r="U59" t="s">
        <v>7662</v>
      </c>
      <c r="V59" t="s">
        <v>7662</v>
      </c>
      <c r="W59">
        <v>4</v>
      </c>
      <c r="X59" t="s">
        <v>7721</v>
      </c>
      <c r="Y59">
        <v>0.48901743181415902</v>
      </c>
      <c r="Z59" t="str">
        <f>HYPERLINK("Melting_Curves/meltCurve_sp_O00629_IMA4_HUMAN_.pdf", "Melting_Curves/meltCurve_sp_O00629_IMA4_HUMAN_.pdf")</f>
        <v>Melting_Curves/meltCurve_sp_O00629_IMA4_HUMAN_.pdf</v>
      </c>
      <c r="AA59" t="s">
        <v>11549</v>
      </c>
      <c r="AB59" t="s">
        <v>15300</v>
      </c>
    </row>
    <row r="60" spans="1:28" x14ac:dyDescent="0.25">
      <c r="A60" t="s">
        <v>64</v>
      </c>
      <c r="B60">
        <v>0.98876768158843997</v>
      </c>
      <c r="C60">
        <v>0.94960214316381297</v>
      </c>
      <c r="D60">
        <v>0.961930765586267</v>
      </c>
      <c r="E60">
        <v>0.80322324467616002</v>
      </c>
      <c r="F60">
        <v>0.69441821945593296</v>
      </c>
      <c r="G60">
        <v>0.54058896932426703</v>
      </c>
      <c r="H60">
        <v>0.31337203177073902</v>
      </c>
      <c r="I60">
        <v>0.25590400840674399</v>
      </c>
      <c r="J60">
        <v>0.217905349680036</v>
      </c>
      <c r="K60">
        <v>0.219887180767251</v>
      </c>
      <c r="L60">
        <v>695.50345613726597</v>
      </c>
      <c r="M60">
        <v>12.5191512223539</v>
      </c>
      <c r="N60">
        <v>56.9628224969332</v>
      </c>
      <c r="O60">
        <v>54.194804608940402</v>
      </c>
      <c r="P60">
        <v>-5.0077421231523499E-2</v>
      </c>
      <c r="Q60">
        <v>0.13304642097719399</v>
      </c>
      <c r="R60">
        <v>0.993855931368131</v>
      </c>
      <c r="S60" t="s">
        <v>3892</v>
      </c>
      <c r="T60" t="s">
        <v>7662</v>
      </c>
      <c r="U60" t="s">
        <v>7662</v>
      </c>
      <c r="V60" t="s">
        <v>7662</v>
      </c>
      <c r="W60">
        <v>9</v>
      </c>
      <c r="X60" t="s">
        <v>7722</v>
      </c>
      <c r="Y60">
        <v>0.60101521976687722</v>
      </c>
      <c r="Z60" t="str">
        <f>HYPERLINK("Melting_Curves/meltCurve_sp_O00743_PPP6_HUMAN_.pdf", "Melting_Curves/meltCurve_sp_O00743_PPP6_HUMAN_.pdf")</f>
        <v>Melting_Curves/meltCurve_sp_O00743_PPP6_HUMAN_.pdf</v>
      </c>
      <c r="AA60" t="s">
        <v>11550</v>
      </c>
      <c r="AB60" t="s">
        <v>15301</v>
      </c>
    </row>
    <row r="61" spans="1:28" x14ac:dyDescent="0.25">
      <c r="A61" t="s">
        <v>65</v>
      </c>
      <c r="B61">
        <v>0.98876768158843997</v>
      </c>
      <c r="C61">
        <v>1.0392681002864601</v>
      </c>
      <c r="D61">
        <v>0.85561355477567302</v>
      </c>
      <c r="E61">
        <v>0.75441855546748204</v>
      </c>
      <c r="F61">
        <v>0.39809842303999399</v>
      </c>
      <c r="G61">
        <v>0.123111475606721</v>
      </c>
      <c r="H61">
        <v>5.8180914774997303E-2</v>
      </c>
      <c r="I61">
        <v>4.8974631688447699E-2</v>
      </c>
      <c r="J61">
        <v>5.4661469537176599E-2</v>
      </c>
      <c r="K61">
        <v>4.7084291805514399E-2</v>
      </c>
      <c r="L61">
        <v>1205.04790001991</v>
      </c>
      <c r="M61">
        <v>23.220594863187301</v>
      </c>
      <c r="N61">
        <v>52.064859981585101</v>
      </c>
      <c r="O61">
        <v>51.515363978075399</v>
      </c>
      <c r="P61">
        <v>-0.108594128929923</v>
      </c>
      <c r="Q61">
        <v>3.6344282566897798E-2</v>
      </c>
      <c r="R61">
        <v>0.99149220975464702</v>
      </c>
      <c r="S61" t="s">
        <v>3893</v>
      </c>
      <c r="T61" t="s">
        <v>7662</v>
      </c>
      <c r="U61" t="s">
        <v>7662</v>
      </c>
      <c r="V61" t="s">
        <v>7662</v>
      </c>
      <c r="W61">
        <v>12</v>
      </c>
      <c r="X61" t="s">
        <v>7723</v>
      </c>
      <c r="Y61">
        <v>0.42857583662795551</v>
      </c>
      <c r="Z61" t="str">
        <f>HYPERLINK("Melting_Curves/meltCurve_sp_O00748_EST2_HUMAN_.pdf", "Melting_Curves/meltCurve_sp_O00748_EST2_HUMAN_.pdf")</f>
        <v>Melting_Curves/meltCurve_sp_O00748_EST2_HUMAN_.pdf</v>
      </c>
      <c r="AA61" t="s">
        <v>11551</v>
      </c>
      <c r="AB61" t="s">
        <v>15302</v>
      </c>
    </row>
    <row r="62" spans="1:28" x14ac:dyDescent="0.25">
      <c r="A62" t="s">
        <v>66</v>
      </c>
      <c r="B62">
        <v>0.98876768158843997</v>
      </c>
      <c r="C62">
        <v>0.88647959832700396</v>
      </c>
      <c r="D62">
        <v>0.99090543516017504</v>
      </c>
      <c r="E62">
        <v>0.89281980027094399</v>
      </c>
      <c r="F62">
        <v>0.58318635124683205</v>
      </c>
      <c r="G62">
        <v>0.42461896294837498</v>
      </c>
      <c r="H62">
        <v>0.40422465120041701</v>
      </c>
      <c r="I62">
        <v>0.53643766304644003</v>
      </c>
      <c r="J62">
        <v>0.586086402618754</v>
      </c>
      <c r="K62">
        <v>0.60567482243719195</v>
      </c>
      <c r="L62">
        <v>2801.7692939254198</v>
      </c>
      <c r="M62">
        <v>54.741683043853001</v>
      </c>
      <c r="O62">
        <v>51.113476506684599</v>
      </c>
      <c r="P62">
        <v>-0.130631300023726</v>
      </c>
      <c r="Q62">
        <v>0.51210737034087594</v>
      </c>
      <c r="R62">
        <v>0.89759728759883395</v>
      </c>
      <c r="S62" t="s">
        <v>3894</v>
      </c>
      <c r="T62" t="s">
        <v>7662</v>
      </c>
      <c r="U62" t="s">
        <v>7662</v>
      </c>
      <c r="V62" t="s">
        <v>7662</v>
      </c>
      <c r="W62">
        <v>19</v>
      </c>
      <c r="X62" t="s">
        <v>7724</v>
      </c>
      <c r="Y62">
        <v>0.69487348068542798</v>
      </c>
      <c r="Z62" t="str">
        <f>HYPERLINK("Melting_Curves/meltCurve_sp_O00754_MA2B1_HUMAN_.pdf", "Melting_Curves/meltCurve_sp_O00754_MA2B1_HUMAN_.pdf")</f>
        <v>Melting_Curves/meltCurve_sp_O00754_MA2B1_HUMAN_.pdf</v>
      </c>
      <c r="AA62" t="s">
        <v>11552</v>
      </c>
      <c r="AB62" t="s">
        <v>15303</v>
      </c>
    </row>
    <row r="63" spans="1:28" x14ac:dyDescent="0.25">
      <c r="A63" t="s">
        <v>67</v>
      </c>
      <c r="B63">
        <v>0.98876768158843997</v>
      </c>
      <c r="C63">
        <v>0.99785587087409999</v>
      </c>
      <c r="D63">
        <v>1.0026304665546</v>
      </c>
      <c r="E63">
        <v>0.96586000780192705</v>
      </c>
      <c r="F63">
        <v>0.80820487959967702</v>
      </c>
      <c r="G63">
        <v>0.60753144612061405</v>
      </c>
      <c r="H63">
        <v>0.50401989807343495</v>
      </c>
      <c r="I63">
        <v>0.65787029243133199</v>
      </c>
      <c r="J63">
        <v>0.403355425063257</v>
      </c>
      <c r="K63">
        <v>0.18974060655753799</v>
      </c>
      <c r="L63">
        <v>537.06079269938198</v>
      </c>
      <c r="M63">
        <v>8.5309033592741805</v>
      </c>
      <c r="N63">
        <v>62.954733799058602</v>
      </c>
      <c r="O63">
        <v>59.7814596179849</v>
      </c>
      <c r="P63">
        <v>-3.5707081983364301E-2</v>
      </c>
      <c r="Q63">
        <v>0</v>
      </c>
      <c r="R63">
        <v>0.90426996517838398</v>
      </c>
      <c r="S63" t="s">
        <v>3895</v>
      </c>
      <c r="T63" t="s">
        <v>7662</v>
      </c>
      <c r="U63" t="s">
        <v>7662</v>
      </c>
      <c r="V63" t="s">
        <v>7662</v>
      </c>
      <c r="W63">
        <v>5</v>
      </c>
      <c r="X63" t="s">
        <v>7725</v>
      </c>
      <c r="Y63">
        <v>0.72232064119598338</v>
      </c>
      <c r="Z63" t="str">
        <f>HYPERLINK("Melting_Curves/meltCurve_sp_O00757_F16P2_HUMAN_.pdf", "Melting_Curves/meltCurve_sp_O00757_F16P2_HUMAN_.pdf")</f>
        <v>Melting_Curves/meltCurve_sp_O00757_F16P2_HUMAN_.pdf</v>
      </c>
      <c r="AA63" t="s">
        <v>11553</v>
      </c>
      <c r="AB63" t="s">
        <v>15304</v>
      </c>
    </row>
    <row r="64" spans="1:28" x14ac:dyDescent="0.25">
      <c r="A64" t="s">
        <v>68</v>
      </c>
      <c r="B64">
        <v>0.98876768158843997</v>
      </c>
      <c r="C64">
        <v>0.93861319664380605</v>
      </c>
      <c r="D64">
        <v>0.86555209126133503</v>
      </c>
      <c r="E64">
        <v>0.29714306426774501</v>
      </c>
      <c r="F64">
        <v>0.137976747072276</v>
      </c>
      <c r="G64">
        <v>8.3604205160203698E-2</v>
      </c>
      <c r="H64">
        <v>5.8151192519756902E-2</v>
      </c>
      <c r="I64">
        <v>5.1834137668099002E-2</v>
      </c>
      <c r="J64">
        <v>5.8869979270937602E-2</v>
      </c>
      <c r="K64">
        <v>4.81566789591195E-2</v>
      </c>
      <c r="L64">
        <v>1522.3670953276301</v>
      </c>
      <c r="M64">
        <v>31.451758896524101</v>
      </c>
      <c r="N64">
        <v>48.601107279258599</v>
      </c>
      <c r="O64">
        <v>48.2088381978039</v>
      </c>
      <c r="P64">
        <v>-0.15330107128238199</v>
      </c>
      <c r="Q64">
        <v>6.0093917365186503E-2</v>
      </c>
      <c r="R64">
        <v>0.99761682263953499</v>
      </c>
      <c r="S64" t="s">
        <v>3896</v>
      </c>
      <c r="T64" t="s">
        <v>7662</v>
      </c>
      <c r="U64" t="s">
        <v>7662</v>
      </c>
      <c r="V64" t="s">
        <v>7662</v>
      </c>
      <c r="W64">
        <v>35</v>
      </c>
      <c r="X64" t="s">
        <v>7726</v>
      </c>
      <c r="Y64">
        <v>0.32852087939124419</v>
      </c>
      <c r="Z64" t="str">
        <f>HYPERLINK("Melting_Curves/meltCurve_sp_O00763_ACACB_HUMAN_.pdf", "Melting_Curves/meltCurve_sp_O00763_ACACB_HUMAN_.pdf")</f>
        <v>Melting_Curves/meltCurve_sp_O00763_ACACB_HUMAN_.pdf</v>
      </c>
      <c r="AA64" t="s">
        <v>11554</v>
      </c>
      <c r="AB64" t="s">
        <v>15305</v>
      </c>
    </row>
    <row r="65" spans="1:28" x14ac:dyDescent="0.25">
      <c r="A65" t="s">
        <v>69</v>
      </c>
      <c r="B65">
        <v>0.98876768158843997</v>
      </c>
      <c r="C65">
        <v>1.00299315329922</v>
      </c>
      <c r="D65">
        <v>0.86131330760152303</v>
      </c>
      <c r="E65">
        <v>0.77048190903133396</v>
      </c>
      <c r="F65">
        <v>0.47331663176330102</v>
      </c>
      <c r="G65">
        <v>7.9752609620889203E-2</v>
      </c>
      <c r="H65">
        <v>4.9053503791143697E-2</v>
      </c>
      <c r="I65">
        <v>3.8192744390571999E-2</v>
      </c>
      <c r="J65">
        <v>7.2970395443757094E-2</v>
      </c>
      <c r="K65">
        <v>5.4966107184907201E-2</v>
      </c>
      <c r="L65">
        <v>1305.6260446240799</v>
      </c>
      <c r="M65">
        <v>24.971818542686201</v>
      </c>
      <c r="N65">
        <v>52.432496588570601</v>
      </c>
      <c r="O65">
        <v>51.952148167337398</v>
      </c>
      <c r="P65">
        <v>-0.116066156216225</v>
      </c>
      <c r="Q65">
        <v>3.4142480147997201E-2</v>
      </c>
      <c r="R65">
        <v>0.98843053432135197</v>
      </c>
      <c r="S65" t="s">
        <v>3897</v>
      </c>
      <c r="T65" t="s">
        <v>7662</v>
      </c>
      <c r="U65" t="s">
        <v>7662</v>
      </c>
      <c r="V65" t="s">
        <v>7662</v>
      </c>
      <c r="W65">
        <v>6</v>
      </c>
      <c r="X65" t="s">
        <v>7727</v>
      </c>
      <c r="Y65">
        <v>0.43848839433913239</v>
      </c>
      <c r="Z65" t="str">
        <f>HYPERLINK("Melting_Curves/meltCurve_sp_O00764_PDXK_HUMAN_.pdf", "Melting_Curves/meltCurve_sp_O00764_PDXK_HUMAN_.pdf")</f>
        <v>Melting_Curves/meltCurve_sp_O00764_PDXK_HUMAN_.pdf</v>
      </c>
      <c r="AA65" t="s">
        <v>11555</v>
      </c>
      <c r="AB65" t="s">
        <v>15306</v>
      </c>
    </row>
    <row r="66" spans="1:28" x14ac:dyDescent="0.25">
      <c r="A66" t="s">
        <v>70</v>
      </c>
      <c r="B66">
        <v>0.98876768158843997</v>
      </c>
      <c r="C66">
        <v>1.1008567564378799</v>
      </c>
      <c r="D66">
        <v>0.83235483604324501</v>
      </c>
      <c r="E66">
        <v>0.758348807126216</v>
      </c>
      <c r="F66">
        <v>0.86359922717520499</v>
      </c>
      <c r="G66">
        <v>0.68730433103468003</v>
      </c>
      <c r="H66">
        <v>0.54039307219500998</v>
      </c>
      <c r="I66">
        <v>0.60217058917548005</v>
      </c>
      <c r="J66">
        <v>0.80429745764424798</v>
      </c>
      <c r="K66">
        <v>1.00979837480935</v>
      </c>
      <c r="L66">
        <v>11466.015117372999</v>
      </c>
      <c r="M66">
        <v>250</v>
      </c>
      <c r="O66">
        <v>45.861125589087401</v>
      </c>
      <c r="P66">
        <v>-0.33760466512788101</v>
      </c>
      <c r="Q66">
        <v>0.75227312176265904</v>
      </c>
      <c r="R66">
        <v>0.44177177311886401</v>
      </c>
      <c r="S66" t="s">
        <v>3898</v>
      </c>
      <c r="T66" t="s">
        <v>7662</v>
      </c>
      <c r="U66" t="s">
        <v>7662</v>
      </c>
      <c r="V66" t="s">
        <v>7662</v>
      </c>
      <c r="W66">
        <v>5</v>
      </c>
      <c r="X66" t="s">
        <v>7728</v>
      </c>
      <c r="Y66">
        <v>0.80071590793895775</v>
      </c>
      <c r="Z66" t="str">
        <f>HYPERLINK("Melting_Curves/meltCurve_sp_O14497_ARI1A_HUMAN_.pdf", "Melting_Curves/meltCurve_sp_O14497_ARI1A_HUMAN_.pdf")</f>
        <v>Melting_Curves/meltCurve_sp_O14497_ARI1A_HUMAN_.pdf</v>
      </c>
      <c r="AA66" t="s">
        <v>11556</v>
      </c>
      <c r="AB66" t="s">
        <v>15307</v>
      </c>
    </row>
    <row r="67" spans="1:28" x14ac:dyDescent="0.25">
      <c r="A67" t="s">
        <v>71</v>
      </c>
      <c r="B67">
        <v>0.98876768158843997</v>
      </c>
      <c r="C67">
        <v>1.0544814300301699</v>
      </c>
      <c r="D67">
        <v>0.72811806003355195</v>
      </c>
      <c r="E67">
        <v>0.656218070490726</v>
      </c>
      <c r="F67">
        <v>0.91257967592272404</v>
      </c>
      <c r="G67">
        <v>0.76089771574871601</v>
      </c>
      <c r="H67">
        <v>0.51980002764848998</v>
      </c>
      <c r="I67">
        <v>0.69969170930340796</v>
      </c>
      <c r="J67">
        <v>0.89519796447285305</v>
      </c>
      <c r="K67">
        <v>1.0807509919901099</v>
      </c>
      <c r="L67">
        <v>11100.927062024801</v>
      </c>
      <c r="M67">
        <v>250</v>
      </c>
      <c r="O67">
        <v>44.400866721808399</v>
      </c>
      <c r="P67">
        <v>-0.30734975386132202</v>
      </c>
      <c r="Q67">
        <v>0.78165447300630497</v>
      </c>
      <c r="R67">
        <v>0.29597934288447098</v>
      </c>
      <c r="S67" t="s">
        <v>3899</v>
      </c>
      <c r="T67" t="s">
        <v>7662</v>
      </c>
      <c r="U67" t="s">
        <v>7662</v>
      </c>
      <c r="V67" t="s">
        <v>7662</v>
      </c>
      <c r="W67">
        <v>4</v>
      </c>
      <c r="X67" t="s">
        <v>7729</v>
      </c>
      <c r="Y67">
        <v>0.81372248813514481</v>
      </c>
      <c r="Z67" t="str">
        <f>HYPERLINK("Melting_Curves/meltCurve_sp_O14545_TRAD1_HUMAN_.pdf", "Melting_Curves/meltCurve_sp_O14545_TRAD1_HUMAN_.pdf")</f>
        <v>Melting_Curves/meltCurve_sp_O14545_TRAD1_HUMAN_.pdf</v>
      </c>
      <c r="AA67" t="s">
        <v>11557</v>
      </c>
      <c r="AB67" t="s">
        <v>15308</v>
      </c>
    </row>
    <row r="68" spans="1:28" x14ac:dyDescent="0.25">
      <c r="A68" t="s">
        <v>72</v>
      </c>
      <c r="B68">
        <v>0.98876768158843997</v>
      </c>
      <c r="C68">
        <v>1.0298397287948999</v>
      </c>
      <c r="D68">
        <v>0.90519535769874804</v>
      </c>
      <c r="E68">
        <v>0.75574162272999501</v>
      </c>
      <c r="F68">
        <v>0.82730844485014998</v>
      </c>
      <c r="G68">
        <v>0.61878310025314698</v>
      </c>
      <c r="H68">
        <v>0.450567897066112</v>
      </c>
      <c r="I68">
        <v>0.53285319817601395</v>
      </c>
      <c r="J68">
        <v>0.49454169626602801</v>
      </c>
      <c r="K68">
        <v>0.60101140575881395</v>
      </c>
      <c r="L68">
        <v>752.12872786284197</v>
      </c>
      <c r="M68">
        <v>14.4219620424449</v>
      </c>
      <c r="O68">
        <v>51.1796783058087</v>
      </c>
      <c r="P68">
        <v>-3.5119712261123801E-2</v>
      </c>
      <c r="Q68">
        <v>0.50153694564957296</v>
      </c>
      <c r="R68">
        <v>0.90180132578925498</v>
      </c>
      <c r="S68" t="s">
        <v>3900</v>
      </c>
      <c r="T68" t="s">
        <v>7662</v>
      </c>
      <c r="U68" t="s">
        <v>7662</v>
      </c>
      <c r="V68" t="s">
        <v>7662</v>
      </c>
      <c r="W68">
        <v>5</v>
      </c>
      <c r="X68" t="s">
        <v>7730</v>
      </c>
      <c r="Y68">
        <v>0.7151929164436247</v>
      </c>
      <c r="Z68" t="str">
        <f>HYPERLINK("Melting_Curves/meltCurve_sp_O14561_ACPM_HUMAN_.pdf", "Melting_Curves/meltCurve_sp_O14561_ACPM_HUMAN_.pdf")</f>
        <v>Melting_Curves/meltCurve_sp_O14561_ACPM_HUMAN_.pdf</v>
      </c>
      <c r="AA68" t="s">
        <v>11558</v>
      </c>
      <c r="AB68" t="s">
        <v>15309</v>
      </c>
    </row>
    <row r="69" spans="1:28" x14ac:dyDescent="0.25">
      <c r="A69" t="s">
        <v>73</v>
      </c>
      <c r="B69">
        <v>0.98876768158843997</v>
      </c>
      <c r="C69">
        <v>1.12959489737559</v>
      </c>
      <c r="D69">
        <v>1.00895916682445</v>
      </c>
      <c r="E69">
        <v>1.2014293286209301</v>
      </c>
      <c r="F69">
        <v>0.75971905589831801</v>
      </c>
      <c r="G69">
        <v>0.69370310868308205</v>
      </c>
      <c r="H69">
        <v>0.73276563458533694</v>
      </c>
      <c r="I69">
        <v>0.87221162342329805</v>
      </c>
      <c r="J69">
        <v>0.99317131467198605</v>
      </c>
      <c r="K69">
        <v>1.55698957963185</v>
      </c>
      <c r="L69">
        <v>15000</v>
      </c>
      <c r="M69">
        <v>219.78131781441101</v>
      </c>
      <c r="O69">
        <v>68.244008665668005</v>
      </c>
      <c r="P69">
        <v>0.40256522958165097</v>
      </c>
      <c r="Q69">
        <v>1.5</v>
      </c>
      <c r="R69">
        <v>0.50461466313097803</v>
      </c>
      <c r="S69" t="s">
        <v>3901</v>
      </c>
      <c r="T69" t="s">
        <v>7662</v>
      </c>
      <c r="U69" t="s">
        <v>7662</v>
      </c>
      <c r="V69" t="s">
        <v>7662</v>
      </c>
      <c r="W69">
        <v>1</v>
      </c>
      <c r="X69" t="s">
        <v>7731</v>
      </c>
      <c r="Y69">
        <v>1.02911736906405</v>
      </c>
      <c r="Z69" t="str">
        <f>HYPERLINK("Melting_Curves/meltCurve_sp_O14578_3_CTRO_HUMAN_.pdf", "Melting_Curves/meltCurve_sp_O14578_3_CTRO_HUMAN_.pdf")</f>
        <v>Melting_Curves/meltCurve_sp_O14578_3_CTRO_HUMAN_.pdf</v>
      </c>
      <c r="AA69" t="s">
        <v>11559</v>
      </c>
      <c r="AB69" t="s">
        <v>15310</v>
      </c>
    </row>
    <row r="70" spans="1:28" x14ac:dyDescent="0.25">
      <c r="A70" t="s">
        <v>74</v>
      </c>
      <c r="B70">
        <v>0.98876768158843997</v>
      </c>
      <c r="C70">
        <v>1.07174450513819</v>
      </c>
      <c r="D70">
        <v>1.0072060657047199</v>
      </c>
      <c r="E70">
        <v>0.81553625532892704</v>
      </c>
      <c r="F70">
        <v>0.283572341142799</v>
      </c>
      <c r="G70">
        <v>0.115946704956826</v>
      </c>
      <c r="H70">
        <v>6.1815170702589899E-2</v>
      </c>
      <c r="I70">
        <v>7.9405869579004904E-2</v>
      </c>
      <c r="J70">
        <v>7.6357545820373907E-2</v>
      </c>
      <c r="K70">
        <v>1.5004048274205E-2</v>
      </c>
      <c r="L70">
        <v>2242.26334190943</v>
      </c>
      <c r="M70">
        <v>43.461613787481298</v>
      </c>
      <c r="N70">
        <v>51.759209768184498</v>
      </c>
      <c r="O70">
        <v>51.482942671315499</v>
      </c>
      <c r="P70">
        <v>-0.197211359647261</v>
      </c>
      <c r="Q70">
        <v>6.5565668277221101E-2</v>
      </c>
      <c r="R70">
        <v>0.99487413325767904</v>
      </c>
      <c r="S70" t="s">
        <v>3902</v>
      </c>
      <c r="T70" t="s">
        <v>7662</v>
      </c>
      <c r="U70" t="s">
        <v>7662</v>
      </c>
      <c r="V70" t="s">
        <v>7662</v>
      </c>
      <c r="W70">
        <v>6</v>
      </c>
      <c r="X70" t="s">
        <v>7732</v>
      </c>
      <c r="Y70">
        <v>0.42944411594713949</v>
      </c>
      <c r="Z70" t="str">
        <f>HYPERLINK("Melting_Curves/meltCurve_sp_O14579_COPE_HUMAN_.pdf", "Melting_Curves/meltCurve_sp_O14579_COPE_HUMAN_.pdf")</f>
        <v>Melting_Curves/meltCurve_sp_O14579_COPE_HUMAN_.pdf</v>
      </c>
      <c r="AA70" t="s">
        <v>11560</v>
      </c>
      <c r="AB70" t="s">
        <v>15311</v>
      </c>
    </row>
    <row r="71" spans="1:28" x14ac:dyDescent="0.25">
      <c r="A71" t="s">
        <v>75</v>
      </c>
      <c r="B71">
        <v>0.98876768158843997</v>
      </c>
      <c r="C71">
        <v>1.05306587983649</v>
      </c>
      <c r="D71">
        <v>0.90134492075042505</v>
      </c>
      <c r="E71">
        <v>0.89504458240979101</v>
      </c>
      <c r="F71">
        <v>0.80081184754363</v>
      </c>
      <c r="G71">
        <v>0.63323630231325401</v>
      </c>
      <c r="H71">
        <v>0.45285184369246301</v>
      </c>
      <c r="I71">
        <v>0.579705219035898</v>
      </c>
      <c r="J71">
        <v>0.69762108922771404</v>
      </c>
      <c r="K71">
        <v>0.72004588665370595</v>
      </c>
      <c r="L71">
        <v>1426.57827819926</v>
      </c>
      <c r="M71">
        <v>27.345303107738999</v>
      </c>
      <c r="O71">
        <v>51.892439746417303</v>
      </c>
      <c r="P71">
        <v>-5.1161660822788703E-2</v>
      </c>
      <c r="Q71">
        <v>0.611651281419611</v>
      </c>
      <c r="R71">
        <v>0.81443700475469105</v>
      </c>
      <c r="S71" t="s">
        <v>3903</v>
      </c>
      <c r="T71" t="s">
        <v>7662</v>
      </c>
      <c r="U71" t="s">
        <v>7662</v>
      </c>
      <c r="V71" t="s">
        <v>7662</v>
      </c>
      <c r="W71">
        <v>1</v>
      </c>
      <c r="X71" t="s">
        <v>7733</v>
      </c>
      <c r="Y71">
        <v>0.77216409949212728</v>
      </c>
      <c r="Z71" t="str">
        <f>HYPERLINK("Melting_Curves/meltCurve_sp_O14686_MLL2_HUMAN_.pdf", "Melting_Curves/meltCurve_sp_O14686_MLL2_HUMAN_.pdf")</f>
        <v>Melting_Curves/meltCurve_sp_O14686_MLL2_HUMAN_.pdf</v>
      </c>
      <c r="AA71" t="s">
        <v>11561</v>
      </c>
      <c r="AB71" t="s">
        <v>15312</v>
      </c>
    </row>
    <row r="72" spans="1:28" x14ac:dyDescent="0.25">
      <c r="A72" t="s">
        <v>76</v>
      </c>
      <c r="B72">
        <v>0.98876768158843997</v>
      </c>
      <c r="C72">
        <v>0.96822537698843603</v>
      </c>
      <c r="D72">
        <v>0.86521723400620698</v>
      </c>
      <c r="E72">
        <v>0.65523140502181398</v>
      </c>
      <c r="F72">
        <v>0.233153782169324</v>
      </c>
      <c r="G72">
        <v>9.2237546029348805E-2</v>
      </c>
      <c r="H72">
        <v>5.0625599090893703E-2</v>
      </c>
      <c r="I72">
        <v>5.1526728923342202E-2</v>
      </c>
      <c r="J72">
        <v>4.50334461229914E-2</v>
      </c>
      <c r="K72">
        <v>4.9467823002483299E-2</v>
      </c>
      <c r="L72">
        <v>1318.0450310620599</v>
      </c>
      <c r="M72">
        <v>26.003747736425598</v>
      </c>
      <c r="N72">
        <v>50.853331818548497</v>
      </c>
      <c r="O72">
        <v>50.389820643454797</v>
      </c>
      <c r="P72">
        <v>-0.123746644249581</v>
      </c>
      <c r="Q72">
        <v>4.0830629914740603E-2</v>
      </c>
      <c r="R72">
        <v>0.99357881512755897</v>
      </c>
      <c r="S72" t="s">
        <v>3904</v>
      </c>
      <c r="T72" t="s">
        <v>7662</v>
      </c>
      <c r="U72" t="s">
        <v>7662</v>
      </c>
      <c r="V72" t="s">
        <v>7662</v>
      </c>
      <c r="W72">
        <v>4</v>
      </c>
      <c r="X72" t="s">
        <v>7734</v>
      </c>
      <c r="Y72">
        <v>0.39049654987545129</v>
      </c>
      <c r="Z72" t="str">
        <f>HYPERLINK("Melting_Curves/meltCurve_sp_O14732_2_IMPA2_HUMAN_.pdf", "Melting_Curves/meltCurve_sp_O14732_2_IMPA2_HUMAN_.pdf")</f>
        <v>Melting_Curves/meltCurve_sp_O14732_2_IMPA2_HUMAN_.pdf</v>
      </c>
      <c r="AA72" t="s">
        <v>11562</v>
      </c>
      <c r="AB72" t="s">
        <v>15313</v>
      </c>
    </row>
    <row r="73" spans="1:28" x14ac:dyDescent="0.25">
      <c r="A73" t="s">
        <v>77</v>
      </c>
      <c r="B73">
        <v>0.98876768158843997</v>
      </c>
      <c r="C73">
        <v>0.9507140007182</v>
      </c>
      <c r="D73">
        <v>0.78184315739800703</v>
      </c>
      <c r="E73">
        <v>0.50874878371836596</v>
      </c>
      <c r="F73">
        <v>0.21694450812572999</v>
      </c>
      <c r="G73">
        <v>8.6985018982152398E-2</v>
      </c>
      <c r="H73">
        <v>4.5537693394682797E-2</v>
      </c>
      <c r="I73">
        <v>3.86407769384772E-2</v>
      </c>
      <c r="J73">
        <v>3.4936050410879597E-2</v>
      </c>
      <c r="K73">
        <v>3.11228164190109E-2</v>
      </c>
      <c r="L73">
        <v>920.17100207312001</v>
      </c>
      <c r="M73">
        <v>18.5736475078251</v>
      </c>
      <c r="N73">
        <v>49.649273172604303</v>
      </c>
      <c r="O73">
        <v>48.978184169536704</v>
      </c>
      <c r="P73">
        <v>-9.2940880521441102E-2</v>
      </c>
      <c r="Q73">
        <v>1.9712916953230498E-2</v>
      </c>
      <c r="R73">
        <v>0.99757468456002096</v>
      </c>
      <c r="S73" t="s">
        <v>3905</v>
      </c>
      <c r="T73" t="s">
        <v>7662</v>
      </c>
      <c r="U73" t="s">
        <v>7662</v>
      </c>
      <c r="V73" t="s">
        <v>7662</v>
      </c>
      <c r="W73">
        <v>4</v>
      </c>
      <c r="X73" t="s">
        <v>7735</v>
      </c>
      <c r="Y73">
        <v>0.34732792772788429</v>
      </c>
      <c r="Z73" t="str">
        <f>HYPERLINK("Melting_Curves/meltCurve_sp_O14734_ACOT8_HUMAN_.pdf", "Melting_Curves/meltCurve_sp_O14734_ACOT8_HUMAN_.pdf")</f>
        <v>Melting_Curves/meltCurve_sp_O14734_ACOT8_HUMAN_.pdf</v>
      </c>
      <c r="AA73" t="s">
        <v>11563</v>
      </c>
      <c r="AB73" t="s">
        <v>15314</v>
      </c>
    </row>
    <row r="74" spans="1:28" x14ac:dyDescent="0.25">
      <c r="A74" t="s">
        <v>78</v>
      </c>
      <c r="B74">
        <v>0.98876768158843997</v>
      </c>
      <c r="C74">
        <v>1.1420575985002399</v>
      </c>
      <c r="D74">
        <v>0.91575002773383496</v>
      </c>
      <c r="E74">
        <v>0.79392618600817799</v>
      </c>
      <c r="F74">
        <v>1.0757131849438</v>
      </c>
      <c r="G74">
        <v>0.70156352834124402</v>
      </c>
      <c r="H74">
        <v>0.62011769026172103</v>
      </c>
      <c r="I74">
        <v>0.64462883585610797</v>
      </c>
      <c r="J74">
        <v>0.89809627749162302</v>
      </c>
      <c r="K74">
        <v>0.82089660406014997</v>
      </c>
      <c r="L74">
        <v>5875.6072260831797</v>
      </c>
      <c r="M74">
        <v>106.60673889857701</v>
      </c>
      <c r="O74">
        <v>55.095405380317402</v>
      </c>
      <c r="P74">
        <v>-0.127703628397483</v>
      </c>
      <c r="Q74">
        <v>0.73600611999620802</v>
      </c>
      <c r="R74">
        <v>0.52791768727489596</v>
      </c>
      <c r="S74" t="s">
        <v>3906</v>
      </c>
      <c r="T74" t="s">
        <v>7662</v>
      </c>
      <c r="U74" t="s">
        <v>7662</v>
      </c>
      <c r="V74" t="s">
        <v>7662</v>
      </c>
      <c r="W74">
        <v>7</v>
      </c>
      <c r="X74" t="s">
        <v>7736</v>
      </c>
      <c r="Y74">
        <v>0.86915368806094784</v>
      </c>
      <c r="Z74" t="str">
        <f>HYPERLINK("Melting_Curves/meltCurve_sp_O14737_PDCD5_HUMAN_.pdf", "Melting_Curves/meltCurve_sp_O14737_PDCD5_HUMAN_.pdf")</f>
        <v>Melting_Curves/meltCurve_sp_O14737_PDCD5_HUMAN_.pdf</v>
      </c>
      <c r="AA74" t="s">
        <v>11564</v>
      </c>
      <c r="AB74" t="s">
        <v>15315</v>
      </c>
    </row>
    <row r="75" spans="1:28" x14ac:dyDescent="0.25">
      <c r="A75" t="s">
        <v>79</v>
      </c>
      <c r="B75">
        <v>0.98876768158843997</v>
      </c>
      <c r="C75">
        <v>0.90584478874498497</v>
      </c>
      <c r="D75">
        <v>1.0739893453435101</v>
      </c>
      <c r="E75">
        <v>0.92039274146457795</v>
      </c>
      <c r="F75">
        <v>0.37204350039976403</v>
      </c>
      <c r="G75">
        <v>0.20622971265919199</v>
      </c>
      <c r="H75">
        <v>0.129002349869273</v>
      </c>
      <c r="I75">
        <v>0.102800689008042</v>
      </c>
      <c r="J75">
        <v>0.150541133492062</v>
      </c>
      <c r="K75">
        <v>0.109873642573311</v>
      </c>
      <c r="L75">
        <v>2792.8690284292002</v>
      </c>
      <c r="M75">
        <v>53.646461502294201</v>
      </c>
      <c r="N75">
        <v>52.3737212152365</v>
      </c>
      <c r="O75">
        <v>51.988447476258898</v>
      </c>
      <c r="P75">
        <v>-0.22258541652934999</v>
      </c>
      <c r="Q75">
        <v>0.13717606298222901</v>
      </c>
      <c r="R75">
        <v>0.98702782464315397</v>
      </c>
      <c r="S75" t="s">
        <v>3907</v>
      </c>
      <c r="T75" t="s">
        <v>7662</v>
      </c>
      <c r="U75" t="s">
        <v>7662</v>
      </c>
      <c r="V75" t="s">
        <v>7662</v>
      </c>
      <c r="W75">
        <v>10</v>
      </c>
      <c r="X75" t="s">
        <v>7737</v>
      </c>
      <c r="Y75">
        <v>0.48576951465097412</v>
      </c>
      <c r="Z75" t="str">
        <f>HYPERLINK("Melting_Curves/meltCurve_sp_O14744_ANM5_HUMAN_.pdf", "Melting_Curves/meltCurve_sp_O14744_ANM5_HUMAN_.pdf")</f>
        <v>Melting_Curves/meltCurve_sp_O14744_ANM5_HUMAN_.pdf</v>
      </c>
      <c r="AA75" t="s">
        <v>11565</v>
      </c>
      <c r="AB75" t="s">
        <v>15316</v>
      </c>
    </row>
    <row r="76" spans="1:28" x14ac:dyDescent="0.25">
      <c r="A76" t="s">
        <v>80</v>
      </c>
      <c r="B76">
        <v>0.98876768158843997</v>
      </c>
      <c r="C76">
        <v>1.05765944853797</v>
      </c>
      <c r="D76">
        <v>0.87814300324349304</v>
      </c>
      <c r="E76">
        <v>0.74727797699335397</v>
      </c>
      <c r="F76">
        <v>0.87396922519678499</v>
      </c>
      <c r="G76">
        <v>0.62867831550647701</v>
      </c>
      <c r="H76">
        <v>0.51244615269477201</v>
      </c>
      <c r="I76">
        <v>0.58834203373092597</v>
      </c>
      <c r="J76">
        <v>0.76226174821203097</v>
      </c>
      <c r="K76">
        <v>0.834406373735741</v>
      </c>
      <c r="L76">
        <v>953.339421475162</v>
      </c>
      <c r="M76">
        <v>19.647976351858699</v>
      </c>
      <c r="O76">
        <v>48.0267560798749</v>
      </c>
      <c r="P76">
        <v>-3.2887404027478501E-2</v>
      </c>
      <c r="Q76">
        <v>0.67845639863168195</v>
      </c>
      <c r="R76">
        <v>0.61918053459210698</v>
      </c>
      <c r="S76" t="s">
        <v>3908</v>
      </c>
      <c r="T76" t="s">
        <v>7662</v>
      </c>
      <c r="U76" t="s">
        <v>7662</v>
      </c>
      <c r="V76" t="s">
        <v>7662</v>
      </c>
      <c r="W76">
        <v>19</v>
      </c>
      <c r="X76" t="s">
        <v>7738</v>
      </c>
      <c r="Y76">
        <v>0.7744842040851061</v>
      </c>
      <c r="Z76" t="str">
        <f>HYPERLINK("Melting_Curves/meltCurve_sp_O14745_NHRF1_HUMAN_.pdf", "Melting_Curves/meltCurve_sp_O14745_NHRF1_HUMAN_.pdf")</f>
        <v>Melting_Curves/meltCurve_sp_O14745_NHRF1_HUMAN_.pdf</v>
      </c>
      <c r="AA76" t="s">
        <v>11566</v>
      </c>
      <c r="AB76" t="s">
        <v>15317</v>
      </c>
    </row>
    <row r="77" spans="1:28" x14ac:dyDescent="0.25">
      <c r="A77" t="s">
        <v>81</v>
      </c>
      <c r="B77">
        <v>0.98876768158843997</v>
      </c>
      <c r="C77">
        <v>0.90481543478528004</v>
      </c>
      <c r="D77">
        <v>0.91123582412783199</v>
      </c>
      <c r="E77">
        <v>0.46569122930307599</v>
      </c>
      <c r="F77">
        <v>0.267010994585127</v>
      </c>
      <c r="G77">
        <v>0.124799471589554</v>
      </c>
      <c r="H77">
        <v>8.2435776012447601E-2</v>
      </c>
      <c r="I77">
        <v>7.5633827150939997E-2</v>
      </c>
      <c r="J77">
        <v>7.9823316761875499E-2</v>
      </c>
      <c r="K77">
        <v>7.5332570133754995E-2</v>
      </c>
      <c r="L77">
        <v>1130.46738174553</v>
      </c>
      <c r="M77">
        <v>22.802891962789602</v>
      </c>
      <c r="N77">
        <v>49.932932774944</v>
      </c>
      <c r="O77">
        <v>49.199061567183698</v>
      </c>
      <c r="P77">
        <v>-0.107150009271563</v>
      </c>
      <c r="Q77">
        <v>7.5279081216356E-2</v>
      </c>
      <c r="R77">
        <v>0.99408123874654497</v>
      </c>
      <c r="S77" t="s">
        <v>3909</v>
      </c>
      <c r="T77" t="s">
        <v>7662</v>
      </c>
      <c r="U77" t="s">
        <v>7662</v>
      </c>
      <c r="V77" t="s">
        <v>7662</v>
      </c>
      <c r="W77">
        <v>8</v>
      </c>
      <c r="X77" t="s">
        <v>7739</v>
      </c>
      <c r="Y77">
        <v>0.38035548092547711</v>
      </c>
      <c r="Z77" t="str">
        <f>HYPERLINK("Melting_Curves/meltCurve_sp_O14756_H17B6_HUMAN_.pdf", "Melting_Curves/meltCurve_sp_O14756_H17B6_HUMAN_.pdf")</f>
        <v>Melting_Curves/meltCurve_sp_O14756_H17B6_HUMAN_.pdf</v>
      </c>
      <c r="AA77" t="s">
        <v>11567</v>
      </c>
      <c r="AB77" t="s">
        <v>15318</v>
      </c>
    </row>
    <row r="78" spans="1:28" x14ac:dyDescent="0.25">
      <c r="A78" t="s">
        <v>82</v>
      </c>
      <c r="B78">
        <v>0.98876768158843997</v>
      </c>
      <c r="C78">
        <v>0.91102117745771805</v>
      </c>
      <c r="D78">
        <v>0.80613194598304605</v>
      </c>
      <c r="E78">
        <v>0.56276537964002704</v>
      </c>
      <c r="F78">
        <v>0.20170865040107899</v>
      </c>
      <c r="G78">
        <v>9.42263778501682E-2</v>
      </c>
      <c r="H78">
        <v>5.6536832648056798E-2</v>
      </c>
      <c r="I78">
        <v>3.7285012792099198E-2</v>
      </c>
      <c r="J78">
        <v>3.7262911034666599E-2</v>
      </c>
      <c r="K78">
        <v>5.4568034006784401E-2</v>
      </c>
      <c r="L78">
        <v>954.25667385295196</v>
      </c>
      <c r="M78">
        <v>19.163999270600399</v>
      </c>
      <c r="N78">
        <v>49.937803355730601</v>
      </c>
      <c r="O78">
        <v>49.261535729394403</v>
      </c>
      <c r="P78">
        <v>-9.4653304649668701E-2</v>
      </c>
      <c r="Q78">
        <v>2.6802663058858599E-2</v>
      </c>
      <c r="R78">
        <v>0.99182858403609897</v>
      </c>
      <c r="S78" t="s">
        <v>3910</v>
      </c>
      <c r="T78" t="s">
        <v>7662</v>
      </c>
      <c r="U78" t="s">
        <v>7662</v>
      </c>
      <c r="V78" t="s">
        <v>7662</v>
      </c>
      <c r="W78">
        <v>6</v>
      </c>
      <c r="X78" t="s">
        <v>7740</v>
      </c>
      <c r="Y78">
        <v>0.35926942000689438</v>
      </c>
      <c r="Z78" t="str">
        <f>HYPERLINK("Melting_Curves/meltCurve_sp_O14772_FPGT_HUMAN_.pdf", "Melting_Curves/meltCurve_sp_O14772_FPGT_HUMAN_.pdf")</f>
        <v>Melting_Curves/meltCurve_sp_O14772_FPGT_HUMAN_.pdf</v>
      </c>
      <c r="AA78" t="s">
        <v>11568</v>
      </c>
      <c r="AB78" t="s">
        <v>15319</v>
      </c>
    </row>
    <row r="79" spans="1:28" x14ac:dyDescent="0.25">
      <c r="A79" t="s">
        <v>83</v>
      </c>
      <c r="B79">
        <v>0.98876768158843997</v>
      </c>
      <c r="C79">
        <v>0.67910460711089604</v>
      </c>
      <c r="D79">
        <v>0.53635113335971796</v>
      </c>
      <c r="E79">
        <v>0.23747218705703299</v>
      </c>
      <c r="F79">
        <v>0.17669626265323199</v>
      </c>
      <c r="G79">
        <v>7.9693664083484994E-2</v>
      </c>
      <c r="H79">
        <v>5.2260391859573402E-2</v>
      </c>
      <c r="I79">
        <v>5.13288360929934E-2</v>
      </c>
      <c r="J79">
        <v>5.1431698096021397E-2</v>
      </c>
      <c r="K79">
        <v>5.2081433293617502E-2</v>
      </c>
      <c r="L79">
        <v>704.77299985774596</v>
      </c>
      <c r="M79">
        <v>15.378770014648</v>
      </c>
      <c r="N79">
        <v>46.098161021604298</v>
      </c>
      <c r="O79">
        <v>45.073745775590403</v>
      </c>
      <c r="P79">
        <v>-8.16251119599916E-2</v>
      </c>
      <c r="Q79">
        <v>4.3145252759290903E-2</v>
      </c>
      <c r="R79">
        <v>0.98602842772271504</v>
      </c>
      <c r="S79" t="s">
        <v>3911</v>
      </c>
      <c r="T79" t="s">
        <v>7662</v>
      </c>
      <c r="U79" t="s">
        <v>7662</v>
      </c>
      <c r="V79" t="s">
        <v>7662</v>
      </c>
      <c r="W79">
        <v>2</v>
      </c>
      <c r="X79" t="s">
        <v>7741</v>
      </c>
      <c r="Y79">
        <v>0.25591759012199777</v>
      </c>
      <c r="Z79" t="str">
        <f>HYPERLINK("Melting_Curves/meltCurve_sp_O14773_2_TPP1_HUMAN_.pdf", "Melting_Curves/meltCurve_sp_O14773_2_TPP1_HUMAN_.pdf")</f>
        <v>Melting_Curves/meltCurve_sp_O14773_2_TPP1_HUMAN_.pdf</v>
      </c>
      <c r="AA79" t="s">
        <v>11569</v>
      </c>
      <c r="AB79" t="s">
        <v>15320</v>
      </c>
    </row>
    <row r="80" spans="1:28" x14ac:dyDescent="0.25">
      <c r="A80" t="s">
        <v>84</v>
      </c>
      <c r="B80">
        <v>0.98876768158843997</v>
      </c>
      <c r="C80">
        <v>0.98615318633780102</v>
      </c>
      <c r="D80">
        <v>0.89050895012068898</v>
      </c>
      <c r="E80">
        <v>0.49738542576431499</v>
      </c>
      <c r="F80">
        <v>0.20805819964709399</v>
      </c>
      <c r="G80">
        <v>0.14640853637170601</v>
      </c>
      <c r="H80">
        <v>9.0333203865730696E-2</v>
      </c>
      <c r="I80">
        <v>7.0520153619482204E-2</v>
      </c>
      <c r="J80">
        <v>8.8656665980740096E-2</v>
      </c>
      <c r="K80">
        <v>4.6743460745014398E-2</v>
      </c>
      <c r="L80">
        <v>1266.33183445911</v>
      </c>
      <c r="M80">
        <v>25.527051925689101</v>
      </c>
      <c r="N80">
        <v>49.932796633682997</v>
      </c>
      <c r="O80">
        <v>49.306013940441701</v>
      </c>
      <c r="P80">
        <v>-0.11951678129386301</v>
      </c>
      <c r="Q80">
        <v>7.6615208134427099E-2</v>
      </c>
      <c r="R80">
        <v>0.99792598170379399</v>
      </c>
      <c r="S80" t="s">
        <v>3912</v>
      </c>
      <c r="T80" t="s">
        <v>7662</v>
      </c>
      <c r="U80" t="s">
        <v>7662</v>
      </c>
      <c r="V80" t="s">
        <v>7662</v>
      </c>
      <c r="W80">
        <v>10</v>
      </c>
      <c r="X80" t="s">
        <v>7742</v>
      </c>
      <c r="Y80">
        <v>0.38020832346692562</v>
      </c>
      <c r="Z80" t="str">
        <f>HYPERLINK("Melting_Curves/meltCurve_sp_O14776_2_TCRG1_HUMAN_.pdf", "Melting_Curves/meltCurve_sp_O14776_2_TCRG1_HUMAN_.pdf")</f>
        <v>Melting_Curves/meltCurve_sp_O14776_2_TCRG1_HUMAN_.pdf</v>
      </c>
      <c r="AA80" t="s">
        <v>11570</v>
      </c>
      <c r="AB80" t="s">
        <v>15321</v>
      </c>
    </row>
    <row r="81" spans="1:28" x14ac:dyDescent="0.25">
      <c r="A81" t="s">
        <v>85</v>
      </c>
      <c r="B81">
        <v>0.98876768158843997</v>
      </c>
      <c r="C81">
        <v>0.96483617984904602</v>
      </c>
      <c r="D81">
        <v>0.90258662368333398</v>
      </c>
      <c r="E81">
        <v>0.77452764915153505</v>
      </c>
      <c r="F81">
        <v>0.387658774324245</v>
      </c>
      <c r="G81">
        <v>0.206474620435079</v>
      </c>
      <c r="H81">
        <v>0.14584041780937301</v>
      </c>
      <c r="I81">
        <v>0.115111307575596</v>
      </c>
      <c r="J81">
        <v>0.104080255108584</v>
      </c>
      <c r="K81">
        <v>9.4792730337497397E-2</v>
      </c>
      <c r="L81">
        <v>1263.2647505642699</v>
      </c>
      <c r="M81">
        <v>24.4286893888004</v>
      </c>
      <c r="N81">
        <v>52.225215313322799</v>
      </c>
      <c r="O81">
        <v>51.369545331072601</v>
      </c>
      <c r="P81">
        <v>-0.106209690689439</v>
      </c>
      <c r="Q81">
        <v>0.106646612405404</v>
      </c>
      <c r="R81">
        <v>0.99397918202217705</v>
      </c>
      <c r="S81" t="s">
        <v>3913</v>
      </c>
      <c r="T81" t="s">
        <v>7662</v>
      </c>
      <c r="U81" t="s">
        <v>7662</v>
      </c>
      <c r="V81" t="s">
        <v>7662</v>
      </c>
      <c r="W81">
        <v>6</v>
      </c>
      <c r="X81" t="s">
        <v>7743</v>
      </c>
      <c r="Y81">
        <v>0.46392550976684999</v>
      </c>
      <c r="Z81" t="str">
        <f>HYPERLINK("Melting_Curves/meltCurve_sp_O14787_2_TNPO2_HUMAN_.pdf", "Melting_Curves/meltCurve_sp_O14787_2_TNPO2_HUMAN_.pdf")</f>
        <v>Melting_Curves/meltCurve_sp_O14787_2_TNPO2_HUMAN_.pdf</v>
      </c>
      <c r="AA81" t="s">
        <v>11571</v>
      </c>
      <c r="AB81" t="s">
        <v>15322</v>
      </c>
    </row>
    <row r="82" spans="1:28" x14ac:dyDescent="0.25">
      <c r="A82" t="s">
        <v>86</v>
      </c>
      <c r="B82">
        <v>0.98876768158843997</v>
      </c>
      <c r="C82">
        <v>0.906560663258003</v>
      </c>
      <c r="D82">
        <v>1.0919220708774</v>
      </c>
      <c r="E82">
        <v>0.98307729609695205</v>
      </c>
      <c r="F82">
        <v>0.58111788734707204</v>
      </c>
      <c r="G82">
        <v>0.50782422968698704</v>
      </c>
      <c r="H82">
        <v>0.47164252550504998</v>
      </c>
      <c r="I82">
        <v>0.55405450464654205</v>
      </c>
      <c r="J82">
        <v>0.60509382471412698</v>
      </c>
      <c r="K82">
        <v>0.64364574575558298</v>
      </c>
      <c r="L82">
        <v>5362.4683160878503</v>
      </c>
      <c r="M82">
        <v>104.016096483165</v>
      </c>
      <c r="O82">
        <v>51.535167878939902</v>
      </c>
      <c r="P82">
        <v>-0.22380091133997401</v>
      </c>
      <c r="Q82">
        <v>0.55646799327440799</v>
      </c>
      <c r="R82">
        <v>0.92409376061609905</v>
      </c>
      <c r="S82" t="s">
        <v>3914</v>
      </c>
      <c r="T82" t="s">
        <v>7662</v>
      </c>
      <c r="U82" t="s">
        <v>7662</v>
      </c>
      <c r="V82" t="s">
        <v>7662</v>
      </c>
      <c r="W82">
        <v>11</v>
      </c>
      <c r="X82" t="s">
        <v>7744</v>
      </c>
      <c r="Y82">
        <v>0.72752220886603036</v>
      </c>
      <c r="Z82" t="str">
        <f>HYPERLINK("Melting_Curves/meltCurve_sp_O14818_PSA7_HUMAN_.pdf", "Melting_Curves/meltCurve_sp_O14818_PSA7_HUMAN_.pdf")</f>
        <v>Melting_Curves/meltCurve_sp_O14818_PSA7_HUMAN_.pdf</v>
      </c>
      <c r="AA82" t="s">
        <v>11572</v>
      </c>
      <c r="AB82" t="s">
        <v>15323</v>
      </c>
    </row>
    <row r="83" spans="1:28" x14ac:dyDescent="0.25">
      <c r="A83" t="s">
        <v>87</v>
      </c>
      <c r="B83">
        <v>0.98876768158843997</v>
      </c>
      <c r="C83">
        <v>0</v>
      </c>
      <c r="D83">
        <v>0.97289993014729903</v>
      </c>
      <c r="E83">
        <v>0.75817050961297405</v>
      </c>
      <c r="F83">
        <v>0.44815453177756898</v>
      </c>
      <c r="G83">
        <v>0.33939687641820199</v>
      </c>
      <c r="H83">
        <v>0.20343221269419401</v>
      </c>
      <c r="I83">
        <v>0.154110193899614</v>
      </c>
      <c r="J83">
        <v>0.30875556790359099</v>
      </c>
      <c r="K83">
        <v>0.14571342324342401</v>
      </c>
      <c r="L83">
        <v>243.97665960183801</v>
      </c>
      <c r="M83">
        <v>4.8522085133500097</v>
      </c>
      <c r="N83">
        <v>50.281569664163499</v>
      </c>
      <c r="O83">
        <v>43.571162160563901</v>
      </c>
      <c r="P83">
        <v>-2.8029690861746202E-2</v>
      </c>
      <c r="Q83">
        <v>0</v>
      </c>
      <c r="R83">
        <v>0.33149929930100902</v>
      </c>
      <c r="S83" t="s">
        <v>3915</v>
      </c>
      <c r="T83" t="s">
        <v>7662</v>
      </c>
      <c r="U83" t="s">
        <v>7662</v>
      </c>
      <c r="V83" t="s">
        <v>7662</v>
      </c>
      <c r="W83">
        <v>1</v>
      </c>
      <c r="X83" t="s">
        <v>7745</v>
      </c>
      <c r="Y83">
        <v>0.43136258331320632</v>
      </c>
      <c r="Z83" t="str">
        <f>HYPERLINK("Melting_Curves/meltCurve_sp_O14828_SCAM3_HUMAN_.pdf", "Melting_Curves/meltCurve_sp_O14828_SCAM3_HUMAN_.pdf")</f>
        <v>Melting_Curves/meltCurve_sp_O14828_SCAM3_HUMAN_.pdf</v>
      </c>
      <c r="AA83" t="s">
        <v>11573</v>
      </c>
      <c r="AB83" t="s">
        <v>15324</v>
      </c>
    </row>
    <row r="84" spans="1:28" x14ac:dyDescent="0.25">
      <c r="A84" t="s">
        <v>88</v>
      </c>
      <c r="B84">
        <v>0.98876768158843997</v>
      </c>
      <c r="C84">
        <v>1.10950012075156</v>
      </c>
      <c r="D84">
        <v>0.73473741819753002</v>
      </c>
      <c r="E84">
        <v>0.40767419789513298</v>
      </c>
      <c r="F84">
        <v>0.30225037675031002</v>
      </c>
      <c r="G84">
        <v>0.16850996305265301</v>
      </c>
      <c r="H84">
        <v>9.2417938897420907E-2</v>
      </c>
      <c r="I84">
        <v>7.6073839051585906E-2</v>
      </c>
      <c r="J84">
        <v>6.3473470272306501E-2</v>
      </c>
      <c r="K84">
        <v>5.4746406486518802E-2</v>
      </c>
      <c r="L84">
        <v>952.00965440172297</v>
      </c>
      <c r="M84">
        <v>19.444762226741101</v>
      </c>
      <c r="N84">
        <v>49.3781304874828</v>
      </c>
      <c r="O84">
        <v>48.450690935004801</v>
      </c>
      <c r="P84">
        <v>-9.2715009289474598E-2</v>
      </c>
      <c r="Q84">
        <v>7.5958292916074102E-2</v>
      </c>
      <c r="R84">
        <v>0.97415099651655301</v>
      </c>
      <c r="S84" t="s">
        <v>3916</v>
      </c>
      <c r="T84" t="s">
        <v>7662</v>
      </c>
      <c r="U84" t="s">
        <v>7662</v>
      </c>
      <c r="V84" t="s">
        <v>7662</v>
      </c>
      <c r="W84">
        <v>16</v>
      </c>
      <c r="X84" t="s">
        <v>7746</v>
      </c>
      <c r="Y84">
        <v>0.36564053640111449</v>
      </c>
      <c r="Z84" t="str">
        <f>HYPERLINK("Melting_Curves/meltCurve_sp_O14832_PAHX_HUMAN_.pdf", "Melting_Curves/meltCurve_sp_O14832_PAHX_HUMAN_.pdf")</f>
        <v>Melting_Curves/meltCurve_sp_O14832_PAHX_HUMAN_.pdf</v>
      </c>
      <c r="AA84" t="s">
        <v>11574</v>
      </c>
      <c r="AB84" t="s">
        <v>15325</v>
      </c>
    </row>
    <row r="85" spans="1:28" x14ac:dyDescent="0.25">
      <c r="A85" t="s">
        <v>89</v>
      </c>
      <c r="B85">
        <v>0.98876768158843997</v>
      </c>
      <c r="C85">
        <v>0.90380835704475904</v>
      </c>
      <c r="D85">
        <v>1.0711207690258999</v>
      </c>
      <c r="E85">
        <v>0.83079991630878802</v>
      </c>
      <c r="F85">
        <v>0.28581570168360498</v>
      </c>
      <c r="G85">
        <v>0.113238630671103</v>
      </c>
      <c r="H85">
        <v>5.9002422207139402E-2</v>
      </c>
      <c r="I85">
        <v>5.1108708375086999E-2</v>
      </c>
      <c r="J85">
        <v>5.3480686991880501E-2</v>
      </c>
      <c r="K85">
        <v>4.8844043796252401E-2</v>
      </c>
      <c r="L85">
        <v>2342.00538240572</v>
      </c>
      <c r="M85">
        <v>45.323347889110103</v>
      </c>
      <c r="N85">
        <v>51.8234737594385</v>
      </c>
      <c r="O85">
        <v>51.572971360634803</v>
      </c>
      <c r="P85">
        <v>-0.20618181627453999</v>
      </c>
      <c r="Q85">
        <v>6.1552511053488003E-2</v>
      </c>
      <c r="R85">
        <v>0.99066911582444495</v>
      </c>
      <c r="S85" t="s">
        <v>3917</v>
      </c>
      <c r="T85" t="s">
        <v>7662</v>
      </c>
      <c r="U85" t="s">
        <v>7662</v>
      </c>
      <c r="V85" t="s">
        <v>7662</v>
      </c>
      <c r="W85">
        <v>41</v>
      </c>
      <c r="X85" t="s">
        <v>7747</v>
      </c>
      <c r="Y85">
        <v>0.42931670661105198</v>
      </c>
      <c r="Z85" t="str">
        <f>HYPERLINK("Melting_Curves/meltCurve_sp_O14841_OPLA_HUMAN_.pdf", "Melting_Curves/meltCurve_sp_O14841_OPLA_HUMAN_.pdf")</f>
        <v>Melting_Curves/meltCurve_sp_O14841_OPLA_HUMAN_.pdf</v>
      </c>
      <c r="AA85" t="s">
        <v>11575</v>
      </c>
      <c r="AB85" t="s">
        <v>15326</v>
      </c>
    </row>
    <row r="86" spans="1:28" x14ac:dyDescent="0.25">
      <c r="A86" t="s">
        <v>90</v>
      </c>
      <c r="B86">
        <v>0.98876768158843997</v>
      </c>
      <c r="C86">
        <v>0.87369099445000498</v>
      </c>
      <c r="D86">
        <v>0.95273378183392898</v>
      </c>
      <c r="E86">
        <v>0.57857475936634695</v>
      </c>
      <c r="F86">
        <v>0.30057771375960302</v>
      </c>
      <c r="G86">
        <v>0.13273996045158201</v>
      </c>
      <c r="H86">
        <v>7.9084850892278596E-2</v>
      </c>
      <c r="I86">
        <v>8.4327561663179604E-2</v>
      </c>
      <c r="J86">
        <v>9.4377727914718795E-2</v>
      </c>
      <c r="K86">
        <v>9.0129026360520004E-2</v>
      </c>
      <c r="L86">
        <v>1213.50567519224</v>
      </c>
      <c r="M86">
        <v>24.075800567466899</v>
      </c>
      <c r="N86">
        <v>50.777380780364297</v>
      </c>
      <c r="O86">
        <v>50.059669803857702</v>
      </c>
      <c r="P86">
        <v>-0.11047223243755</v>
      </c>
      <c r="Q86">
        <v>8.1215690331653295E-2</v>
      </c>
      <c r="R86">
        <v>0.98938897956164995</v>
      </c>
      <c r="S86" t="s">
        <v>3918</v>
      </c>
      <c r="T86" t="s">
        <v>7662</v>
      </c>
      <c r="U86" t="s">
        <v>7662</v>
      </c>
      <c r="V86" t="s">
        <v>7662</v>
      </c>
      <c r="W86">
        <v>6</v>
      </c>
      <c r="X86" t="s">
        <v>7748</v>
      </c>
      <c r="Y86">
        <v>0.40872428048300269</v>
      </c>
      <c r="Z86" t="str">
        <f>HYPERLINK("Melting_Curves/meltCurve_sp_O14879_IFIT3_HUMAN_.pdf", "Melting_Curves/meltCurve_sp_O14879_IFIT3_HUMAN_.pdf")</f>
        <v>Melting_Curves/meltCurve_sp_O14879_IFIT3_HUMAN_.pdf</v>
      </c>
      <c r="AA86" t="s">
        <v>11576</v>
      </c>
      <c r="AB86" t="s">
        <v>15327</v>
      </c>
    </row>
    <row r="87" spans="1:28" x14ac:dyDescent="0.25">
      <c r="A87" t="s">
        <v>91</v>
      </c>
      <c r="B87">
        <v>0.98876768158843997</v>
      </c>
      <c r="C87">
        <v>1.06193311458606</v>
      </c>
      <c r="D87">
        <v>0.86660472508846897</v>
      </c>
      <c r="E87">
        <v>0.61410574472215296</v>
      </c>
      <c r="F87">
        <v>0.39679263413140597</v>
      </c>
      <c r="G87">
        <v>0.20734190596916199</v>
      </c>
      <c r="H87">
        <v>0.123009207888694</v>
      </c>
      <c r="I87">
        <v>0.126789259306158</v>
      </c>
      <c r="J87">
        <v>0.18404356983737499</v>
      </c>
      <c r="K87">
        <v>0.18282759797454601</v>
      </c>
      <c r="L87">
        <v>1070.3922684680299</v>
      </c>
      <c r="M87">
        <v>21.2031125697617</v>
      </c>
      <c r="N87">
        <v>51.320164623022897</v>
      </c>
      <c r="O87">
        <v>50.040176601372202</v>
      </c>
      <c r="P87">
        <v>-9.0442167794773806E-2</v>
      </c>
      <c r="Q87">
        <v>0.14623383926964001</v>
      </c>
      <c r="R87">
        <v>0.98915981322813495</v>
      </c>
      <c r="S87" t="s">
        <v>3919</v>
      </c>
      <c r="T87" t="s">
        <v>7662</v>
      </c>
      <c r="U87" t="s">
        <v>7662</v>
      </c>
      <c r="V87" t="s">
        <v>7662</v>
      </c>
      <c r="W87">
        <v>5</v>
      </c>
      <c r="X87" t="s">
        <v>7749</v>
      </c>
      <c r="Y87">
        <v>0.45516652148752562</v>
      </c>
      <c r="Z87" t="str">
        <f>HYPERLINK("Melting_Curves/meltCurve_sp_O14896_IRF6_HUMAN_.pdf", "Melting_Curves/meltCurve_sp_O14896_IRF6_HUMAN_.pdf")</f>
        <v>Melting_Curves/meltCurve_sp_O14896_IRF6_HUMAN_.pdf</v>
      </c>
      <c r="AA87" t="s">
        <v>11577</v>
      </c>
      <c r="AB87" t="s">
        <v>15328</v>
      </c>
    </row>
    <row r="88" spans="1:28" x14ac:dyDescent="0.25">
      <c r="A88" t="s">
        <v>92</v>
      </c>
      <c r="B88">
        <v>0.98876768158843997</v>
      </c>
      <c r="C88">
        <v>1.0621407331529</v>
      </c>
      <c r="D88">
        <v>0.90066825626745695</v>
      </c>
      <c r="E88">
        <v>0.70859190188929799</v>
      </c>
      <c r="F88">
        <v>0.41824151523644498</v>
      </c>
      <c r="G88">
        <v>0.33803700916142498</v>
      </c>
      <c r="H88">
        <v>0.20407467607652299</v>
      </c>
      <c r="I88">
        <v>0.18286119741463799</v>
      </c>
      <c r="J88">
        <v>0.15819638418149201</v>
      </c>
      <c r="K88">
        <v>0.292756137394383</v>
      </c>
      <c r="L88">
        <v>1116.7974429999499</v>
      </c>
      <c r="M88">
        <v>21.900273775435799</v>
      </c>
      <c r="N88">
        <v>52.291713487679502</v>
      </c>
      <c r="O88">
        <v>50.575204419455801</v>
      </c>
      <c r="P88">
        <v>-8.5571832274560999E-2</v>
      </c>
      <c r="Q88">
        <v>0.20955969043383399</v>
      </c>
      <c r="R88">
        <v>0.97974086280073203</v>
      </c>
      <c r="S88" t="s">
        <v>3920</v>
      </c>
      <c r="T88" t="s">
        <v>7662</v>
      </c>
      <c r="U88" t="s">
        <v>7662</v>
      </c>
      <c r="V88" t="s">
        <v>7662</v>
      </c>
      <c r="W88">
        <v>2</v>
      </c>
      <c r="X88" t="s">
        <v>7750</v>
      </c>
      <c r="Y88">
        <v>0.50848507703892853</v>
      </c>
      <c r="Z88" t="str">
        <f>HYPERLINK("Melting_Curves/meltCurve_sp_O14907_TX1B3_HUMAN_.pdf", "Melting_Curves/meltCurve_sp_O14907_TX1B3_HUMAN_.pdf")</f>
        <v>Melting_Curves/meltCurve_sp_O14907_TX1B3_HUMAN_.pdf</v>
      </c>
      <c r="AA88" t="s">
        <v>11578</v>
      </c>
      <c r="AB88" t="s">
        <v>15329</v>
      </c>
    </row>
    <row r="89" spans="1:28" x14ac:dyDescent="0.25">
      <c r="A89" t="s">
        <v>93</v>
      </c>
      <c r="B89">
        <v>0.98876768158843997</v>
      </c>
      <c r="C89">
        <v>1.0587887501165401</v>
      </c>
      <c r="D89">
        <v>0.76699877716169196</v>
      </c>
      <c r="E89">
        <v>0.55033871137344803</v>
      </c>
      <c r="F89">
        <v>0.29831122755241601</v>
      </c>
      <c r="G89">
        <v>0.134331890597572</v>
      </c>
      <c r="H89">
        <v>9.2098784333264502E-2</v>
      </c>
      <c r="I89">
        <v>9.8105835820491594E-2</v>
      </c>
      <c r="J89">
        <v>0.240570707228629</v>
      </c>
      <c r="K89">
        <v>7.01100673287985E-2</v>
      </c>
      <c r="L89">
        <v>1001.7051569110899</v>
      </c>
      <c r="M89">
        <v>20.234774329133401</v>
      </c>
      <c r="N89">
        <v>50.130215486817796</v>
      </c>
      <c r="O89">
        <v>49.0282469852689</v>
      </c>
      <c r="P89">
        <v>-9.1661729073974796E-2</v>
      </c>
      <c r="Q89">
        <v>0.11165312366056999</v>
      </c>
      <c r="R89">
        <v>0.97191698563019402</v>
      </c>
      <c r="S89" t="s">
        <v>3921</v>
      </c>
      <c r="T89" t="s">
        <v>7662</v>
      </c>
      <c r="U89" t="s">
        <v>7662</v>
      </c>
      <c r="V89" t="s">
        <v>7662</v>
      </c>
      <c r="W89">
        <v>1</v>
      </c>
      <c r="X89" t="s">
        <v>7751</v>
      </c>
      <c r="Y89">
        <v>0.40519716501340552</v>
      </c>
      <c r="Z89" t="str">
        <f>HYPERLINK("Melting_Curves/meltCurve_sp_O14908_GIPC1_HUMAN_.pdf", "Melting_Curves/meltCurve_sp_O14908_GIPC1_HUMAN_.pdf")</f>
        <v>Melting_Curves/meltCurve_sp_O14908_GIPC1_HUMAN_.pdf</v>
      </c>
      <c r="AA89" t="s">
        <v>11579</v>
      </c>
      <c r="AB89" t="s">
        <v>15330</v>
      </c>
    </row>
    <row r="90" spans="1:28" x14ac:dyDescent="0.25">
      <c r="A90" t="s">
        <v>94</v>
      </c>
      <c r="B90">
        <v>0.98876768158843997</v>
      </c>
      <c r="C90">
        <v>0.87741629673036903</v>
      </c>
      <c r="D90">
        <v>0.87219671153678702</v>
      </c>
      <c r="E90">
        <v>0.56262080044884699</v>
      </c>
      <c r="F90">
        <v>0.27140578014956501</v>
      </c>
      <c r="G90">
        <v>0.149171948014269</v>
      </c>
      <c r="H90">
        <v>0.122466086335925</v>
      </c>
      <c r="I90">
        <v>9.9071664948511995E-2</v>
      </c>
      <c r="J90">
        <v>0.1060497620475</v>
      </c>
      <c r="K90">
        <v>0.124566154562729</v>
      </c>
      <c r="L90">
        <v>1020.43408536867</v>
      </c>
      <c r="M90">
        <v>20.486338431757002</v>
      </c>
      <c r="N90">
        <v>50.349869144658697</v>
      </c>
      <c r="O90">
        <v>49.343161584629598</v>
      </c>
      <c r="P90">
        <v>-9.3571300214116998E-2</v>
      </c>
      <c r="Q90">
        <v>9.8528058331983095E-2</v>
      </c>
      <c r="R90">
        <v>0.99100780616796902</v>
      </c>
      <c r="S90" t="s">
        <v>3922</v>
      </c>
      <c r="T90" t="s">
        <v>7662</v>
      </c>
      <c r="U90" t="s">
        <v>7662</v>
      </c>
      <c r="V90" t="s">
        <v>7662</v>
      </c>
      <c r="W90">
        <v>4</v>
      </c>
      <c r="X90" t="s">
        <v>7752</v>
      </c>
      <c r="Y90">
        <v>0.40530228260707613</v>
      </c>
      <c r="Z90" t="str">
        <f>HYPERLINK("Melting_Curves/meltCurve_sp_O14929_HAT1_HUMAN_.pdf", "Melting_Curves/meltCurve_sp_O14929_HAT1_HUMAN_.pdf")</f>
        <v>Melting_Curves/meltCurve_sp_O14929_HAT1_HUMAN_.pdf</v>
      </c>
      <c r="AA90" t="s">
        <v>11580</v>
      </c>
      <c r="AB90" t="s">
        <v>15331</v>
      </c>
    </row>
    <row r="91" spans="1:28" x14ac:dyDescent="0.25">
      <c r="A91" t="s">
        <v>95</v>
      </c>
      <c r="B91">
        <v>0.98876768158843997</v>
      </c>
      <c r="C91">
        <v>1.1624689646833499</v>
      </c>
      <c r="D91">
        <v>0.884948081967874</v>
      </c>
      <c r="E91">
        <v>0.68566700502088496</v>
      </c>
      <c r="F91">
        <v>0.54205096350097903</v>
      </c>
      <c r="G91">
        <v>0.165613399936477</v>
      </c>
      <c r="H91">
        <v>7.23651743323733E-2</v>
      </c>
      <c r="I91">
        <v>6.1190205689462498E-2</v>
      </c>
      <c r="J91">
        <v>7.5541136956926505E-2</v>
      </c>
      <c r="K91">
        <v>4.3726185353929997E-2</v>
      </c>
      <c r="L91">
        <v>1008.35041363113</v>
      </c>
      <c r="M91">
        <v>19.205583756611901</v>
      </c>
      <c r="N91">
        <v>52.685948042672699</v>
      </c>
      <c r="O91">
        <v>51.943717834725398</v>
      </c>
      <c r="P91">
        <v>-8.9456056383071303E-2</v>
      </c>
      <c r="Q91">
        <v>3.2260385072136702E-2</v>
      </c>
      <c r="R91">
        <v>0.97461263362682304</v>
      </c>
      <c r="S91" t="s">
        <v>3923</v>
      </c>
      <c r="T91" t="s">
        <v>7662</v>
      </c>
      <c r="U91" t="s">
        <v>7662</v>
      </c>
      <c r="V91" t="s">
        <v>7662</v>
      </c>
      <c r="W91">
        <v>5</v>
      </c>
      <c r="X91" t="s">
        <v>7753</v>
      </c>
      <c r="Y91">
        <v>0.44991150367529259</v>
      </c>
      <c r="Z91" t="str">
        <f>HYPERLINK("Melting_Curves/meltCurve_sp_O14933_UB2L6_HUMAN_.pdf", "Melting_Curves/meltCurve_sp_O14933_UB2L6_HUMAN_.pdf")</f>
        <v>Melting_Curves/meltCurve_sp_O14933_UB2L6_HUMAN_.pdf</v>
      </c>
      <c r="AA91" t="s">
        <v>11581</v>
      </c>
      <c r="AB91" t="s">
        <v>15332</v>
      </c>
    </row>
    <row r="92" spans="1:28" x14ac:dyDescent="0.25">
      <c r="A92" t="s">
        <v>96</v>
      </c>
      <c r="B92">
        <v>0.98876768158843997</v>
      </c>
      <c r="C92">
        <v>0.845069171903857</v>
      </c>
      <c r="D92">
        <v>0.96848725224169396</v>
      </c>
      <c r="E92">
        <v>0.83071115097959702</v>
      </c>
      <c r="F92">
        <v>0.52178145033408097</v>
      </c>
      <c r="G92">
        <v>0.24401904282540501</v>
      </c>
      <c r="H92">
        <v>0.109351882164266</v>
      </c>
      <c r="I92">
        <v>0.105401618341179</v>
      </c>
      <c r="J92">
        <v>0.108028500576553</v>
      </c>
      <c r="K92">
        <v>8.4956119255602994E-2</v>
      </c>
      <c r="L92">
        <v>1215.4150827317301</v>
      </c>
      <c r="M92">
        <v>22.968645406527799</v>
      </c>
      <c r="N92">
        <v>53.355693440906201</v>
      </c>
      <c r="O92">
        <v>52.520053553780798</v>
      </c>
      <c r="P92">
        <v>-9.9912962409855199E-2</v>
      </c>
      <c r="Q92">
        <v>8.6174176373640707E-2</v>
      </c>
      <c r="R92">
        <v>0.98258398570870498</v>
      </c>
      <c r="S92" t="s">
        <v>3924</v>
      </c>
      <c r="T92" t="s">
        <v>7662</v>
      </c>
      <c r="U92" t="s">
        <v>7662</v>
      </c>
      <c r="V92" t="s">
        <v>7662</v>
      </c>
      <c r="W92">
        <v>12</v>
      </c>
      <c r="X92" t="s">
        <v>7754</v>
      </c>
      <c r="Y92">
        <v>0.48945543532736407</v>
      </c>
      <c r="Z92" t="str">
        <f>HYPERLINK("Melting_Curves/meltCurve_sp_O14936_3_CSKP_HUMAN_.pdf", "Melting_Curves/meltCurve_sp_O14936_3_CSKP_HUMAN_.pdf")</f>
        <v>Melting_Curves/meltCurve_sp_O14936_3_CSKP_HUMAN_.pdf</v>
      </c>
      <c r="AA92" t="s">
        <v>11582</v>
      </c>
      <c r="AB92" t="s">
        <v>15333</v>
      </c>
    </row>
    <row r="93" spans="1:28" x14ac:dyDescent="0.25">
      <c r="A93" t="s">
        <v>97</v>
      </c>
      <c r="B93">
        <v>0.98876768158843997</v>
      </c>
      <c r="C93">
        <v>0.98633616191237095</v>
      </c>
      <c r="D93">
        <v>0.89154269089436</v>
      </c>
      <c r="E93">
        <v>0.68382662433528896</v>
      </c>
      <c r="F93">
        <v>0.53107276525048996</v>
      </c>
      <c r="G93">
        <v>0.27526310825829498</v>
      </c>
      <c r="H93">
        <v>0.18514564692320401</v>
      </c>
      <c r="I93">
        <v>0.19759305586082601</v>
      </c>
      <c r="J93">
        <v>0.18385751916944101</v>
      </c>
      <c r="K93">
        <v>0.23035513157339599</v>
      </c>
      <c r="L93">
        <v>918.51512806818005</v>
      </c>
      <c r="M93">
        <v>17.827619540456201</v>
      </c>
      <c r="N93">
        <v>52.8046432703619</v>
      </c>
      <c r="O93">
        <v>50.886875197177197</v>
      </c>
      <c r="P93">
        <v>-7.2197092563272697E-2</v>
      </c>
      <c r="Q93">
        <v>0.17572928513741501</v>
      </c>
      <c r="R93">
        <v>0.99334138414323203</v>
      </c>
      <c r="S93" t="s">
        <v>3925</v>
      </c>
      <c r="T93" t="s">
        <v>7662</v>
      </c>
      <c r="U93" t="s">
        <v>7662</v>
      </c>
      <c r="V93" t="s">
        <v>7662</v>
      </c>
      <c r="W93">
        <v>15</v>
      </c>
      <c r="X93" t="s">
        <v>7755</v>
      </c>
      <c r="Y93">
        <v>0.50634143814526011</v>
      </c>
      <c r="Z93" t="str">
        <f>HYPERLINK("Melting_Curves/meltCurve_sp_O14964_HGS_HUMAN_.pdf", "Melting_Curves/meltCurve_sp_O14964_HGS_HUMAN_.pdf")</f>
        <v>Melting_Curves/meltCurve_sp_O14964_HGS_HUMAN_.pdf</v>
      </c>
      <c r="AA93" t="s">
        <v>11583</v>
      </c>
      <c r="AB93" t="s">
        <v>15334</v>
      </c>
    </row>
    <row r="94" spans="1:28" x14ac:dyDescent="0.25">
      <c r="A94" t="s">
        <v>98</v>
      </c>
      <c r="B94">
        <v>0.98876768158843997</v>
      </c>
      <c r="C94">
        <v>1.0005628515090701</v>
      </c>
      <c r="D94">
        <v>0.87333974384416302</v>
      </c>
      <c r="E94">
        <v>0.70580819960603103</v>
      </c>
      <c r="F94">
        <v>0.71534553149367297</v>
      </c>
      <c r="G94">
        <v>0.46676688709351899</v>
      </c>
      <c r="H94">
        <v>0.39503499046127599</v>
      </c>
      <c r="I94">
        <v>0.46120598568334198</v>
      </c>
      <c r="J94">
        <v>0.60569603514580905</v>
      </c>
      <c r="K94">
        <v>0.63216870204891096</v>
      </c>
      <c r="L94">
        <v>948.31569515155002</v>
      </c>
      <c r="M94">
        <v>19.237471295411702</v>
      </c>
      <c r="O94">
        <v>48.771854825635103</v>
      </c>
      <c r="P94">
        <v>-4.7777469910275601E-2</v>
      </c>
      <c r="Q94">
        <v>0.51550672266306097</v>
      </c>
      <c r="R94">
        <v>0.85556875681975197</v>
      </c>
      <c r="S94" t="s">
        <v>3926</v>
      </c>
      <c r="T94" t="s">
        <v>7662</v>
      </c>
      <c r="U94" t="s">
        <v>7662</v>
      </c>
      <c r="V94" t="s">
        <v>7662</v>
      </c>
      <c r="W94">
        <v>16</v>
      </c>
      <c r="X94" t="s">
        <v>7756</v>
      </c>
      <c r="Y94">
        <v>0.67294066073649317</v>
      </c>
      <c r="Z94" t="str">
        <f>HYPERLINK("Melting_Curves/meltCurve_sp_O14974_MYPT1_HUMAN_.pdf", "Melting_Curves/meltCurve_sp_O14974_MYPT1_HUMAN_.pdf")</f>
        <v>Melting_Curves/meltCurve_sp_O14974_MYPT1_HUMAN_.pdf</v>
      </c>
      <c r="AA94" t="s">
        <v>11584</v>
      </c>
      <c r="AB94" t="s">
        <v>15335</v>
      </c>
    </row>
    <row r="95" spans="1:28" x14ac:dyDescent="0.25">
      <c r="A95" t="s">
        <v>99</v>
      </c>
      <c r="B95">
        <v>0.98876768158843997</v>
      </c>
      <c r="C95">
        <v>0.99472154970728399</v>
      </c>
      <c r="D95">
        <v>0.87595309807027699</v>
      </c>
      <c r="E95">
        <v>0.57492350696219297</v>
      </c>
      <c r="F95">
        <v>0.54472408944645601</v>
      </c>
      <c r="G95">
        <v>0.31414954086638902</v>
      </c>
      <c r="H95">
        <v>0.16463740649549699</v>
      </c>
      <c r="I95">
        <v>0.12162631050871101</v>
      </c>
      <c r="J95">
        <v>0.13915309592023301</v>
      </c>
      <c r="K95">
        <v>0.11406448965275701</v>
      </c>
      <c r="L95">
        <v>687.81773066272604</v>
      </c>
      <c r="M95">
        <v>13.2218933181639</v>
      </c>
      <c r="N95">
        <v>52.675861054838897</v>
      </c>
      <c r="O95">
        <v>50.874320010819403</v>
      </c>
      <c r="P95">
        <v>-6.00599433147911E-2</v>
      </c>
      <c r="Q95">
        <v>7.5774276183664099E-2</v>
      </c>
      <c r="R95">
        <v>0.987084056868337</v>
      </c>
      <c r="S95" t="s">
        <v>3927</v>
      </c>
      <c r="T95" t="s">
        <v>7662</v>
      </c>
      <c r="U95" t="s">
        <v>7662</v>
      </c>
      <c r="V95" t="s">
        <v>7662</v>
      </c>
      <c r="W95">
        <v>7</v>
      </c>
      <c r="X95" t="s">
        <v>7757</v>
      </c>
      <c r="Y95">
        <v>0.47093130762561031</v>
      </c>
      <c r="Z95" t="str">
        <f>HYPERLINK("Melting_Curves/meltCurve_sp_O14976_GAK_HUMAN_.pdf", "Melting_Curves/meltCurve_sp_O14976_GAK_HUMAN_.pdf")</f>
        <v>Melting_Curves/meltCurve_sp_O14976_GAK_HUMAN_.pdf</v>
      </c>
      <c r="AA95" t="s">
        <v>11585</v>
      </c>
      <c r="AB95" t="s">
        <v>15336</v>
      </c>
    </row>
    <row r="96" spans="1:28" x14ac:dyDescent="0.25">
      <c r="A96" t="s">
        <v>100</v>
      </c>
      <c r="B96">
        <v>0.98876768158843997</v>
      </c>
      <c r="C96">
        <v>0.77991249136089902</v>
      </c>
      <c r="D96">
        <v>0.93397527230393196</v>
      </c>
      <c r="E96">
        <v>0.683125210946947</v>
      </c>
      <c r="F96">
        <v>0.50099699108686302</v>
      </c>
      <c r="G96">
        <v>0.31160417522008299</v>
      </c>
      <c r="H96">
        <v>0.23851186652255901</v>
      </c>
      <c r="I96">
        <v>0.24653066892975101</v>
      </c>
      <c r="J96">
        <v>0.32964074585372799</v>
      </c>
      <c r="K96">
        <v>0.35149141514419002</v>
      </c>
      <c r="L96">
        <v>892.41150559011999</v>
      </c>
      <c r="M96">
        <v>17.711095367058299</v>
      </c>
      <c r="N96">
        <v>52.725065077718902</v>
      </c>
      <c r="O96">
        <v>49.757955759417399</v>
      </c>
      <c r="P96">
        <v>-6.4783819053280803E-2</v>
      </c>
      <c r="Q96">
        <v>0.272017807081884</v>
      </c>
      <c r="R96">
        <v>0.92712881044791695</v>
      </c>
      <c r="S96" t="s">
        <v>3928</v>
      </c>
      <c r="T96" t="s">
        <v>7662</v>
      </c>
      <c r="U96" t="s">
        <v>7662</v>
      </c>
      <c r="V96" t="s">
        <v>7662</v>
      </c>
      <c r="W96">
        <v>4</v>
      </c>
      <c r="X96" t="s">
        <v>7758</v>
      </c>
      <c r="Y96">
        <v>0.53680451243263472</v>
      </c>
      <c r="Z96" t="str">
        <f>HYPERLINK("Melting_Curves/meltCurve_sp_O14979_3_HNRDL_HUMAN_.pdf", "Melting_Curves/meltCurve_sp_O14979_3_HNRDL_HUMAN_.pdf")</f>
        <v>Melting_Curves/meltCurve_sp_O14979_3_HNRDL_HUMAN_.pdf</v>
      </c>
      <c r="AA96" t="s">
        <v>11586</v>
      </c>
      <c r="AB96" t="s">
        <v>15337</v>
      </c>
    </row>
    <row r="97" spans="1:28" x14ac:dyDescent="0.25">
      <c r="A97" t="s">
        <v>101</v>
      </c>
      <c r="B97">
        <v>0.98876768158843997</v>
      </c>
      <c r="C97">
        <v>0.95060758207901896</v>
      </c>
      <c r="D97">
        <v>0.94978080358091599</v>
      </c>
      <c r="E97">
        <v>0.73395689890145299</v>
      </c>
      <c r="F97">
        <v>0.153101236641731</v>
      </c>
      <c r="G97">
        <v>9.74721665061999E-2</v>
      </c>
      <c r="H97">
        <v>5.5720228596322002E-2</v>
      </c>
      <c r="I97">
        <v>4.9932670477733802E-2</v>
      </c>
      <c r="J97">
        <v>7.1816953212279197E-2</v>
      </c>
      <c r="K97">
        <v>5.3366031514208198E-2</v>
      </c>
      <c r="L97">
        <v>2743.4467954689198</v>
      </c>
      <c r="M97">
        <v>53.9589861584857</v>
      </c>
      <c r="N97">
        <v>50.9732313023869</v>
      </c>
      <c r="O97">
        <v>50.773496409202302</v>
      </c>
      <c r="P97">
        <v>-0.24860129243679999</v>
      </c>
      <c r="Q97">
        <v>6.4300517258112103E-2</v>
      </c>
      <c r="R97">
        <v>0.99632482902110497</v>
      </c>
      <c r="S97" t="s">
        <v>3929</v>
      </c>
      <c r="T97" t="s">
        <v>7662</v>
      </c>
      <c r="U97" t="s">
        <v>7662</v>
      </c>
      <c r="V97" t="s">
        <v>7662</v>
      </c>
      <c r="W97">
        <v>19</v>
      </c>
      <c r="X97" t="s">
        <v>7759</v>
      </c>
      <c r="Y97">
        <v>0.40429973659932261</v>
      </c>
      <c r="Z97" t="str">
        <f>HYPERLINK("Melting_Curves/meltCurve_sp_O14980_XPO1_HUMAN_.pdf", "Melting_Curves/meltCurve_sp_O14980_XPO1_HUMAN_.pdf")</f>
        <v>Melting_Curves/meltCurve_sp_O14980_XPO1_HUMAN_.pdf</v>
      </c>
      <c r="AA97" t="s">
        <v>11587</v>
      </c>
      <c r="AB97" t="s">
        <v>15338</v>
      </c>
    </row>
    <row r="98" spans="1:28" x14ac:dyDescent="0.25">
      <c r="A98" t="s">
        <v>102</v>
      </c>
      <c r="B98">
        <v>0.98876768158843997</v>
      </c>
      <c r="C98">
        <v>0.89683461266293996</v>
      </c>
      <c r="D98">
        <v>1.1197804892898999</v>
      </c>
      <c r="E98">
        <v>0.63133059116438595</v>
      </c>
      <c r="F98">
        <v>0.26496610360809703</v>
      </c>
      <c r="G98">
        <v>0.16241358012070201</v>
      </c>
      <c r="H98">
        <v>0.10211268955026601</v>
      </c>
      <c r="I98">
        <v>9.3179107041287096E-2</v>
      </c>
      <c r="J98">
        <v>9.9653455791191906E-2</v>
      </c>
      <c r="K98">
        <v>9.7881745639509604E-2</v>
      </c>
      <c r="L98">
        <v>1961.39063071692</v>
      </c>
      <c r="M98">
        <v>38.763670291202899</v>
      </c>
      <c r="N98">
        <v>50.928157964802502</v>
      </c>
      <c r="O98">
        <v>50.464583026422098</v>
      </c>
      <c r="P98">
        <v>-0.17073735697915601</v>
      </c>
      <c r="Q98">
        <v>0.11090264491515101</v>
      </c>
      <c r="R98">
        <v>0.979079998916768</v>
      </c>
      <c r="S98" t="s">
        <v>3930</v>
      </c>
      <c r="T98" t="s">
        <v>7662</v>
      </c>
      <c r="U98" t="s">
        <v>7662</v>
      </c>
      <c r="V98" t="s">
        <v>7662</v>
      </c>
      <c r="W98">
        <v>50</v>
      </c>
      <c r="X98" t="s">
        <v>7760</v>
      </c>
      <c r="Y98">
        <v>0.42832443111203677</v>
      </c>
      <c r="Z98" t="str">
        <f>HYPERLINK("Melting_Curves/meltCurve_sp_O15020_SPTN2_HUMAN_.pdf", "Melting_Curves/meltCurve_sp_O15020_SPTN2_HUMAN_.pdf")</f>
        <v>Melting_Curves/meltCurve_sp_O15020_SPTN2_HUMAN_.pdf</v>
      </c>
      <c r="AA98" t="s">
        <v>11588</v>
      </c>
      <c r="AB98" t="s">
        <v>15339</v>
      </c>
    </row>
    <row r="99" spans="1:28" x14ac:dyDescent="0.25">
      <c r="A99" t="s">
        <v>103</v>
      </c>
      <c r="B99">
        <v>0.98876768158843997</v>
      </c>
      <c r="C99">
        <v>1.14195139480998</v>
      </c>
      <c r="D99">
        <v>0.98853309836956404</v>
      </c>
      <c r="E99">
        <v>0.81513012840103305</v>
      </c>
      <c r="F99">
        <v>0.92000826791046697</v>
      </c>
      <c r="G99">
        <v>0.65967379537322302</v>
      </c>
      <c r="H99">
        <v>0.48493435158586501</v>
      </c>
      <c r="I99">
        <v>0.55439212383521197</v>
      </c>
      <c r="J99">
        <v>0.65110377193173796</v>
      </c>
      <c r="K99">
        <v>0.85241844806929001</v>
      </c>
      <c r="L99">
        <v>1335.7716511594499</v>
      </c>
      <c r="M99">
        <v>25.240228188033999</v>
      </c>
      <c r="O99">
        <v>52.593480492825897</v>
      </c>
      <c r="P99">
        <v>-4.38233323116443E-2</v>
      </c>
      <c r="Q99">
        <v>0.63474313783311898</v>
      </c>
      <c r="R99">
        <v>0.68770163527789896</v>
      </c>
      <c r="S99" t="s">
        <v>3931</v>
      </c>
      <c r="T99" t="s">
        <v>7662</v>
      </c>
      <c r="U99" t="s">
        <v>7662</v>
      </c>
      <c r="V99" t="s">
        <v>7662</v>
      </c>
      <c r="W99">
        <v>8</v>
      </c>
      <c r="X99" t="s">
        <v>7761</v>
      </c>
      <c r="Y99">
        <v>0.79537654059246043</v>
      </c>
      <c r="Z99" t="str">
        <f>HYPERLINK("Melting_Curves/meltCurve_sp_O15021_2_MAST4_HUMAN_.pdf", "Melting_Curves/meltCurve_sp_O15021_2_MAST4_HUMAN_.pdf")</f>
        <v>Melting_Curves/meltCurve_sp_O15021_2_MAST4_HUMAN_.pdf</v>
      </c>
      <c r="AA99" t="s">
        <v>11589</v>
      </c>
      <c r="AB99" t="s">
        <v>15340</v>
      </c>
    </row>
    <row r="100" spans="1:28" x14ac:dyDescent="0.25">
      <c r="A100" t="s">
        <v>104</v>
      </c>
      <c r="B100">
        <v>0.98876768158843997</v>
      </c>
      <c r="C100">
        <v>0.87442608084186801</v>
      </c>
      <c r="D100">
        <v>0.92118581108597997</v>
      </c>
      <c r="E100">
        <v>0.29719779586432399</v>
      </c>
      <c r="F100">
        <v>0.107654752279088</v>
      </c>
      <c r="G100">
        <v>6.0265185109187103E-2</v>
      </c>
      <c r="H100">
        <v>3.9411584345573597E-2</v>
      </c>
      <c r="I100">
        <v>3.8011646588150698E-2</v>
      </c>
      <c r="J100">
        <v>3.9136255392155997E-2</v>
      </c>
      <c r="K100">
        <v>3.6742746388736501E-2</v>
      </c>
      <c r="L100">
        <v>1771.59534639458</v>
      </c>
      <c r="M100">
        <v>36.391911098972997</v>
      </c>
      <c r="N100">
        <v>48.8033168663965</v>
      </c>
      <c r="O100">
        <v>48.534724606620699</v>
      </c>
      <c r="P100">
        <v>-0.179284298779611</v>
      </c>
      <c r="Q100">
        <v>4.3580016226553997E-2</v>
      </c>
      <c r="R100">
        <v>0.99000736286248503</v>
      </c>
      <c r="S100" t="s">
        <v>3932</v>
      </c>
      <c r="T100" t="s">
        <v>7662</v>
      </c>
      <c r="U100" t="s">
        <v>7662</v>
      </c>
      <c r="V100" t="s">
        <v>7662</v>
      </c>
      <c r="W100">
        <v>14</v>
      </c>
      <c r="X100" t="s">
        <v>7762</v>
      </c>
      <c r="Y100">
        <v>0.32424196967608793</v>
      </c>
      <c r="Z100" t="str">
        <f>HYPERLINK("Melting_Curves/meltCurve_sp_O15067_PUR4_HUMAN_.pdf", "Melting_Curves/meltCurve_sp_O15067_PUR4_HUMAN_.pdf")</f>
        <v>Melting_Curves/meltCurve_sp_O15067_PUR4_HUMAN_.pdf</v>
      </c>
      <c r="AA100" t="s">
        <v>11590</v>
      </c>
      <c r="AB100" t="s">
        <v>15341</v>
      </c>
    </row>
    <row r="101" spans="1:28" x14ac:dyDescent="0.25">
      <c r="A101" t="s">
        <v>105</v>
      </c>
      <c r="B101">
        <v>0.98876768158843997</v>
      </c>
      <c r="C101">
        <v>0.99000559467169802</v>
      </c>
      <c r="D101">
        <v>1.13200862838851</v>
      </c>
      <c r="E101">
        <v>0.80625620831105504</v>
      </c>
      <c r="F101">
        <v>0.29324694859913197</v>
      </c>
      <c r="G101">
        <v>0.116869324733315</v>
      </c>
      <c r="H101">
        <v>0.108654888781705</v>
      </c>
      <c r="I101">
        <v>0.11816102692421</v>
      </c>
      <c r="J101">
        <v>0.140571051902663</v>
      </c>
      <c r="K101">
        <v>9.9030943751477293E-2</v>
      </c>
      <c r="L101">
        <v>2431.1693270537298</v>
      </c>
      <c r="M101">
        <v>47.295485443878803</v>
      </c>
      <c r="N101">
        <v>51.691156813354802</v>
      </c>
      <c r="O101">
        <v>51.312190855824703</v>
      </c>
      <c r="P101">
        <v>-0.20379375981231301</v>
      </c>
      <c r="Q101">
        <v>0.115594882034809</v>
      </c>
      <c r="R101">
        <v>0.98873098148198002</v>
      </c>
      <c r="S101" t="s">
        <v>3933</v>
      </c>
      <c r="T101" t="s">
        <v>7662</v>
      </c>
      <c r="U101" t="s">
        <v>7662</v>
      </c>
      <c r="V101" t="s">
        <v>7662</v>
      </c>
      <c r="W101">
        <v>3</v>
      </c>
      <c r="X101" t="s">
        <v>7763</v>
      </c>
      <c r="Y101">
        <v>0.45402441839490659</v>
      </c>
      <c r="Z101" t="str">
        <f>HYPERLINK("Melting_Curves/meltCurve_sp_O15084_ANR28_HUMAN_.pdf", "Melting_Curves/meltCurve_sp_O15084_ANR28_HUMAN_.pdf")</f>
        <v>Melting_Curves/meltCurve_sp_O15084_ANR28_HUMAN_.pdf</v>
      </c>
      <c r="AA101" t="s">
        <v>11591</v>
      </c>
      <c r="AB101" t="s">
        <v>15342</v>
      </c>
    </row>
    <row r="102" spans="1:28" x14ac:dyDescent="0.25">
      <c r="A102" t="s">
        <v>106</v>
      </c>
      <c r="B102">
        <v>0.98876768158843997</v>
      </c>
      <c r="C102">
        <v>1.1972902813081701</v>
      </c>
      <c r="D102">
        <v>0.96228296425767201</v>
      </c>
      <c r="E102">
        <v>0.82932510804381998</v>
      </c>
      <c r="F102">
        <v>0.79022622506375795</v>
      </c>
      <c r="G102">
        <v>0.62574214906985404</v>
      </c>
      <c r="H102">
        <v>0.56055447601056696</v>
      </c>
      <c r="I102">
        <v>0.80595301796337004</v>
      </c>
      <c r="J102">
        <v>0.85103215721254499</v>
      </c>
      <c r="K102">
        <v>0.59879569385458797</v>
      </c>
      <c r="L102">
        <v>1534.1503231776001</v>
      </c>
      <c r="M102">
        <v>30.675057795898301</v>
      </c>
      <c r="O102">
        <v>49.801841481594501</v>
      </c>
      <c r="P102">
        <v>-4.7148211211266798E-2</v>
      </c>
      <c r="Q102">
        <v>0.69381587113766496</v>
      </c>
      <c r="R102">
        <v>0.67482591038453299</v>
      </c>
      <c r="S102" t="s">
        <v>3934</v>
      </c>
      <c r="T102" t="s">
        <v>7662</v>
      </c>
      <c r="U102" t="s">
        <v>7662</v>
      </c>
      <c r="V102" t="s">
        <v>7662</v>
      </c>
      <c r="W102">
        <v>2</v>
      </c>
      <c r="X102" t="s">
        <v>7764</v>
      </c>
      <c r="Y102">
        <v>0.79782027567354041</v>
      </c>
      <c r="Z102" t="str">
        <f>HYPERLINK("Melting_Curves/meltCurve_sp_O15085_ARHGB_HUMAN_.pdf", "Melting_Curves/meltCurve_sp_O15085_ARHGB_HUMAN_.pdf")</f>
        <v>Melting_Curves/meltCurve_sp_O15085_ARHGB_HUMAN_.pdf</v>
      </c>
      <c r="AA102" t="s">
        <v>11592</v>
      </c>
      <c r="AB102" t="s">
        <v>15343</v>
      </c>
    </row>
    <row r="103" spans="1:28" x14ac:dyDescent="0.25">
      <c r="A103" t="s">
        <v>107</v>
      </c>
      <c r="B103">
        <v>0.98876768158843997</v>
      </c>
      <c r="C103">
        <v>0.93049122126287898</v>
      </c>
      <c r="D103">
        <v>1.0136345560154301</v>
      </c>
      <c r="E103">
        <v>0.98123045010373</v>
      </c>
      <c r="F103">
        <v>0.67153782998579503</v>
      </c>
      <c r="G103">
        <v>0.39152901718208799</v>
      </c>
      <c r="H103">
        <v>9.8450269011976399E-2</v>
      </c>
      <c r="I103">
        <v>9.3398223483395104E-2</v>
      </c>
      <c r="J103">
        <v>9.8281268530806098E-2</v>
      </c>
      <c r="K103">
        <v>9.8438830296673593E-2</v>
      </c>
      <c r="L103">
        <v>1349.85942441068</v>
      </c>
      <c r="M103">
        <v>24.6002085714907</v>
      </c>
      <c r="N103">
        <v>55.242383440444499</v>
      </c>
      <c r="O103">
        <v>54.513133062335903</v>
      </c>
      <c r="P103">
        <v>-0.104239418163351</v>
      </c>
      <c r="Q103">
        <v>7.6050887396622899E-2</v>
      </c>
      <c r="R103">
        <v>0.98906727982425602</v>
      </c>
      <c r="S103" t="s">
        <v>3935</v>
      </c>
      <c r="T103" t="s">
        <v>7662</v>
      </c>
      <c r="U103" t="s">
        <v>7662</v>
      </c>
      <c r="V103" t="s">
        <v>7662</v>
      </c>
      <c r="W103">
        <v>12</v>
      </c>
      <c r="X103" t="s">
        <v>7765</v>
      </c>
      <c r="Y103">
        <v>0.54287593770075138</v>
      </c>
      <c r="Z103" t="str">
        <f>HYPERLINK("Melting_Curves/meltCurve_sp_O15143_ARC1B_HUMAN_.pdf", "Melting_Curves/meltCurve_sp_O15143_ARC1B_HUMAN_.pdf")</f>
        <v>Melting_Curves/meltCurve_sp_O15143_ARC1B_HUMAN_.pdf</v>
      </c>
      <c r="AA103" t="s">
        <v>11593</v>
      </c>
      <c r="AB103" t="s">
        <v>15344</v>
      </c>
    </row>
    <row r="104" spans="1:28" x14ac:dyDescent="0.25">
      <c r="A104" t="s">
        <v>108</v>
      </c>
      <c r="B104">
        <v>0.98876768158843997</v>
      </c>
      <c r="C104">
        <v>0.874787241408719</v>
      </c>
      <c r="D104">
        <v>1.0422347752166701</v>
      </c>
      <c r="E104">
        <v>0.94639617072104598</v>
      </c>
      <c r="F104">
        <v>0.60754754156924096</v>
      </c>
      <c r="G104">
        <v>0.36896422750042401</v>
      </c>
      <c r="H104">
        <v>0.12277601749259701</v>
      </c>
      <c r="I104">
        <v>8.3834136753434194E-2</v>
      </c>
      <c r="J104">
        <v>6.3654071986703101E-2</v>
      </c>
      <c r="K104">
        <v>5.9476687654444103E-2</v>
      </c>
      <c r="L104">
        <v>1178.23813013066</v>
      </c>
      <c r="M104">
        <v>21.577146166466999</v>
      </c>
      <c r="N104">
        <v>54.867951511760701</v>
      </c>
      <c r="O104">
        <v>54.143296674206603</v>
      </c>
      <c r="P104">
        <v>-9.4753068658567904E-2</v>
      </c>
      <c r="Q104">
        <v>4.8971571618309097E-2</v>
      </c>
      <c r="R104">
        <v>0.98171294897063299</v>
      </c>
      <c r="S104" t="s">
        <v>3936</v>
      </c>
      <c r="T104" t="s">
        <v>7662</v>
      </c>
      <c r="U104" t="s">
        <v>7662</v>
      </c>
      <c r="V104" t="s">
        <v>7662</v>
      </c>
      <c r="W104">
        <v>17</v>
      </c>
      <c r="X104" t="s">
        <v>7766</v>
      </c>
      <c r="Y104">
        <v>0.52331910730640097</v>
      </c>
      <c r="Z104" t="str">
        <f>HYPERLINK("Melting_Curves/meltCurve_sp_O15144_ARPC2_HUMAN_.pdf", "Melting_Curves/meltCurve_sp_O15144_ARPC2_HUMAN_.pdf")</f>
        <v>Melting_Curves/meltCurve_sp_O15144_ARPC2_HUMAN_.pdf</v>
      </c>
      <c r="AA104" t="s">
        <v>11594</v>
      </c>
      <c r="AB104" t="s">
        <v>15345</v>
      </c>
    </row>
    <row r="105" spans="1:28" x14ac:dyDescent="0.25">
      <c r="A105" t="s">
        <v>109</v>
      </c>
      <c r="B105">
        <v>0.98876768158843997</v>
      </c>
      <c r="C105">
        <v>1.115576854515</v>
      </c>
      <c r="D105">
        <v>0.88271109786644897</v>
      </c>
      <c r="E105">
        <v>0.86389245626781297</v>
      </c>
      <c r="F105">
        <v>1.1301312023571799</v>
      </c>
      <c r="G105">
        <v>0.67827256983595596</v>
      </c>
      <c r="H105">
        <v>0.30314127578893202</v>
      </c>
      <c r="I105">
        <v>0.17312167589996499</v>
      </c>
      <c r="J105">
        <v>8.7116401714695299E-2</v>
      </c>
      <c r="K105">
        <v>0.15371366826410801</v>
      </c>
      <c r="L105">
        <v>2084.40953155633</v>
      </c>
      <c r="M105">
        <v>35.837602397791102</v>
      </c>
      <c r="N105">
        <v>58.659455140824598</v>
      </c>
      <c r="O105">
        <v>57.982429448820099</v>
      </c>
      <c r="P105">
        <v>-0.13429390463968699</v>
      </c>
      <c r="Q105">
        <v>0.13089478648252101</v>
      </c>
      <c r="R105">
        <v>0.95212861900268697</v>
      </c>
      <c r="S105" t="s">
        <v>3937</v>
      </c>
      <c r="T105" t="s">
        <v>7662</v>
      </c>
      <c r="U105" t="s">
        <v>7662</v>
      </c>
      <c r="V105" t="s">
        <v>7662</v>
      </c>
      <c r="W105">
        <v>8</v>
      </c>
      <c r="X105" t="s">
        <v>7767</v>
      </c>
      <c r="Y105">
        <v>0.66126269641315261</v>
      </c>
      <c r="Z105" t="str">
        <f>HYPERLINK("Melting_Curves/meltCurve_sp_O15145_ARPC3_HUMAN_.pdf", "Melting_Curves/meltCurve_sp_O15145_ARPC3_HUMAN_.pdf")</f>
        <v>Melting_Curves/meltCurve_sp_O15145_ARPC3_HUMAN_.pdf</v>
      </c>
      <c r="AA105" t="s">
        <v>11595</v>
      </c>
      <c r="AB105" t="s">
        <v>15346</v>
      </c>
    </row>
    <row r="106" spans="1:28" x14ac:dyDescent="0.25">
      <c r="A106" t="s">
        <v>110</v>
      </c>
      <c r="B106">
        <v>0.98876768158843997</v>
      </c>
      <c r="C106">
        <v>0.98351997255363999</v>
      </c>
      <c r="D106">
        <v>0.86779794255899001</v>
      </c>
      <c r="E106">
        <v>0.686404778490594</v>
      </c>
      <c r="F106">
        <v>0.59591611265450795</v>
      </c>
      <c r="G106">
        <v>0.43290976790873598</v>
      </c>
      <c r="H106">
        <v>0.30859758112572</v>
      </c>
      <c r="I106">
        <v>0.31165173723237299</v>
      </c>
      <c r="J106">
        <v>0.43698807806558998</v>
      </c>
      <c r="K106">
        <v>0.423326719941027</v>
      </c>
      <c r="L106">
        <v>856.88690007041703</v>
      </c>
      <c r="M106">
        <v>17.0383450220484</v>
      </c>
      <c r="N106">
        <v>54.3817094872349</v>
      </c>
      <c r="O106">
        <v>49.614230623310199</v>
      </c>
      <c r="P106">
        <v>-5.4848455986913999E-2</v>
      </c>
      <c r="Q106">
        <v>0.36118274870598599</v>
      </c>
      <c r="R106">
        <v>0.96510533265394505</v>
      </c>
      <c r="S106" t="s">
        <v>3938</v>
      </c>
      <c r="T106" t="s">
        <v>7662</v>
      </c>
      <c r="U106" t="s">
        <v>7662</v>
      </c>
      <c r="V106" t="s">
        <v>7662</v>
      </c>
      <c r="W106">
        <v>2</v>
      </c>
      <c r="X106" t="s">
        <v>7768</v>
      </c>
      <c r="Y106">
        <v>0.59234963544489549</v>
      </c>
      <c r="Z106" t="str">
        <f>HYPERLINK("Melting_Curves/meltCurve_sp_O15173_PGRC2_HUMAN_.pdf", "Melting_Curves/meltCurve_sp_O15173_PGRC2_HUMAN_.pdf")</f>
        <v>Melting_Curves/meltCurve_sp_O15173_PGRC2_HUMAN_.pdf</v>
      </c>
      <c r="AA106" t="s">
        <v>11596</v>
      </c>
      <c r="AB106" t="s">
        <v>15347</v>
      </c>
    </row>
    <row r="107" spans="1:28" x14ac:dyDescent="0.25">
      <c r="A107" t="s">
        <v>111</v>
      </c>
      <c r="B107">
        <v>0.98876768158843997</v>
      </c>
      <c r="C107">
        <v>0.94885100825790603</v>
      </c>
      <c r="D107">
        <v>0.92460276666252705</v>
      </c>
      <c r="E107">
        <v>0.80598483766558204</v>
      </c>
      <c r="F107">
        <v>0.64307797783087495</v>
      </c>
      <c r="G107">
        <v>0.441554203755951</v>
      </c>
      <c r="H107">
        <v>0.31291961171036797</v>
      </c>
      <c r="I107">
        <v>0.30476119181203398</v>
      </c>
      <c r="J107">
        <v>0.32194183413486399</v>
      </c>
      <c r="K107">
        <v>0.34416125573648498</v>
      </c>
      <c r="L107">
        <v>933.65933946070902</v>
      </c>
      <c r="M107">
        <v>17.7434815596324</v>
      </c>
      <c r="N107">
        <v>55.4334823968763</v>
      </c>
      <c r="O107">
        <v>51.965117600191498</v>
      </c>
      <c r="P107">
        <v>-6.0026769614462898E-2</v>
      </c>
      <c r="Q107">
        <v>0.29683797087588898</v>
      </c>
      <c r="R107">
        <v>0.991877049898504</v>
      </c>
      <c r="S107" t="s">
        <v>3939</v>
      </c>
      <c r="T107" t="s">
        <v>7662</v>
      </c>
      <c r="U107" t="s">
        <v>7662</v>
      </c>
      <c r="V107" t="s">
        <v>7662</v>
      </c>
      <c r="W107">
        <v>7</v>
      </c>
      <c r="X107" t="s">
        <v>7769</v>
      </c>
      <c r="Y107">
        <v>0.60449843543703663</v>
      </c>
      <c r="Z107" t="str">
        <f>HYPERLINK("Melting_Curves/meltCurve_sp_O15212_PFD6_HUMAN_.pdf", "Melting_Curves/meltCurve_sp_O15212_PFD6_HUMAN_.pdf")</f>
        <v>Melting_Curves/meltCurve_sp_O15212_PFD6_HUMAN_.pdf</v>
      </c>
      <c r="AA107" t="s">
        <v>11597</v>
      </c>
      <c r="AB107" t="s">
        <v>15348</v>
      </c>
    </row>
    <row r="108" spans="1:28" x14ac:dyDescent="0.25">
      <c r="A108" t="s">
        <v>112</v>
      </c>
      <c r="B108">
        <v>0.98876768158843997</v>
      </c>
      <c r="C108">
        <v>0.85775196325754499</v>
      </c>
      <c r="D108">
        <v>0.60029156048860699</v>
      </c>
      <c r="E108">
        <v>0.41060696508274602</v>
      </c>
      <c r="F108">
        <v>0.33743754350873401</v>
      </c>
      <c r="G108">
        <v>0.21689456426787199</v>
      </c>
      <c r="H108">
        <v>0.11981777541930599</v>
      </c>
      <c r="I108">
        <v>0.14086331912969099</v>
      </c>
      <c r="J108">
        <v>0.16609886698658899</v>
      </c>
      <c r="K108">
        <v>0.20108651553155299</v>
      </c>
      <c r="L108">
        <v>703.10136155907901</v>
      </c>
      <c r="M108">
        <v>14.930133707478801</v>
      </c>
      <c r="N108">
        <v>48.266527378786201</v>
      </c>
      <c r="O108">
        <v>46.272150984473299</v>
      </c>
      <c r="P108">
        <v>-6.8392081572510602E-2</v>
      </c>
      <c r="Q108">
        <v>0.152231897993614</v>
      </c>
      <c r="R108">
        <v>0.98443314997029496</v>
      </c>
      <c r="S108" t="s">
        <v>3940</v>
      </c>
      <c r="T108" t="s">
        <v>7662</v>
      </c>
      <c r="U108" t="s">
        <v>7662</v>
      </c>
      <c r="V108" t="s">
        <v>7662</v>
      </c>
      <c r="W108">
        <v>1</v>
      </c>
      <c r="X108" t="s">
        <v>7770</v>
      </c>
      <c r="Y108">
        <v>0.37578857619470057</v>
      </c>
      <c r="Z108" t="str">
        <f>HYPERLINK("Melting_Curves/meltCurve_sp_O15217_GSTA4_HUMAN_.pdf", "Melting_Curves/meltCurve_sp_O15217_GSTA4_HUMAN_.pdf")</f>
        <v>Melting_Curves/meltCurve_sp_O15217_GSTA4_HUMAN_.pdf</v>
      </c>
      <c r="AA108" t="s">
        <v>11598</v>
      </c>
      <c r="AB108" t="s">
        <v>15349</v>
      </c>
    </row>
    <row r="109" spans="1:28" x14ac:dyDescent="0.25">
      <c r="A109" t="s">
        <v>113</v>
      </c>
      <c r="B109">
        <v>0.98876768158843997</v>
      </c>
      <c r="C109">
        <v>0.93970219728501303</v>
      </c>
      <c r="D109">
        <v>1.15689784899134</v>
      </c>
      <c r="E109">
        <v>0.78982179811187503</v>
      </c>
      <c r="F109">
        <v>8.8817135140567799E-2</v>
      </c>
      <c r="G109">
        <v>3.6728044815962299E-2</v>
      </c>
      <c r="H109">
        <v>1.7646020360962199E-2</v>
      </c>
      <c r="I109">
        <v>2.0817694170774899E-2</v>
      </c>
      <c r="J109">
        <v>1.61548783948697E-2</v>
      </c>
      <c r="K109">
        <v>1.64779168297596E-2</v>
      </c>
      <c r="L109">
        <v>3487.5049023031702</v>
      </c>
      <c r="M109">
        <v>68.445546822086897</v>
      </c>
      <c r="N109">
        <v>50.986153621856197</v>
      </c>
      <c r="O109">
        <v>50.909541548352998</v>
      </c>
      <c r="P109">
        <v>-0.32879496375233902</v>
      </c>
      <c r="Q109">
        <v>2.1774383755022601E-2</v>
      </c>
      <c r="R109">
        <v>0.98673390016971296</v>
      </c>
      <c r="S109" t="s">
        <v>3941</v>
      </c>
      <c r="T109" t="s">
        <v>7662</v>
      </c>
      <c r="U109" t="s">
        <v>7662</v>
      </c>
      <c r="V109" t="s">
        <v>7662</v>
      </c>
      <c r="W109">
        <v>2</v>
      </c>
      <c r="X109" t="s">
        <v>7771</v>
      </c>
      <c r="Y109">
        <v>0.3800942663985592</v>
      </c>
      <c r="Z109" t="str">
        <f>HYPERLINK("Melting_Curves/meltCurve_sp_O15229_3_KMO_HUMAN_.pdf", "Melting_Curves/meltCurve_sp_O15229_3_KMO_HUMAN_.pdf")</f>
        <v>Melting_Curves/meltCurve_sp_O15229_3_KMO_HUMAN_.pdf</v>
      </c>
      <c r="AA109" t="s">
        <v>11599</v>
      </c>
      <c r="AB109" t="s">
        <v>15350</v>
      </c>
    </row>
    <row r="110" spans="1:28" x14ac:dyDescent="0.25">
      <c r="A110" t="s">
        <v>114</v>
      </c>
      <c r="B110">
        <v>0.98876768158843997</v>
      </c>
      <c r="C110">
        <v>0.92095531346558202</v>
      </c>
      <c r="D110">
        <v>1.00565684407056</v>
      </c>
      <c r="E110">
        <v>0.76874655868144204</v>
      </c>
      <c r="F110">
        <v>0.340047551223772</v>
      </c>
      <c r="G110">
        <v>0.199387897783949</v>
      </c>
      <c r="H110">
        <v>0.12309428699656</v>
      </c>
      <c r="I110">
        <v>8.7490288361795704E-2</v>
      </c>
      <c r="J110">
        <v>8.3432977178423406E-2</v>
      </c>
      <c r="K110">
        <v>6.3154058923623094E-2</v>
      </c>
      <c r="L110">
        <v>1631.6860563135399</v>
      </c>
      <c r="M110">
        <v>31.6400992184807</v>
      </c>
      <c r="N110">
        <v>51.925650935685603</v>
      </c>
      <c r="O110">
        <v>51.3655086593878</v>
      </c>
      <c r="P110">
        <v>-0.13900100440850999</v>
      </c>
      <c r="Q110">
        <v>9.7370899609682302E-2</v>
      </c>
      <c r="R110">
        <v>0.99137066683206998</v>
      </c>
      <c r="S110" t="s">
        <v>3942</v>
      </c>
      <c r="T110" t="s">
        <v>7662</v>
      </c>
      <c r="U110" t="s">
        <v>7662</v>
      </c>
      <c r="V110" t="s">
        <v>7662</v>
      </c>
      <c r="W110">
        <v>13</v>
      </c>
      <c r="X110" t="s">
        <v>7772</v>
      </c>
      <c r="Y110">
        <v>0.45064149908989931</v>
      </c>
      <c r="Z110" t="str">
        <f>HYPERLINK("Melting_Curves/meltCurve_sp_O15254_ACOX3_HUMAN_.pdf", "Melting_Curves/meltCurve_sp_O15254_ACOX3_HUMAN_.pdf")</f>
        <v>Melting_Curves/meltCurve_sp_O15254_ACOX3_HUMAN_.pdf</v>
      </c>
      <c r="AA110" t="s">
        <v>11600</v>
      </c>
      <c r="AB110" t="s">
        <v>15351</v>
      </c>
    </row>
    <row r="111" spans="1:28" x14ac:dyDescent="0.25">
      <c r="A111" t="s">
        <v>115</v>
      </c>
      <c r="B111">
        <v>0.98876768158843997</v>
      </c>
      <c r="C111">
        <v>0.95049967795625201</v>
      </c>
      <c r="D111">
        <v>0.639017069515744</v>
      </c>
      <c r="E111">
        <v>0.206125088016024</v>
      </c>
      <c r="F111">
        <v>8.6226847035599602E-2</v>
      </c>
      <c r="G111">
        <v>4.30941234372344E-2</v>
      </c>
      <c r="H111">
        <v>3.7251023038482399E-2</v>
      </c>
      <c r="I111">
        <v>2.9207181400597401E-2</v>
      </c>
      <c r="J111">
        <v>2.98483691673108E-2</v>
      </c>
      <c r="K111">
        <v>2.87581913140731E-2</v>
      </c>
      <c r="L111">
        <v>1231.82514501739</v>
      </c>
      <c r="M111">
        <v>26.205086658537599</v>
      </c>
      <c r="N111">
        <v>47.128516878976399</v>
      </c>
      <c r="O111">
        <v>46.735915766638897</v>
      </c>
      <c r="P111">
        <v>-0.135602312918947</v>
      </c>
      <c r="Q111">
        <v>3.2641575732432301E-2</v>
      </c>
      <c r="R111">
        <v>0.99941594202801598</v>
      </c>
      <c r="S111" t="s">
        <v>3943</v>
      </c>
      <c r="T111" t="s">
        <v>7662</v>
      </c>
      <c r="U111" t="s">
        <v>7662</v>
      </c>
      <c r="V111" t="s">
        <v>7662</v>
      </c>
      <c r="W111">
        <v>3</v>
      </c>
      <c r="X111" t="s">
        <v>7773</v>
      </c>
      <c r="Y111">
        <v>0.26637358565405772</v>
      </c>
      <c r="Z111" t="str">
        <f>HYPERLINK("Melting_Curves/meltCurve_sp_O15294_3_OGT1_HUMAN_.pdf", "Melting_Curves/meltCurve_sp_O15294_3_OGT1_HUMAN_.pdf")</f>
        <v>Melting_Curves/meltCurve_sp_O15294_3_OGT1_HUMAN_.pdf</v>
      </c>
      <c r="AA111" t="s">
        <v>11601</v>
      </c>
      <c r="AB111" t="s">
        <v>15352</v>
      </c>
    </row>
    <row r="112" spans="1:28" x14ac:dyDescent="0.25">
      <c r="A112" t="s">
        <v>116</v>
      </c>
      <c r="B112">
        <v>0.98876768158843997</v>
      </c>
      <c r="C112">
        <v>0.94199196798250595</v>
      </c>
      <c r="D112">
        <v>0.79840856273855598</v>
      </c>
      <c r="E112">
        <v>0.59659541567739804</v>
      </c>
      <c r="F112">
        <v>0.38932935699291898</v>
      </c>
      <c r="G112">
        <v>0.12518802993966799</v>
      </c>
      <c r="H112">
        <v>5.4606439324622703E-2</v>
      </c>
      <c r="I112">
        <v>4.9969810736721999E-2</v>
      </c>
      <c r="J112">
        <v>4.6344800449195402E-2</v>
      </c>
      <c r="K112">
        <v>4.7728738247666297E-2</v>
      </c>
      <c r="L112">
        <v>778.27891799031397</v>
      </c>
      <c r="M112">
        <v>15.285591519098601</v>
      </c>
      <c r="N112">
        <v>50.967165938844602</v>
      </c>
      <c r="O112">
        <v>50.068265021189902</v>
      </c>
      <c r="P112">
        <v>-7.5747792069060502E-2</v>
      </c>
      <c r="Q112">
        <v>7.6392871338477001E-3</v>
      </c>
      <c r="R112">
        <v>0.99529858540910499</v>
      </c>
      <c r="S112" t="s">
        <v>3944</v>
      </c>
      <c r="T112" t="s">
        <v>7662</v>
      </c>
      <c r="U112" t="s">
        <v>7662</v>
      </c>
      <c r="V112" t="s">
        <v>7662</v>
      </c>
      <c r="W112">
        <v>13</v>
      </c>
      <c r="X112" t="s">
        <v>7774</v>
      </c>
      <c r="Y112">
        <v>0.39099685054059807</v>
      </c>
      <c r="Z112" t="str">
        <f>HYPERLINK("Melting_Curves/meltCurve_sp_O15305_PMM2_HUMAN_.pdf", "Melting_Curves/meltCurve_sp_O15305_PMM2_HUMAN_.pdf")</f>
        <v>Melting_Curves/meltCurve_sp_O15305_PMM2_HUMAN_.pdf</v>
      </c>
      <c r="AA112" t="s">
        <v>11602</v>
      </c>
      <c r="AB112" t="s">
        <v>15353</v>
      </c>
    </row>
    <row r="113" spans="1:28" x14ac:dyDescent="0.25">
      <c r="A113" t="s">
        <v>117</v>
      </c>
      <c r="B113">
        <v>0.98876768158843997</v>
      </c>
      <c r="C113">
        <v>1.0565809636526799</v>
      </c>
      <c r="D113">
        <v>0.89137023381867497</v>
      </c>
      <c r="E113">
        <v>0.717593318534263</v>
      </c>
      <c r="F113">
        <v>0.74940815341899103</v>
      </c>
      <c r="G113">
        <v>0.50202517434458405</v>
      </c>
      <c r="H113">
        <v>0.4084419523251</v>
      </c>
      <c r="I113">
        <v>0.46449672957847399</v>
      </c>
      <c r="J113">
        <v>0.60711089269942498</v>
      </c>
      <c r="K113">
        <v>0.66786313720004897</v>
      </c>
      <c r="L113">
        <v>1006.57795346579</v>
      </c>
      <c r="M113">
        <v>20.214346811167399</v>
      </c>
      <c r="O113">
        <v>49.315596708025097</v>
      </c>
      <c r="P113">
        <v>-4.7842306602163799E-2</v>
      </c>
      <c r="Q113">
        <v>0.53314392756697104</v>
      </c>
      <c r="R113">
        <v>0.83741398799848499</v>
      </c>
      <c r="S113" t="s">
        <v>3945</v>
      </c>
      <c r="T113" t="s">
        <v>7662</v>
      </c>
      <c r="U113" t="s">
        <v>7662</v>
      </c>
      <c r="V113" t="s">
        <v>7662</v>
      </c>
      <c r="W113">
        <v>12</v>
      </c>
      <c r="X113" t="s">
        <v>7775</v>
      </c>
      <c r="Y113">
        <v>0.69194565686815068</v>
      </c>
      <c r="Z113" t="str">
        <f>HYPERLINK("Melting_Curves/meltCurve_sp_O15355_PPM1G_HUMAN_.pdf", "Melting_Curves/meltCurve_sp_O15355_PPM1G_HUMAN_.pdf")</f>
        <v>Melting_Curves/meltCurve_sp_O15355_PPM1G_HUMAN_.pdf</v>
      </c>
      <c r="AA113" t="s">
        <v>11603</v>
      </c>
      <c r="AB113" t="s">
        <v>15354</v>
      </c>
    </row>
    <row r="114" spans="1:28" x14ac:dyDescent="0.25">
      <c r="A114" t="s">
        <v>118</v>
      </c>
      <c r="B114">
        <v>0.98876768158843997</v>
      </c>
      <c r="C114">
        <v>0.86819366995341896</v>
      </c>
      <c r="D114">
        <v>1.02799431230689</v>
      </c>
      <c r="E114">
        <v>0.47051184525009199</v>
      </c>
      <c r="F114">
        <v>0.58233601366925503</v>
      </c>
      <c r="G114">
        <v>0.261683198077787</v>
      </c>
      <c r="H114">
        <v>0.157499822681784</v>
      </c>
      <c r="I114">
        <v>8.2088632002433201E-2</v>
      </c>
      <c r="J114">
        <v>8.7041194063626107E-2</v>
      </c>
      <c r="K114">
        <v>6.8298765383122906E-2</v>
      </c>
      <c r="L114">
        <v>689.65318001935498</v>
      </c>
      <c r="M114">
        <v>13.206178865379099</v>
      </c>
      <c r="N114">
        <v>52.466101473427301</v>
      </c>
      <c r="O114">
        <v>51.068135679041298</v>
      </c>
      <c r="P114">
        <v>-6.2733947454465797E-2</v>
      </c>
      <c r="Q114">
        <v>2.9795519595581198E-2</v>
      </c>
      <c r="R114">
        <v>0.939489123730335</v>
      </c>
      <c r="S114" t="s">
        <v>3946</v>
      </c>
      <c r="T114" t="s">
        <v>7662</v>
      </c>
      <c r="U114" t="s">
        <v>7662</v>
      </c>
      <c r="V114" t="s">
        <v>7662</v>
      </c>
      <c r="W114">
        <v>3</v>
      </c>
      <c r="X114" t="s">
        <v>7776</v>
      </c>
      <c r="Y114">
        <v>0.45087193837491651</v>
      </c>
      <c r="Z114" t="str">
        <f>HYPERLINK("Melting_Curves/meltCurve_sp_O15372_EIF3H_HUMAN_.pdf", "Melting_Curves/meltCurve_sp_O15372_EIF3H_HUMAN_.pdf")</f>
        <v>Melting_Curves/meltCurve_sp_O15372_EIF3H_HUMAN_.pdf</v>
      </c>
      <c r="AA114" t="s">
        <v>11604</v>
      </c>
      <c r="AB114" t="s">
        <v>15355</v>
      </c>
    </row>
    <row r="115" spans="1:28" x14ac:dyDescent="0.25">
      <c r="A115" t="s">
        <v>119</v>
      </c>
      <c r="B115">
        <v>0.98876768158843997</v>
      </c>
      <c r="C115">
        <v>1.0087573629377899</v>
      </c>
      <c r="D115">
        <v>0.96700504397679499</v>
      </c>
      <c r="E115">
        <v>0.82489379205764002</v>
      </c>
      <c r="F115">
        <v>0.623220509458425</v>
      </c>
      <c r="G115">
        <v>0.396979172218765</v>
      </c>
      <c r="H115">
        <v>0.23919095050040001</v>
      </c>
      <c r="I115">
        <v>0.16289936011287801</v>
      </c>
      <c r="J115">
        <v>0.12406145562973001</v>
      </c>
      <c r="K115">
        <v>0.15875589625797401</v>
      </c>
      <c r="L115">
        <v>909.16529275709297</v>
      </c>
      <c r="M115">
        <v>16.786518807287798</v>
      </c>
      <c r="N115">
        <v>55.011868247699702</v>
      </c>
      <c r="O115">
        <v>53.409336515752102</v>
      </c>
      <c r="P115">
        <v>-6.9590408281469507E-2</v>
      </c>
      <c r="Q115">
        <v>0.114399785552107</v>
      </c>
      <c r="R115">
        <v>0.99805332913060296</v>
      </c>
      <c r="S115" t="s">
        <v>3947</v>
      </c>
      <c r="T115" t="s">
        <v>7662</v>
      </c>
      <c r="U115" t="s">
        <v>7662</v>
      </c>
      <c r="V115" t="s">
        <v>7662</v>
      </c>
      <c r="W115">
        <v>1</v>
      </c>
      <c r="X115" t="s">
        <v>7777</v>
      </c>
      <c r="Y115">
        <v>0.54798815776035414</v>
      </c>
      <c r="Z115" t="str">
        <f>HYPERLINK("Melting_Curves/meltCurve_sp_O15379_HDAC3_HUMAN_.pdf", "Melting_Curves/meltCurve_sp_O15379_HDAC3_HUMAN_.pdf")</f>
        <v>Melting_Curves/meltCurve_sp_O15379_HDAC3_HUMAN_.pdf</v>
      </c>
      <c r="AA115" t="s">
        <v>11605</v>
      </c>
      <c r="AB115" t="s">
        <v>15356</v>
      </c>
    </row>
    <row r="116" spans="1:28" x14ac:dyDescent="0.25">
      <c r="A116" t="s">
        <v>120</v>
      </c>
      <c r="B116">
        <v>0.98876768158843997</v>
      </c>
      <c r="C116">
        <v>1.0262086434978299</v>
      </c>
      <c r="D116">
        <v>0.894432222670693</v>
      </c>
      <c r="E116">
        <v>0.846077173940328</v>
      </c>
      <c r="F116">
        <v>0.648761609022797</v>
      </c>
      <c r="G116">
        <v>0.39753399146864599</v>
      </c>
      <c r="H116">
        <v>0.249851117506562</v>
      </c>
      <c r="I116">
        <v>0.18004760262355901</v>
      </c>
      <c r="J116">
        <v>0.20320869231352801</v>
      </c>
      <c r="K116">
        <v>0.109271321685773</v>
      </c>
      <c r="L116">
        <v>845.04419749138503</v>
      </c>
      <c r="M116">
        <v>15.5230082060193</v>
      </c>
      <c r="N116">
        <v>55.336208585495598</v>
      </c>
      <c r="O116">
        <v>53.558729504095901</v>
      </c>
      <c r="P116">
        <v>-6.4395558837086406E-2</v>
      </c>
      <c r="Q116">
        <v>0.11134757719989399</v>
      </c>
      <c r="R116">
        <v>0.99276542495376197</v>
      </c>
      <c r="S116" t="s">
        <v>3948</v>
      </c>
      <c r="T116" t="s">
        <v>7662</v>
      </c>
      <c r="U116" t="s">
        <v>7662</v>
      </c>
      <c r="V116" t="s">
        <v>7662</v>
      </c>
      <c r="W116">
        <v>8</v>
      </c>
      <c r="X116" t="s">
        <v>7778</v>
      </c>
      <c r="Y116">
        <v>0.55610138439074508</v>
      </c>
      <c r="Z116" t="str">
        <f>HYPERLINK("Melting_Curves/meltCurve_sp_O15382_BCAT2_HUMAN_.pdf", "Melting_Curves/meltCurve_sp_O15382_BCAT2_HUMAN_.pdf")</f>
        <v>Melting_Curves/meltCurve_sp_O15382_BCAT2_HUMAN_.pdf</v>
      </c>
      <c r="AA116" t="s">
        <v>11606</v>
      </c>
      <c r="AB116" t="s">
        <v>15357</v>
      </c>
    </row>
    <row r="117" spans="1:28" x14ac:dyDescent="0.25">
      <c r="A117" t="s">
        <v>121</v>
      </c>
      <c r="B117">
        <v>0.98876768158843997</v>
      </c>
      <c r="C117">
        <v>0.84230026536227798</v>
      </c>
      <c r="D117">
        <v>0.86396953898712403</v>
      </c>
      <c r="E117">
        <v>0.595708768245513</v>
      </c>
      <c r="F117">
        <v>0.39777164840444301</v>
      </c>
      <c r="G117">
        <v>0.14455279004642199</v>
      </c>
      <c r="H117">
        <v>0.10430467570867299</v>
      </c>
      <c r="I117">
        <v>9.52332735223234E-2</v>
      </c>
      <c r="J117">
        <v>7.6953446646137805E-2</v>
      </c>
      <c r="K117">
        <v>8.5944514710693296E-2</v>
      </c>
      <c r="L117">
        <v>771.275488929473</v>
      </c>
      <c r="M117">
        <v>15.192896151760801</v>
      </c>
      <c r="N117">
        <v>51.101837956989698</v>
      </c>
      <c r="O117">
        <v>49.910399342809697</v>
      </c>
      <c r="P117">
        <v>-7.2487351859599397E-2</v>
      </c>
      <c r="Q117">
        <v>4.7574599157822799E-2</v>
      </c>
      <c r="R117">
        <v>0.98723009546002205</v>
      </c>
      <c r="S117" t="s">
        <v>3949</v>
      </c>
      <c r="T117" t="s">
        <v>7662</v>
      </c>
      <c r="U117" t="s">
        <v>7662</v>
      </c>
      <c r="V117" t="s">
        <v>7662</v>
      </c>
      <c r="W117">
        <v>5</v>
      </c>
      <c r="X117" t="s">
        <v>7779</v>
      </c>
      <c r="Y117">
        <v>0.4110492320478254</v>
      </c>
      <c r="Z117" t="str">
        <f>HYPERLINK("Melting_Curves/meltCurve_sp_O15397_IPO8_HUMAN_.pdf", "Melting_Curves/meltCurve_sp_O15397_IPO8_HUMAN_.pdf")</f>
        <v>Melting_Curves/meltCurve_sp_O15397_IPO8_HUMAN_.pdf</v>
      </c>
      <c r="AA117" t="s">
        <v>11607</v>
      </c>
      <c r="AB117" t="s">
        <v>15358</v>
      </c>
    </row>
    <row r="118" spans="1:28" x14ac:dyDescent="0.25">
      <c r="A118" t="s">
        <v>122</v>
      </c>
      <c r="B118">
        <v>0.98876768158843997</v>
      </c>
      <c r="C118">
        <v>1.1915675919422299</v>
      </c>
      <c r="D118">
        <v>1.00865489337046</v>
      </c>
      <c r="E118">
        <v>0.88789579529619</v>
      </c>
      <c r="F118">
        <v>0.63671977893905896</v>
      </c>
      <c r="G118">
        <v>0.454113333880309</v>
      </c>
      <c r="H118">
        <v>0.37414574319400601</v>
      </c>
      <c r="I118">
        <v>0.45489549475923302</v>
      </c>
      <c r="J118">
        <v>0.72483911137561896</v>
      </c>
      <c r="K118">
        <v>0.61360637671419205</v>
      </c>
      <c r="L118">
        <v>2337.19997712021</v>
      </c>
      <c r="M118">
        <v>45.4643723452754</v>
      </c>
      <c r="O118">
        <v>51.308123646909003</v>
      </c>
      <c r="P118">
        <v>-0.10514696221295999</v>
      </c>
      <c r="Q118">
        <v>0.52535258897033499</v>
      </c>
      <c r="R118">
        <v>0.82629429915145802</v>
      </c>
      <c r="S118" t="s">
        <v>3950</v>
      </c>
      <c r="T118" t="s">
        <v>7662</v>
      </c>
      <c r="U118" t="s">
        <v>7662</v>
      </c>
      <c r="V118" t="s">
        <v>7662</v>
      </c>
      <c r="W118">
        <v>2</v>
      </c>
      <c r="X118" t="s">
        <v>7780</v>
      </c>
      <c r="Y118">
        <v>0.7071370127211174</v>
      </c>
      <c r="Z118" t="str">
        <f>HYPERLINK("Melting_Curves/meltCurve_sp_O15400_2_STX7_HUMAN_.pdf", "Melting_Curves/meltCurve_sp_O15400_2_STX7_HUMAN_.pdf")</f>
        <v>Melting_Curves/meltCurve_sp_O15400_2_STX7_HUMAN_.pdf</v>
      </c>
      <c r="AA118" t="s">
        <v>11608</v>
      </c>
      <c r="AB118" t="s">
        <v>15359</v>
      </c>
    </row>
    <row r="119" spans="1:28" x14ac:dyDescent="0.25">
      <c r="A119" t="s">
        <v>123</v>
      </c>
      <c r="B119">
        <v>0.98876768158843997</v>
      </c>
      <c r="C119">
        <v>1.1963096836706699</v>
      </c>
      <c r="D119">
        <v>0.88470222924201103</v>
      </c>
      <c r="E119">
        <v>0.62347220610005005</v>
      </c>
      <c r="F119">
        <v>0.665329851843938</v>
      </c>
      <c r="G119">
        <v>0.41231167077546199</v>
      </c>
      <c r="H119">
        <v>0.29024605111344998</v>
      </c>
      <c r="I119">
        <v>0.36457974768288698</v>
      </c>
      <c r="J119">
        <v>0.48264235397640098</v>
      </c>
      <c r="K119">
        <v>0.45932463180146599</v>
      </c>
      <c r="L119">
        <v>1068.0122210762399</v>
      </c>
      <c r="M119">
        <v>21.354193645692298</v>
      </c>
      <c r="N119">
        <v>54.143400169147299</v>
      </c>
      <c r="O119">
        <v>49.581738214424398</v>
      </c>
      <c r="P119">
        <v>-6.4400532359931706E-2</v>
      </c>
      <c r="Q119">
        <v>0.40189522532461902</v>
      </c>
      <c r="R119">
        <v>0.87989696629921299</v>
      </c>
      <c r="S119" t="s">
        <v>3951</v>
      </c>
      <c r="T119" t="s">
        <v>7662</v>
      </c>
      <c r="U119" t="s">
        <v>7662</v>
      </c>
      <c r="V119" t="s">
        <v>7662</v>
      </c>
      <c r="W119">
        <v>1</v>
      </c>
      <c r="X119" t="s">
        <v>7781</v>
      </c>
      <c r="Y119">
        <v>0.60886747673621688</v>
      </c>
      <c r="Z119" t="str">
        <f>HYPERLINK("Melting_Curves/meltCurve_sp_O15446_RPA34_HUMAN_.pdf", "Melting_Curves/meltCurve_sp_O15446_RPA34_HUMAN_.pdf")</f>
        <v>Melting_Curves/meltCurve_sp_O15446_RPA34_HUMAN_.pdf</v>
      </c>
      <c r="AA119" t="s">
        <v>11609</v>
      </c>
      <c r="AB119" t="s">
        <v>15360</v>
      </c>
    </row>
    <row r="120" spans="1:28" x14ac:dyDescent="0.25">
      <c r="A120" t="s">
        <v>124</v>
      </c>
      <c r="B120">
        <v>0.98876768158843997</v>
      </c>
      <c r="C120">
        <v>1.1568134983780001</v>
      </c>
      <c r="D120">
        <v>0.98030796675151999</v>
      </c>
      <c r="E120">
        <v>0.85378034563661298</v>
      </c>
      <c r="F120">
        <v>0.90492472713317096</v>
      </c>
      <c r="G120">
        <v>0.50954285873375305</v>
      </c>
      <c r="H120">
        <v>0.42322070355208002</v>
      </c>
      <c r="I120">
        <v>0.44491402936836599</v>
      </c>
      <c r="J120">
        <v>0.55447727013730497</v>
      </c>
      <c r="K120">
        <v>0.55387723538003997</v>
      </c>
      <c r="L120">
        <v>3056.4527163267198</v>
      </c>
      <c r="M120">
        <v>56.350782033245501</v>
      </c>
      <c r="N120">
        <v>58.4312241814064</v>
      </c>
      <c r="O120">
        <v>54.171577782137902</v>
      </c>
      <c r="P120">
        <v>-0.13231162221585799</v>
      </c>
      <c r="Q120">
        <v>0.49122088743585701</v>
      </c>
      <c r="R120">
        <v>0.90604318108592996</v>
      </c>
      <c r="S120" t="s">
        <v>3952</v>
      </c>
      <c r="T120" t="s">
        <v>7662</v>
      </c>
      <c r="U120" t="s">
        <v>7662</v>
      </c>
      <c r="V120" t="s">
        <v>7662</v>
      </c>
      <c r="W120">
        <v>5</v>
      </c>
      <c r="X120" t="s">
        <v>7782</v>
      </c>
      <c r="Y120">
        <v>0.73367437484694831</v>
      </c>
      <c r="Z120" t="str">
        <f>HYPERLINK("Melting_Curves/meltCurve_sp_O15488_4_GLYG2_HUMAN_.pdf", "Melting_Curves/meltCurve_sp_O15488_4_GLYG2_HUMAN_.pdf")</f>
        <v>Melting_Curves/meltCurve_sp_O15488_4_GLYG2_HUMAN_.pdf</v>
      </c>
      <c r="AA120" t="s">
        <v>11610</v>
      </c>
      <c r="AB120" t="s">
        <v>15361</v>
      </c>
    </row>
    <row r="121" spans="1:28" x14ac:dyDescent="0.25">
      <c r="A121" t="s">
        <v>125</v>
      </c>
      <c r="B121">
        <v>0.98876768158843997</v>
      </c>
      <c r="C121">
        <v>1.12391598036596</v>
      </c>
      <c r="D121">
        <v>0.87243929620706595</v>
      </c>
      <c r="E121">
        <v>0.58985342121283502</v>
      </c>
      <c r="F121">
        <v>0.66413526727495298</v>
      </c>
      <c r="G121">
        <v>0.40843469313536801</v>
      </c>
      <c r="H121">
        <v>0.23394954914361399</v>
      </c>
      <c r="I121">
        <v>0.111928792136519</v>
      </c>
      <c r="J121">
        <v>0.13667664787830799</v>
      </c>
      <c r="K121">
        <v>6.9789804996162899E-2</v>
      </c>
      <c r="L121">
        <v>613.06152291814203</v>
      </c>
      <c r="M121">
        <v>11.240707616864499</v>
      </c>
      <c r="N121">
        <v>54.539406516640398</v>
      </c>
      <c r="O121">
        <v>52.898736486959599</v>
      </c>
      <c r="P121">
        <v>-5.3140192322674799E-2</v>
      </c>
      <c r="Q121">
        <v>0</v>
      </c>
      <c r="R121">
        <v>0.954837524559769</v>
      </c>
      <c r="S121" t="s">
        <v>3953</v>
      </c>
      <c r="T121" t="s">
        <v>7662</v>
      </c>
      <c r="U121" t="s">
        <v>7662</v>
      </c>
      <c r="V121" t="s">
        <v>7662</v>
      </c>
      <c r="W121">
        <v>2</v>
      </c>
      <c r="X121" t="s">
        <v>7783</v>
      </c>
      <c r="Y121">
        <v>0.51061953434619844</v>
      </c>
      <c r="Z121" t="str">
        <f>HYPERLINK("Melting_Curves/meltCurve_sp_O15498_YKT6_HUMAN_.pdf", "Melting_Curves/meltCurve_sp_O15498_YKT6_HUMAN_.pdf")</f>
        <v>Melting_Curves/meltCurve_sp_O15498_YKT6_HUMAN_.pdf</v>
      </c>
      <c r="AA121" t="s">
        <v>11611</v>
      </c>
      <c r="AB121" t="s">
        <v>15362</v>
      </c>
    </row>
    <row r="122" spans="1:28" x14ac:dyDescent="0.25">
      <c r="A122" t="s">
        <v>126</v>
      </c>
      <c r="B122">
        <v>0.98876768158843997</v>
      </c>
      <c r="C122">
        <v>0.81169306654057904</v>
      </c>
      <c r="D122">
        <v>1.0582299880961401</v>
      </c>
      <c r="E122">
        <v>0.93750985053696101</v>
      </c>
      <c r="F122">
        <v>0.55446077097802604</v>
      </c>
      <c r="G122">
        <v>0.35658807555876298</v>
      </c>
      <c r="H122">
        <v>0.14956217607291</v>
      </c>
      <c r="I122">
        <v>8.4366584579891601E-2</v>
      </c>
      <c r="J122">
        <v>7.9068868199383996E-2</v>
      </c>
      <c r="K122">
        <v>6.0946675766641499E-2</v>
      </c>
      <c r="L122">
        <v>1149.79683336875</v>
      </c>
      <c r="M122">
        <v>21.227545930375101</v>
      </c>
      <c r="N122">
        <v>54.514002132544498</v>
      </c>
      <c r="O122">
        <v>53.6914982498432</v>
      </c>
      <c r="P122">
        <v>-9.2568357716121596E-2</v>
      </c>
      <c r="Q122">
        <v>6.3479910429777506E-2</v>
      </c>
      <c r="R122">
        <v>0.96323234954527404</v>
      </c>
      <c r="S122" t="s">
        <v>3954</v>
      </c>
      <c r="T122" t="s">
        <v>7662</v>
      </c>
      <c r="U122" t="s">
        <v>7662</v>
      </c>
      <c r="V122" t="s">
        <v>7662</v>
      </c>
      <c r="W122">
        <v>6</v>
      </c>
      <c r="X122" t="s">
        <v>7784</v>
      </c>
      <c r="Y122">
        <v>0.51720542139414727</v>
      </c>
      <c r="Z122" t="str">
        <f>HYPERLINK("Melting_Curves/meltCurve_sp_O15511_ARPC5_HUMAN_.pdf", "Melting_Curves/meltCurve_sp_O15511_ARPC5_HUMAN_.pdf")</f>
        <v>Melting_Curves/meltCurve_sp_O15511_ARPC5_HUMAN_.pdf</v>
      </c>
      <c r="AA122" t="s">
        <v>11612</v>
      </c>
      <c r="AB122" t="s">
        <v>15363</v>
      </c>
    </row>
    <row r="123" spans="1:28" x14ac:dyDescent="0.25">
      <c r="A123" t="s">
        <v>127</v>
      </c>
      <c r="B123">
        <v>0.98876768158843997</v>
      </c>
      <c r="C123">
        <v>1.0635039245433899</v>
      </c>
      <c r="D123">
        <v>0.92441105050109895</v>
      </c>
      <c r="E123">
        <v>0.75284342718124497</v>
      </c>
      <c r="F123">
        <v>0.81071710024200305</v>
      </c>
      <c r="G123">
        <v>0.60077169979971101</v>
      </c>
      <c r="H123">
        <v>0.46489829702301899</v>
      </c>
      <c r="I123">
        <v>0.51530270517222199</v>
      </c>
      <c r="J123">
        <v>0.70560175202893605</v>
      </c>
      <c r="K123">
        <v>0.74570910031405602</v>
      </c>
      <c r="L123">
        <v>1034.4300954417799</v>
      </c>
      <c r="M123">
        <v>20.6865806600238</v>
      </c>
      <c r="O123">
        <v>49.544627248939101</v>
      </c>
      <c r="P123">
        <v>-4.0714197326714101E-2</v>
      </c>
      <c r="Q123">
        <v>0.60996696319735799</v>
      </c>
      <c r="R123">
        <v>0.76370862019809505</v>
      </c>
      <c r="S123" t="s">
        <v>3955</v>
      </c>
      <c r="T123" t="s">
        <v>7662</v>
      </c>
      <c r="U123" t="s">
        <v>7662</v>
      </c>
      <c r="V123" t="s">
        <v>7662</v>
      </c>
      <c r="W123">
        <v>7</v>
      </c>
      <c r="X123" t="s">
        <v>7785</v>
      </c>
      <c r="Y123">
        <v>0.74512408663731378</v>
      </c>
      <c r="Z123" t="str">
        <f>HYPERLINK("Melting_Curves/meltCurve_sp_O15541_R113A_HUMAN_.pdf", "Melting_Curves/meltCurve_sp_O15541_R113A_HUMAN_.pdf")</f>
        <v>Melting_Curves/meltCurve_sp_O15541_R113A_HUMAN_.pdf</v>
      </c>
      <c r="AA123" t="s">
        <v>11613</v>
      </c>
      <c r="AB123" t="s">
        <v>15364</v>
      </c>
    </row>
    <row r="124" spans="1:28" x14ac:dyDescent="0.25">
      <c r="A124" t="s">
        <v>128</v>
      </c>
      <c r="B124">
        <v>0.98876768158843997</v>
      </c>
      <c r="C124">
        <v>0.90000816023241903</v>
      </c>
      <c r="D124">
        <v>0.86506811471577205</v>
      </c>
      <c r="E124">
        <v>0.55512933486074201</v>
      </c>
      <c r="F124">
        <v>0.175771777852504</v>
      </c>
      <c r="G124">
        <v>9.2639852386288898E-2</v>
      </c>
      <c r="H124">
        <v>5.2806202610286603E-2</v>
      </c>
      <c r="I124">
        <v>3.7980654533337099E-2</v>
      </c>
      <c r="J124">
        <v>5.1385101970596501E-2</v>
      </c>
      <c r="K124">
        <v>3.4699165002967602E-2</v>
      </c>
      <c r="L124">
        <v>1162.2172890535601</v>
      </c>
      <c r="M124">
        <v>23.288930403072499</v>
      </c>
      <c r="N124">
        <v>50.057542896174397</v>
      </c>
      <c r="O124">
        <v>49.540697124079102</v>
      </c>
      <c r="P124">
        <v>-0.1134825291348</v>
      </c>
      <c r="Q124">
        <v>3.4407618928586403E-2</v>
      </c>
      <c r="R124">
        <v>0.99164807463331395</v>
      </c>
      <c r="S124" t="s">
        <v>3956</v>
      </c>
      <c r="T124" t="s">
        <v>7662</v>
      </c>
      <c r="U124" t="s">
        <v>7662</v>
      </c>
      <c r="V124" t="s">
        <v>7662</v>
      </c>
      <c r="W124">
        <v>18</v>
      </c>
      <c r="X124" t="s">
        <v>7786</v>
      </c>
      <c r="Y124">
        <v>0.36313319961985102</v>
      </c>
      <c r="Z124" t="str">
        <f>HYPERLINK("Melting_Curves/meltCurve_sp_O43143_DHX15_HUMAN_.pdf", "Melting_Curves/meltCurve_sp_O43143_DHX15_HUMAN_.pdf")</f>
        <v>Melting_Curves/meltCurve_sp_O43143_DHX15_HUMAN_.pdf</v>
      </c>
      <c r="AA124" t="s">
        <v>11614</v>
      </c>
      <c r="AB124" t="s">
        <v>15365</v>
      </c>
    </row>
    <row r="125" spans="1:28" x14ac:dyDescent="0.25">
      <c r="A125" t="s">
        <v>129</v>
      </c>
      <c r="B125">
        <v>0.98876768158843997</v>
      </c>
      <c r="C125">
        <v>1.0465979370249501</v>
      </c>
      <c r="D125">
        <v>0.94313064445338801</v>
      </c>
      <c r="E125">
        <v>0.84506815995131701</v>
      </c>
      <c r="F125">
        <v>0.67708675546576302</v>
      </c>
      <c r="G125">
        <v>0.34201075725472602</v>
      </c>
      <c r="H125">
        <v>0.16279319358300001</v>
      </c>
      <c r="I125">
        <v>0.15589653310048501</v>
      </c>
      <c r="J125">
        <v>0.199128518995704</v>
      </c>
      <c r="K125">
        <v>0.20734817018916499</v>
      </c>
      <c r="L125">
        <v>1258.8635338633201</v>
      </c>
      <c r="M125">
        <v>23.429359106579199</v>
      </c>
      <c r="N125">
        <v>54.6635238570681</v>
      </c>
      <c r="O125">
        <v>53.343341779519498</v>
      </c>
      <c r="P125">
        <v>-9.1704563567591393E-2</v>
      </c>
      <c r="Q125">
        <v>0.164852509052347</v>
      </c>
      <c r="R125">
        <v>0.991089357327676</v>
      </c>
      <c r="S125" t="s">
        <v>3957</v>
      </c>
      <c r="T125" t="s">
        <v>7662</v>
      </c>
      <c r="U125" t="s">
        <v>7662</v>
      </c>
      <c r="V125" t="s">
        <v>7662</v>
      </c>
      <c r="W125">
        <v>6</v>
      </c>
      <c r="X125" t="s">
        <v>7787</v>
      </c>
      <c r="Y125">
        <v>0.55576167372461505</v>
      </c>
      <c r="Z125" t="str">
        <f>HYPERLINK("Melting_Curves/meltCurve_sp_O43148_MCES_HUMAN_.pdf", "Melting_Curves/meltCurve_sp_O43148_MCES_HUMAN_.pdf")</f>
        <v>Melting_Curves/meltCurve_sp_O43148_MCES_HUMAN_.pdf</v>
      </c>
      <c r="AA125" t="s">
        <v>11615</v>
      </c>
      <c r="AB125" t="s">
        <v>15366</v>
      </c>
    </row>
    <row r="126" spans="1:28" x14ac:dyDescent="0.25">
      <c r="A126" t="s">
        <v>130</v>
      </c>
      <c r="B126">
        <v>0.98876768158843997</v>
      </c>
      <c r="C126">
        <v>1.0308182664955801</v>
      </c>
      <c r="D126">
        <v>0.89726810782486899</v>
      </c>
      <c r="E126">
        <v>0.75614276378226697</v>
      </c>
      <c r="F126">
        <v>0.72100240271527505</v>
      </c>
      <c r="G126">
        <v>0.52401129016862402</v>
      </c>
      <c r="H126">
        <v>0.45062266126217998</v>
      </c>
      <c r="I126">
        <v>0.48327569028956902</v>
      </c>
      <c r="J126">
        <v>0.92816576490470004</v>
      </c>
      <c r="K126">
        <v>0.661100791716276</v>
      </c>
      <c r="L126">
        <v>1200.63836900259</v>
      </c>
      <c r="M126">
        <v>24.6319153744912</v>
      </c>
      <c r="O126">
        <v>48.4253130055288</v>
      </c>
      <c r="P126">
        <v>-4.8691337803489901E-2</v>
      </c>
      <c r="Q126">
        <v>0.61710475582165103</v>
      </c>
      <c r="R126">
        <v>0.603916048598648</v>
      </c>
      <c r="S126" t="s">
        <v>3958</v>
      </c>
      <c r="T126" t="s">
        <v>7662</v>
      </c>
      <c r="U126" t="s">
        <v>7662</v>
      </c>
      <c r="V126" t="s">
        <v>7662</v>
      </c>
      <c r="W126">
        <v>2</v>
      </c>
      <c r="X126" t="s">
        <v>7788</v>
      </c>
      <c r="Y126">
        <v>0.732189781744361</v>
      </c>
      <c r="Z126" t="str">
        <f>HYPERLINK("Melting_Curves/meltCurve_sp_O43164_2_PJA2_HUMAN_.pdf", "Melting_Curves/meltCurve_sp_O43164_2_PJA2_HUMAN_.pdf")</f>
        <v>Melting_Curves/meltCurve_sp_O43164_2_PJA2_HUMAN_.pdf</v>
      </c>
      <c r="AA126" t="s">
        <v>11616</v>
      </c>
      <c r="AB126" t="s">
        <v>15367</v>
      </c>
    </row>
    <row r="127" spans="1:28" x14ac:dyDescent="0.25">
      <c r="A127" t="s">
        <v>131</v>
      </c>
      <c r="B127">
        <v>0.98876768158843997</v>
      </c>
      <c r="C127">
        <v>0.87186394873803597</v>
      </c>
      <c r="D127">
        <v>1.0129963837159</v>
      </c>
      <c r="E127">
        <v>0.74070459489929896</v>
      </c>
      <c r="F127">
        <v>0.37956484422011799</v>
      </c>
      <c r="G127">
        <v>0.15032845553479199</v>
      </c>
      <c r="H127">
        <v>3.6154931326018699E-2</v>
      </c>
      <c r="I127">
        <v>3.1827417027808599E-2</v>
      </c>
      <c r="J127">
        <v>4.3058160279883698E-2</v>
      </c>
      <c r="K127">
        <v>3.3040971478532702E-2</v>
      </c>
      <c r="L127">
        <v>1343.67610154708</v>
      </c>
      <c r="M127">
        <v>25.873988070293699</v>
      </c>
      <c r="N127">
        <v>52.069135700370403</v>
      </c>
      <c r="O127">
        <v>51.624309241935698</v>
      </c>
      <c r="P127">
        <v>-0.121160502831292</v>
      </c>
      <c r="Q127">
        <v>3.3043705586161702E-2</v>
      </c>
      <c r="R127">
        <v>0.98840310044520996</v>
      </c>
      <c r="S127" t="s">
        <v>3959</v>
      </c>
      <c r="T127" t="s">
        <v>7662</v>
      </c>
      <c r="U127" t="s">
        <v>7662</v>
      </c>
      <c r="V127" t="s">
        <v>7662</v>
      </c>
      <c r="W127">
        <v>27</v>
      </c>
      <c r="X127" t="s">
        <v>7789</v>
      </c>
      <c r="Y127">
        <v>0.42587370535943958</v>
      </c>
      <c r="Z127" t="str">
        <f>HYPERLINK("Melting_Curves/meltCurve_sp_O43175_SERA_HUMAN_.pdf", "Melting_Curves/meltCurve_sp_O43175_SERA_HUMAN_.pdf")</f>
        <v>Melting_Curves/meltCurve_sp_O43175_SERA_HUMAN_.pdf</v>
      </c>
      <c r="AA127" t="s">
        <v>11617</v>
      </c>
      <c r="AB127" t="s">
        <v>15368</v>
      </c>
    </row>
    <row r="128" spans="1:28" x14ac:dyDescent="0.25">
      <c r="A128" t="s">
        <v>132</v>
      </c>
      <c r="B128">
        <v>0.98876768158843997</v>
      </c>
      <c r="C128">
        <v>0.91057320628808103</v>
      </c>
      <c r="D128">
        <v>1.1368612712203401</v>
      </c>
      <c r="E128">
        <v>0.88306229009336801</v>
      </c>
      <c r="F128">
        <v>0.50442447991431905</v>
      </c>
      <c r="G128">
        <v>0.24252585068987301</v>
      </c>
      <c r="H128">
        <v>7.9361381570970099E-2</v>
      </c>
      <c r="I128">
        <v>1.55257449526053E-2</v>
      </c>
      <c r="J128">
        <v>2.726611283554E-2</v>
      </c>
      <c r="K128">
        <v>2.40345032233047E-2</v>
      </c>
      <c r="L128">
        <v>1381.9419432560401</v>
      </c>
      <c r="M128">
        <v>25.8949264814459</v>
      </c>
      <c r="N128">
        <v>53.493765100325497</v>
      </c>
      <c r="O128">
        <v>53.0520648386697</v>
      </c>
      <c r="P128">
        <v>-0.11840390565157501</v>
      </c>
      <c r="Q128">
        <v>2.9694379176856599E-2</v>
      </c>
      <c r="R128">
        <v>0.97942180768280795</v>
      </c>
      <c r="S128" t="s">
        <v>3960</v>
      </c>
      <c r="T128" t="s">
        <v>7662</v>
      </c>
      <c r="U128" t="s">
        <v>7662</v>
      </c>
      <c r="V128" t="s">
        <v>7662</v>
      </c>
      <c r="W128">
        <v>4</v>
      </c>
      <c r="X128" t="s">
        <v>7790</v>
      </c>
      <c r="Y128">
        <v>0.47042447349692967</v>
      </c>
      <c r="Z128" t="str">
        <f>HYPERLINK("Melting_Curves/meltCurve_sp_O43236_5_SEPT4_HUMAN_.pdf", "Melting_Curves/meltCurve_sp_O43236_5_SEPT4_HUMAN_.pdf")</f>
        <v>Melting_Curves/meltCurve_sp_O43236_5_SEPT4_HUMAN_.pdf</v>
      </c>
      <c r="AA128" t="s">
        <v>11618</v>
      </c>
      <c r="AB128" t="s">
        <v>15369</v>
      </c>
    </row>
    <row r="129" spans="1:28" x14ac:dyDescent="0.25">
      <c r="A129" t="s">
        <v>133</v>
      </c>
      <c r="B129">
        <v>0.98876768158843997</v>
      </c>
      <c r="C129">
        <v>0.994928587330415</v>
      </c>
      <c r="D129">
        <v>1.0078426071445601</v>
      </c>
      <c r="E129">
        <v>0.44458042244357399</v>
      </c>
      <c r="F129">
        <v>0.351386895759284</v>
      </c>
      <c r="G129">
        <v>0.21123565251709001</v>
      </c>
      <c r="H129">
        <v>0.14600535282196</v>
      </c>
      <c r="I129">
        <v>0.156037748774701</v>
      </c>
      <c r="J129">
        <v>0.16717805577133099</v>
      </c>
      <c r="K129">
        <v>0.210713996182229</v>
      </c>
      <c r="L129">
        <v>1741.17120807526</v>
      </c>
      <c r="M129">
        <v>35.327220293602998</v>
      </c>
      <c r="N129">
        <v>49.9612144127533</v>
      </c>
      <c r="O129">
        <v>49.129805737058099</v>
      </c>
      <c r="P129">
        <v>-0.14568137203116099</v>
      </c>
      <c r="Q129">
        <v>0.18960210279937401</v>
      </c>
      <c r="R129">
        <v>0.98330505027835302</v>
      </c>
      <c r="S129" t="s">
        <v>3961</v>
      </c>
      <c r="T129" t="s">
        <v>7662</v>
      </c>
      <c r="U129" t="s">
        <v>7662</v>
      </c>
      <c r="V129" t="s">
        <v>7662</v>
      </c>
      <c r="W129">
        <v>5</v>
      </c>
      <c r="X129" t="s">
        <v>7791</v>
      </c>
      <c r="Y129">
        <v>0.44402681370194291</v>
      </c>
      <c r="Z129" t="str">
        <f>HYPERLINK("Melting_Curves/meltCurve_sp_O43237_DC1L2_HUMAN_.pdf", "Melting_Curves/meltCurve_sp_O43237_DC1L2_HUMAN_.pdf")</f>
        <v>Melting_Curves/meltCurve_sp_O43237_DC1L2_HUMAN_.pdf</v>
      </c>
      <c r="AA129" t="s">
        <v>11619</v>
      </c>
      <c r="AB129" t="s">
        <v>15370</v>
      </c>
    </row>
    <row r="130" spans="1:28" x14ac:dyDescent="0.25">
      <c r="A130" t="s">
        <v>134</v>
      </c>
      <c r="B130">
        <v>0.98876768158843997</v>
      </c>
      <c r="C130">
        <v>0.90321432307025795</v>
      </c>
      <c r="D130">
        <v>0.83123002370668797</v>
      </c>
      <c r="E130">
        <v>0.493615329282444</v>
      </c>
      <c r="F130">
        <v>0.16992424759756999</v>
      </c>
      <c r="G130">
        <v>9.2796268530738496E-2</v>
      </c>
      <c r="H130">
        <v>5.3674448677292097E-2</v>
      </c>
      <c r="I130">
        <v>4.2263220895382599E-2</v>
      </c>
      <c r="J130">
        <v>5.5239616500554901E-2</v>
      </c>
      <c r="K130">
        <v>4.2387687944758598E-2</v>
      </c>
      <c r="L130">
        <v>1050.10007428681</v>
      </c>
      <c r="M130">
        <v>21.270609947785001</v>
      </c>
      <c r="N130">
        <v>49.547063891152298</v>
      </c>
      <c r="O130">
        <v>48.938446481614598</v>
      </c>
      <c r="P130">
        <v>-0.104655499263815</v>
      </c>
      <c r="Q130">
        <v>3.6878155868584998E-2</v>
      </c>
      <c r="R130">
        <v>0.99457603878711198</v>
      </c>
      <c r="S130" t="s">
        <v>3962</v>
      </c>
      <c r="T130" t="s">
        <v>7662</v>
      </c>
      <c r="U130" t="s">
        <v>7662</v>
      </c>
      <c r="V130" t="s">
        <v>7662</v>
      </c>
      <c r="W130">
        <v>21</v>
      </c>
      <c r="X130" t="s">
        <v>7792</v>
      </c>
      <c r="Y130">
        <v>0.34953235659228249</v>
      </c>
      <c r="Z130" t="str">
        <f>HYPERLINK("Melting_Curves/meltCurve_sp_O43242_PSMD3_HUMAN_.pdf", "Melting_Curves/meltCurve_sp_O43242_PSMD3_HUMAN_.pdf")</f>
        <v>Melting_Curves/meltCurve_sp_O43242_PSMD3_HUMAN_.pdf</v>
      </c>
      <c r="AA130" t="s">
        <v>11620</v>
      </c>
      <c r="AB130" t="s">
        <v>15371</v>
      </c>
    </row>
    <row r="131" spans="1:28" x14ac:dyDescent="0.25">
      <c r="A131" t="s">
        <v>135</v>
      </c>
      <c r="B131">
        <v>0.98876768158843997</v>
      </c>
      <c r="C131">
        <v>0.88243931027147604</v>
      </c>
      <c r="D131">
        <v>0.92423945937197505</v>
      </c>
      <c r="E131">
        <v>0.57390968081200799</v>
      </c>
      <c r="F131">
        <v>0.22757938963357599</v>
      </c>
      <c r="G131">
        <v>0.13236773665224499</v>
      </c>
      <c r="H131">
        <v>9.7956990702861804E-2</v>
      </c>
      <c r="I131">
        <v>9.5848466176555694E-2</v>
      </c>
      <c r="J131">
        <v>0.127042255228735</v>
      </c>
      <c r="K131">
        <v>0.11240468416949299</v>
      </c>
      <c r="L131">
        <v>1428.9960337846001</v>
      </c>
      <c r="M131">
        <v>28.571229942378402</v>
      </c>
      <c r="N131">
        <v>50.425597369494497</v>
      </c>
      <c r="O131">
        <v>49.7721137201057</v>
      </c>
      <c r="P131">
        <v>-0.128623509216482</v>
      </c>
      <c r="Q131">
        <v>0.10373990741148401</v>
      </c>
      <c r="R131">
        <v>0.98936657094103098</v>
      </c>
      <c r="S131" t="s">
        <v>3963</v>
      </c>
      <c r="T131" t="s">
        <v>7662</v>
      </c>
      <c r="U131" t="s">
        <v>7662</v>
      </c>
      <c r="V131" t="s">
        <v>7662</v>
      </c>
      <c r="W131">
        <v>4</v>
      </c>
      <c r="X131" t="s">
        <v>7793</v>
      </c>
      <c r="Y131">
        <v>0.4090677187140912</v>
      </c>
      <c r="Z131" t="str">
        <f>HYPERLINK("Melting_Curves/meltCurve_sp_O43252_PAPS1_HUMAN_.pdf", "Melting_Curves/meltCurve_sp_O43252_PAPS1_HUMAN_.pdf")</f>
        <v>Melting_Curves/meltCurve_sp_O43252_PAPS1_HUMAN_.pdf</v>
      </c>
      <c r="AA131" t="s">
        <v>11621</v>
      </c>
      <c r="AB131" t="s">
        <v>15372</v>
      </c>
    </row>
    <row r="132" spans="1:28" x14ac:dyDescent="0.25">
      <c r="A132" t="s">
        <v>136</v>
      </c>
      <c r="B132">
        <v>0.98876768158843997</v>
      </c>
      <c r="C132">
        <v>0.98963557363735999</v>
      </c>
      <c r="D132">
        <v>0.93029358380243199</v>
      </c>
      <c r="E132">
        <v>0.63622334090825505</v>
      </c>
      <c r="F132">
        <v>0.73270019988184598</v>
      </c>
      <c r="G132">
        <v>0.54338476645489198</v>
      </c>
      <c r="H132">
        <v>0.46080559382171798</v>
      </c>
      <c r="I132">
        <v>0.46436687360789602</v>
      </c>
      <c r="J132">
        <v>0.46420520116304498</v>
      </c>
      <c r="K132">
        <v>0.53149557482013698</v>
      </c>
      <c r="L132">
        <v>785.32180972720096</v>
      </c>
      <c r="M132">
        <v>15.677693867964001</v>
      </c>
      <c r="N132">
        <v>61.559380324277001</v>
      </c>
      <c r="O132">
        <v>49.2979003246434</v>
      </c>
      <c r="P132">
        <v>-4.1898805429845101E-2</v>
      </c>
      <c r="Q132">
        <v>0.47304794326918598</v>
      </c>
      <c r="R132">
        <v>0.93443704970188601</v>
      </c>
      <c r="S132" t="s">
        <v>3964</v>
      </c>
      <c r="T132" t="s">
        <v>7662</v>
      </c>
      <c r="U132" t="s">
        <v>7662</v>
      </c>
      <c r="V132" t="s">
        <v>7662</v>
      </c>
      <c r="W132">
        <v>9</v>
      </c>
      <c r="X132" t="s">
        <v>7794</v>
      </c>
      <c r="Y132">
        <v>0.66189058678658219</v>
      </c>
      <c r="Z132" t="str">
        <f>HYPERLINK("Melting_Curves/meltCurve_sp_O43290_SNUT1_HUMAN_.pdf", "Melting_Curves/meltCurve_sp_O43290_SNUT1_HUMAN_.pdf")</f>
        <v>Melting_Curves/meltCurve_sp_O43290_SNUT1_HUMAN_.pdf</v>
      </c>
      <c r="AA132" t="s">
        <v>11622</v>
      </c>
      <c r="AB132" t="s">
        <v>15373</v>
      </c>
    </row>
    <row r="133" spans="1:28" x14ac:dyDescent="0.25">
      <c r="A133" t="s">
        <v>137</v>
      </c>
      <c r="B133">
        <v>0.98876768158843997</v>
      </c>
      <c r="C133">
        <v>0.99285660593944403</v>
      </c>
      <c r="D133">
        <v>0.93954413650634605</v>
      </c>
      <c r="E133">
        <v>0.64729320527067602</v>
      </c>
      <c r="F133">
        <v>0.52762865265186498</v>
      </c>
      <c r="G133">
        <v>0.468456336060943</v>
      </c>
      <c r="H133">
        <v>0.33241188515790498</v>
      </c>
      <c r="I133">
        <v>0.38669508548115999</v>
      </c>
      <c r="J133">
        <v>0.57044824480554301</v>
      </c>
      <c r="K133">
        <v>0.48535623604719702</v>
      </c>
      <c r="L133">
        <v>1429.5231258466499</v>
      </c>
      <c r="M133">
        <v>29.089150542091101</v>
      </c>
      <c r="N133">
        <v>53.313847916674497</v>
      </c>
      <c r="O133">
        <v>48.912326865695597</v>
      </c>
      <c r="P133">
        <v>-8.1976429573145201E-2</v>
      </c>
      <c r="Q133">
        <v>0.448642650794914</v>
      </c>
      <c r="R133">
        <v>0.93854890365909904</v>
      </c>
      <c r="S133" t="s">
        <v>3965</v>
      </c>
      <c r="T133" t="s">
        <v>7662</v>
      </c>
      <c r="U133" t="s">
        <v>7662</v>
      </c>
      <c r="V133" t="s">
        <v>7662</v>
      </c>
      <c r="W133">
        <v>7</v>
      </c>
      <c r="X133" t="s">
        <v>7795</v>
      </c>
      <c r="Y133">
        <v>0.62025906584229873</v>
      </c>
      <c r="Z133" t="str">
        <f>HYPERLINK("Melting_Curves/meltCurve_sp_O43312_4_MTSS1_HUMAN_.pdf", "Melting_Curves/meltCurve_sp_O43312_4_MTSS1_HUMAN_.pdf")</f>
        <v>Melting_Curves/meltCurve_sp_O43312_4_MTSS1_HUMAN_.pdf</v>
      </c>
      <c r="AA133" t="s">
        <v>11623</v>
      </c>
      <c r="AB133" t="s">
        <v>15374</v>
      </c>
    </row>
    <row r="134" spans="1:28" x14ac:dyDescent="0.25">
      <c r="A134" t="s">
        <v>138</v>
      </c>
      <c r="B134">
        <v>0.98876768158843997</v>
      </c>
      <c r="C134">
        <v>0.90364560974660602</v>
      </c>
      <c r="D134">
        <v>0.74360363249109795</v>
      </c>
      <c r="E134">
        <v>0.55536763832910396</v>
      </c>
      <c r="F134">
        <v>0.50237303930422295</v>
      </c>
      <c r="G134">
        <v>0.35340978878992202</v>
      </c>
      <c r="H134">
        <v>0.30288228647332999</v>
      </c>
      <c r="I134">
        <v>0.35571688758172298</v>
      </c>
      <c r="J134">
        <v>0.449958491495978</v>
      </c>
      <c r="K134">
        <v>0.51544668588486597</v>
      </c>
      <c r="L134">
        <v>874.74202800667695</v>
      </c>
      <c r="M134">
        <v>18.645892258138499</v>
      </c>
      <c r="N134">
        <v>51.265266093663499</v>
      </c>
      <c r="O134">
        <v>46.383769839414498</v>
      </c>
      <c r="P134">
        <v>-6.0572286226468E-2</v>
      </c>
      <c r="Q134">
        <v>0.397304174253656</v>
      </c>
      <c r="R134">
        <v>0.92992406810957295</v>
      </c>
      <c r="S134" t="s">
        <v>3966</v>
      </c>
      <c r="T134" t="s">
        <v>7662</v>
      </c>
      <c r="U134" t="s">
        <v>7662</v>
      </c>
      <c r="V134" t="s">
        <v>7662</v>
      </c>
      <c r="W134">
        <v>4</v>
      </c>
      <c r="X134" t="s">
        <v>7796</v>
      </c>
      <c r="Y134">
        <v>0.54653106044446298</v>
      </c>
      <c r="Z134" t="str">
        <f>HYPERLINK("Melting_Curves/meltCurve_sp_O43314_2_VIP2_HUMAN_.pdf", "Melting_Curves/meltCurve_sp_O43314_2_VIP2_HUMAN_.pdf")</f>
        <v>Melting_Curves/meltCurve_sp_O43314_2_VIP2_HUMAN_.pdf</v>
      </c>
      <c r="AA134" t="s">
        <v>11624</v>
      </c>
      <c r="AB134" t="s">
        <v>15375</v>
      </c>
    </row>
    <row r="135" spans="1:28" x14ac:dyDescent="0.25">
      <c r="A135" t="s">
        <v>139</v>
      </c>
      <c r="B135">
        <v>0.98876768158843997</v>
      </c>
      <c r="C135">
        <v>0.95233964957570905</v>
      </c>
      <c r="D135">
        <v>0.80468075649755</v>
      </c>
      <c r="E135">
        <v>0.66488767680065397</v>
      </c>
      <c r="F135">
        <v>0.49980385964468899</v>
      </c>
      <c r="G135">
        <v>0.33968959065425502</v>
      </c>
      <c r="H135">
        <v>0.24877059388035799</v>
      </c>
      <c r="I135">
        <v>0.30455863892285301</v>
      </c>
      <c r="J135">
        <v>0.37340446137959998</v>
      </c>
      <c r="K135">
        <v>0.40499076530644101</v>
      </c>
      <c r="L135">
        <v>846.92147975432795</v>
      </c>
      <c r="M135">
        <v>17.153792895541599</v>
      </c>
      <c r="N135">
        <v>52.479936299941002</v>
      </c>
      <c r="O135">
        <v>48.715922546551603</v>
      </c>
      <c r="P135">
        <v>-5.9956957049014603E-2</v>
      </c>
      <c r="Q135">
        <v>0.31894146532311202</v>
      </c>
      <c r="R135">
        <v>0.96394570566475102</v>
      </c>
      <c r="S135" t="s">
        <v>3967</v>
      </c>
      <c r="T135" t="s">
        <v>7662</v>
      </c>
      <c r="U135" t="s">
        <v>7662</v>
      </c>
      <c r="V135" t="s">
        <v>7662</v>
      </c>
      <c r="W135">
        <v>3</v>
      </c>
      <c r="X135" t="s">
        <v>7797</v>
      </c>
      <c r="Y135">
        <v>0.54458149850930415</v>
      </c>
      <c r="Z135" t="str">
        <f>HYPERLINK("Melting_Curves/meltCurve_sp_O43318_2_M3K7_HUMAN_.pdf", "Melting_Curves/meltCurve_sp_O43318_2_M3K7_HUMAN_.pdf")</f>
        <v>Melting_Curves/meltCurve_sp_O43318_2_M3K7_HUMAN_.pdf</v>
      </c>
      <c r="AA135" t="s">
        <v>11625</v>
      </c>
      <c r="AB135" t="s">
        <v>15376</v>
      </c>
    </row>
    <row r="136" spans="1:28" x14ac:dyDescent="0.25">
      <c r="A136" t="s">
        <v>140</v>
      </c>
      <c r="B136">
        <v>0.98876768158843997</v>
      </c>
      <c r="C136">
        <v>0.89652472502881198</v>
      </c>
      <c r="D136">
        <v>0.87423780870400702</v>
      </c>
      <c r="E136">
        <v>0.54960156222646395</v>
      </c>
      <c r="F136">
        <v>0.80275466147575703</v>
      </c>
      <c r="G136">
        <v>0.20371933540669701</v>
      </c>
      <c r="H136">
        <v>0.13132449767735899</v>
      </c>
      <c r="I136">
        <v>5.3657885339083701E-2</v>
      </c>
      <c r="J136">
        <v>6.6365663159835706E-2</v>
      </c>
      <c r="K136">
        <v>8.2503722178162001E-2</v>
      </c>
      <c r="L136">
        <v>690.06450565339901</v>
      </c>
      <c r="M136">
        <v>12.9076534396858</v>
      </c>
      <c r="N136">
        <v>53.461656550789698</v>
      </c>
      <c r="O136">
        <v>52.227201154446199</v>
      </c>
      <c r="P136">
        <v>-6.1797264866989603E-2</v>
      </c>
      <c r="Q136">
        <v>0</v>
      </c>
      <c r="R136">
        <v>0.91292677759109997</v>
      </c>
      <c r="S136" t="s">
        <v>3968</v>
      </c>
      <c r="T136" t="s">
        <v>7662</v>
      </c>
      <c r="U136" t="s">
        <v>7662</v>
      </c>
      <c r="V136" t="s">
        <v>7662</v>
      </c>
      <c r="W136">
        <v>4</v>
      </c>
      <c r="X136" t="s">
        <v>7798</v>
      </c>
      <c r="Y136">
        <v>0.47406502274209572</v>
      </c>
      <c r="Z136" t="str">
        <f>HYPERLINK("Melting_Curves/meltCurve_sp_O43325_LYRM1_HUMAN_.pdf", "Melting_Curves/meltCurve_sp_O43325_LYRM1_HUMAN_.pdf")</f>
        <v>Melting_Curves/meltCurve_sp_O43325_LYRM1_HUMAN_.pdf</v>
      </c>
      <c r="AA136" t="s">
        <v>11626</v>
      </c>
      <c r="AB136" t="s">
        <v>15377</v>
      </c>
    </row>
    <row r="137" spans="1:28" x14ac:dyDescent="0.25">
      <c r="A137" t="s">
        <v>141</v>
      </c>
      <c r="B137">
        <v>0.98876768158843997</v>
      </c>
      <c r="C137">
        <v>0.993966207886951</v>
      </c>
      <c r="D137">
        <v>0.99592894916294405</v>
      </c>
      <c r="E137">
        <v>0.73154866384599904</v>
      </c>
      <c r="F137">
        <v>0.26134437150751899</v>
      </c>
      <c r="G137">
        <v>0.102819432291132</v>
      </c>
      <c r="H137">
        <v>5.2747138932951701E-2</v>
      </c>
      <c r="I137">
        <v>4.5550395623718903E-2</v>
      </c>
      <c r="J137">
        <v>5.1807227983736701E-2</v>
      </c>
      <c r="K137">
        <v>4.07958429388365E-2</v>
      </c>
      <c r="L137">
        <v>1892.5860528257499</v>
      </c>
      <c r="M137">
        <v>36.933484906030998</v>
      </c>
      <c r="N137">
        <v>51.397871176683097</v>
      </c>
      <c r="O137">
        <v>51.093561174553201</v>
      </c>
      <c r="P137">
        <v>-0.171204635102605</v>
      </c>
      <c r="Q137">
        <v>5.2628849548384003E-2</v>
      </c>
      <c r="R137">
        <v>0.99926972089549004</v>
      </c>
      <c r="S137" t="s">
        <v>3969</v>
      </c>
      <c r="T137" t="s">
        <v>7662</v>
      </c>
      <c r="U137" t="s">
        <v>7662</v>
      </c>
      <c r="V137" t="s">
        <v>7662</v>
      </c>
      <c r="W137">
        <v>12</v>
      </c>
      <c r="X137" t="s">
        <v>7799</v>
      </c>
      <c r="Y137">
        <v>0.4116145331333681</v>
      </c>
      <c r="Z137" t="str">
        <f>HYPERLINK("Melting_Curves/meltCurve_sp_O43390_HNRPR_HUMAN_.pdf", "Melting_Curves/meltCurve_sp_O43390_HNRPR_HUMAN_.pdf")</f>
        <v>Melting_Curves/meltCurve_sp_O43390_HNRPR_HUMAN_.pdf</v>
      </c>
      <c r="AA137" t="s">
        <v>11627</v>
      </c>
      <c r="AB137" t="s">
        <v>15378</v>
      </c>
    </row>
    <row r="138" spans="1:28" x14ac:dyDescent="0.25">
      <c r="A138" t="s">
        <v>142</v>
      </c>
      <c r="B138">
        <v>0.98876768158843997</v>
      </c>
      <c r="C138">
        <v>1.0541585962031299</v>
      </c>
      <c r="D138">
        <v>0.80603418439818897</v>
      </c>
      <c r="E138">
        <v>0.60729304255013805</v>
      </c>
      <c r="F138">
        <v>0.35297719679920703</v>
      </c>
      <c r="G138">
        <v>0.18022464554615999</v>
      </c>
      <c r="H138">
        <v>0.10362249914282699</v>
      </c>
      <c r="I138">
        <v>8.9965279876542806E-2</v>
      </c>
      <c r="J138">
        <v>0.10038736198001399</v>
      </c>
      <c r="K138">
        <v>8.3008928211264099E-2</v>
      </c>
      <c r="L138">
        <v>913.87374062068898</v>
      </c>
      <c r="M138">
        <v>18.073121959208802</v>
      </c>
      <c r="N138">
        <v>51.0261986613489</v>
      </c>
      <c r="O138">
        <v>49.958477661863597</v>
      </c>
      <c r="P138">
        <v>-8.3634434361157806E-2</v>
      </c>
      <c r="Q138">
        <v>7.5301759150914194E-2</v>
      </c>
      <c r="R138">
        <v>0.99084982870230298</v>
      </c>
      <c r="S138" t="s">
        <v>3970</v>
      </c>
      <c r="T138" t="s">
        <v>7662</v>
      </c>
      <c r="U138" t="s">
        <v>7662</v>
      </c>
      <c r="V138" t="s">
        <v>7662</v>
      </c>
      <c r="W138">
        <v>7</v>
      </c>
      <c r="X138" t="s">
        <v>7800</v>
      </c>
      <c r="Y138">
        <v>0.41650351158874183</v>
      </c>
      <c r="Z138" t="str">
        <f>HYPERLINK("Melting_Curves/meltCurve_sp_O43396_TXNL1_HUMAN_.pdf", "Melting_Curves/meltCurve_sp_O43396_TXNL1_HUMAN_.pdf")</f>
        <v>Melting_Curves/meltCurve_sp_O43396_TXNL1_HUMAN_.pdf</v>
      </c>
      <c r="AA138" t="s">
        <v>11628</v>
      </c>
      <c r="AB138" t="s">
        <v>15379</v>
      </c>
    </row>
    <row r="139" spans="1:28" x14ac:dyDescent="0.25">
      <c r="A139" t="s">
        <v>143</v>
      </c>
      <c r="B139">
        <v>0.98876768158843997</v>
      </c>
      <c r="C139">
        <v>1.1387799937710701</v>
      </c>
      <c r="D139">
        <v>0.93078668882587701</v>
      </c>
      <c r="E139">
        <v>0.62298415144891195</v>
      </c>
      <c r="F139">
        <v>0.89368541300524795</v>
      </c>
      <c r="G139">
        <v>0.574658764789165</v>
      </c>
      <c r="H139">
        <v>0.47349317272902303</v>
      </c>
      <c r="I139">
        <v>0.53426273831610804</v>
      </c>
      <c r="J139">
        <v>0.72234968102164998</v>
      </c>
      <c r="K139">
        <v>0.78902484412846197</v>
      </c>
      <c r="L139">
        <v>11562.9813228603</v>
      </c>
      <c r="M139">
        <v>250</v>
      </c>
      <c r="O139">
        <v>46.248965505260401</v>
      </c>
      <c r="P139">
        <v>-0.46131171638508001</v>
      </c>
      <c r="Q139">
        <v>0.65863696609118405</v>
      </c>
      <c r="R139">
        <v>0.64307467448137101</v>
      </c>
      <c r="S139" t="s">
        <v>3971</v>
      </c>
      <c r="T139" t="s">
        <v>7662</v>
      </c>
      <c r="U139" t="s">
        <v>7662</v>
      </c>
      <c r="V139" t="s">
        <v>7662</v>
      </c>
      <c r="W139">
        <v>7</v>
      </c>
      <c r="X139" t="s">
        <v>7801</v>
      </c>
      <c r="Y139">
        <v>0.72980388118489736</v>
      </c>
      <c r="Z139" t="str">
        <f>HYPERLINK("Melting_Curves/meltCurve_sp_O43399_TPD54_HUMAN_.pdf", "Melting_Curves/meltCurve_sp_O43399_TPD54_HUMAN_.pdf")</f>
        <v>Melting_Curves/meltCurve_sp_O43399_TPD54_HUMAN_.pdf</v>
      </c>
      <c r="AA139" t="s">
        <v>11629</v>
      </c>
      <c r="AB139" t="s">
        <v>15380</v>
      </c>
    </row>
    <row r="140" spans="1:28" x14ac:dyDescent="0.25">
      <c r="A140" t="s">
        <v>144</v>
      </c>
      <c r="B140">
        <v>0.98876768158843997</v>
      </c>
      <c r="C140">
        <v>0.986512918001203</v>
      </c>
      <c r="D140">
        <v>0.80654758772892399</v>
      </c>
      <c r="E140">
        <v>0.40830937458490102</v>
      </c>
      <c r="F140">
        <v>0.145080161834517</v>
      </c>
      <c r="G140">
        <v>7.7710469139341501E-2</v>
      </c>
      <c r="H140">
        <v>6.9581775880353497E-2</v>
      </c>
      <c r="I140">
        <v>4.9458071877637802E-2</v>
      </c>
      <c r="J140">
        <v>9.2264587296969194E-2</v>
      </c>
      <c r="K140">
        <v>4.8043208582966998E-2</v>
      </c>
      <c r="L140">
        <v>1211.44341861919</v>
      </c>
      <c r="M140">
        <v>24.856798966886601</v>
      </c>
      <c r="N140">
        <v>48.980807223205701</v>
      </c>
      <c r="O140">
        <v>48.424721357172501</v>
      </c>
      <c r="P140">
        <v>-0.120858553119938</v>
      </c>
      <c r="Q140">
        <v>5.8211118926865299E-2</v>
      </c>
      <c r="R140">
        <v>0.99779061480810205</v>
      </c>
      <c r="S140" t="s">
        <v>3972</v>
      </c>
      <c r="T140" t="s">
        <v>7662</v>
      </c>
      <c r="U140" t="s">
        <v>7662</v>
      </c>
      <c r="V140" t="s">
        <v>7662</v>
      </c>
      <c r="W140">
        <v>4</v>
      </c>
      <c r="X140" t="s">
        <v>7802</v>
      </c>
      <c r="Y140">
        <v>0.34092170387509341</v>
      </c>
      <c r="Z140" t="str">
        <f>HYPERLINK("Melting_Curves/meltCurve_sp_O43414_3_ERI3_HUMAN_.pdf", "Melting_Curves/meltCurve_sp_O43414_3_ERI3_HUMAN_.pdf")</f>
        <v>Melting_Curves/meltCurve_sp_O43414_3_ERI3_HUMAN_.pdf</v>
      </c>
      <c r="AA140" t="s">
        <v>11630</v>
      </c>
      <c r="AB140" t="s">
        <v>15381</v>
      </c>
    </row>
    <row r="141" spans="1:28" x14ac:dyDescent="0.25">
      <c r="A141" t="s">
        <v>145</v>
      </c>
      <c r="B141">
        <v>0.98876768158843997</v>
      </c>
      <c r="C141">
        <v>0.95095231177447503</v>
      </c>
      <c r="D141">
        <v>0.96280509420832805</v>
      </c>
      <c r="E141">
        <v>0.59302162301643602</v>
      </c>
      <c r="F141">
        <v>0.55589458579610795</v>
      </c>
      <c r="G141">
        <v>0.31933564878269499</v>
      </c>
      <c r="H141">
        <v>0.226737036064835</v>
      </c>
      <c r="I141">
        <v>0.30304369433936001</v>
      </c>
      <c r="J141">
        <v>0.29999400241804602</v>
      </c>
      <c r="K141">
        <v>0.40884148765398698</v>
      </c>
      <c r="L141">
        <v>1092.0100277153099</v>
      </c>
      <c r="M141">
        <v>21.802296849375701</v>
      </c>
      <c r="N141">
        <v>52.367757568411797</v>
      </c>
      <c r="O141">
        <v>49.671260456886699</v>
      </c>
      <c r="P141">
        <v>-7.6096324709078206E-2</v>
      </c>
      <c r="Q141">
        <v>0.30654775519573002</v>
      </c>
      <c r="R141">
        <v>0.95625077355559596</v>
      </c>
      <c r="S141" t="s">
        <v>3973</v>
      </c>
      <c r="T141" t="s">
        <v>7662</v>
      </c>
      <c r="U141" t="s">
        <v>7662</v>
      </c>
      <c r="V141" t="s">
        <v>7662</v>
      </c>
      <c r="W141">
        <v>8</v>
      </c>
      <c r="X141" t="s">
        <v>7803</v>
      </c>
      <c r="Y141">
        <v>0.54785656398182747</v>
      </c>
      <c r="Z141" t="str">
        <f>HYPERLINK("Melting_Curves/meltCurve_sp_O43432_IF4G3_HUMAN_.pdf", "Melting_Curves/meltCurve_sp_O43432_IF4G3_HUMAN_.pdf")</f>
        <v>Melting_Curves/meltCurve_sp_O43432_IF4G3_HUMAN_.pdf</v>
      </c>
      <c r="AA141" t="s">
        <v>11631</v>
      </c>
      <c r="AB141" t="s">
        <v>15382</v>
      </c>
    </row>
    <row r="142" spans="1:28" x14ac:dyDescent="0.25">
      <c r="A142" t="s">
        <v>146</v>
      </c>
      <c r="B142">
        <v>0.98876768158843997</v>
      </c>
      <c r="C142">
        <v>0.80323276475819205</v>
      </c>
      <c r="D142">
        <v>0.93087319625758502</v>
      </c>
      <c r="E142">
        <v>0.73078545459122601</v>
      </c>
      <c r="F142">
        <v>0.55355757190413901</v>
      </c>
      <c r="G142">
        <v>0.42259319067895901</v>
      </c>
      <c r="H142">
        <v>0.365646220206441</v>
      </c>
      <c r="I142">
        <v>0.42866809963715302</v>
      </c>
      <c r="J142">
        <v>0.54869280524444897</v>
      </c>
      <c r="K142">
        <v>0.55946753795601101</v>
      </c>
      <c r="L142">
        <v>1006.6620531532</v>
      </c>
      <c r="M142">
        <v>20.414710226506699</v>
      </c>
      <c r="N142">
        <v>56.144084890886703</v>
      </c>
      <c r="O142">
        <v>48.844780610252599</v>
      </c>
      <c r="P142">
        <v>-5.6599922737756402E-2</v>
      </c>
      <c r="Q142">
        <v>0.458326319827213</v>
      </c>
      <c r="R142">
        <v>0.84509103125168406</v>
      </c>
      <c r="S142" t="s">
        <v>3974</v>
      </c>
      <c r="T142" t="s">
        <v>7662</v>
      </c>
      <c r="U142" t="s">
        <v>7662</v>
      </c>
      <c r="V142" t="s">
        <v>7662</v>
      </c>
      <c r="W142">
        <v>5</v>
      </c>
      <c r="X142" t="s">
        <v>7804</v>
      </c>
      <c r="Y142">
        <v>0.63369945247024084</v>
      </c>
      <c r="Z142" t="str">
        <f>HYPERLINK("Melting_Curves/meltCurve_sp_O43464_HTRA2_HUMAN_.pdf", "Melting_Curves/meltCurve_sp_O43464_HTRA2_HUMAN_.pdf")</f>
        <v>Melting_Curves/meltCurve_sp_O43464_HTRA2_HUMAN_.pdf</v>
      </c>
      <c r="AA142" t="s">
        <v>11632</v>
      </c>
      <c r="AB142" t="s">
        <v>15383</v>
      </c>
    </row>
    <row r="143" spans="1:28" x14ac:dyDescent="0.25">
      <c r="A143" t="s">
        <v>147</v>
      </c>
      <c r="B143">
        <v>0.98876768158843997</v>
      </c>
      <c r="C143">
        <v>1.03147943220702</v>
      </c>
      <c r="D143">
        <v>0.90083104166492201</v>
      </c>
      <c r="E143">
        <v>0.71178845797586399</v>
      </c>
      <c r="F143">
        <v>0.70950091266912296</v>
      </c>
      <c r="G143">
        <v>0.437401306035058</v>
      </c>
      <c r="H143">
        <v>0.32138216058284502</v>
      </c>
      <c r="I143">
        <v>0.33668783694830801</v>
      </c>
      <c r="J143">
        <v>0.43925331604011297</v>
      </c>
      <c r="K143">
        <v>0.49400294969727598</v>
      </c>
      <c r="L143">
        <v>930.98401309020505</v>
      </c>
      <c r="M143">
        <v>18.1507645405324</v>
      </c>
      <c r="N143">
        <v>55.873111097665699</v>
      </c>
      <c r="O143">
        <v>50.6812843683864</v>
      </c>
      <c r="P143">
        <v>-5.4876010542215803E-2</v>
      </c>
      <c r="Q143">
        <v>0.387121372211087</v>
      </c>
      <c r="R143">
        <v>0.93155734538338097</v>
      </c>
      <c r="S143" t="s">
        <v>3975</v>
      </c>
      <c r="T143" t="s">
        <v>7662</v>
      </c>
      <c r="U143" t="s">
        <v>7662</v>
      </c>
      <c r="V143" t="s">
        <v>7662</v>
      </c>
      <c r="W143">
        <v>8</v>
      </c>
      <c r="X143" t="s">
        <v>7805</v>
      </c>
      <c r="Y143">
        <v>0.62794290209017645</v>
      </c>
      <c r="Z143" t="str">
        <f>HYPERLINK("Melting_Curves/meltCurve_sp_O43491_3_E41L2_HUMAN_.pdf", "Melting_Curves/meltCurve_sp_O43491_3_E41L2_HUMAN_.pdf")</f>
        <v>Melting_Curves/meltCurve_sp_O43491_3_E41L2_HUMAN_.pdf</v>
      </c>
      <c r="AA143" t="s">
        <v>11633</v>
      </c>
      <c r="AB143" t="s">
        <v>15384</v>
      </c>
    </row>
    <row r="144" spans="1:28" x14ac:dyDescent="0.25">
      <c r="A144" t="s">
        <v>148</v>
      </c>
      <c r="B144">
        <v>0.98876768158843997</v>
      </c>
      <c r="C144">
        <v>1.08941968105045</v>
      </c>
      <c r="D144">
        <v>0.85985662195013002</v>
      </c>
      <c r="E144">
        <v>0.61674620903114696</v>
      </c>
      <c r="F144">
        <v>0.73481000133751295</v>
      </c>
      <c r="G144">
        <v>0.54491080200001296</v>
      </c>
      <c r="H144">
        <v>0.43160765259036299</v>
      </c>
      <c r="I144">
        <v>0.51479023124739698</v>
      </c>
      <c r="J144">
        <v>0.62732030388286597</v>
      </c>
      <c r="K144">
        <v>0.74528048836759997</v>
      </c>
      <c r="L144">
        <v>11528.010566765801</v>
      </c>
      <c r="M144">
        <v>250</v>
      </c>
      <c r="O144">
        <v>46.109092266800701</v>
      </c>
      <c r="P144">
        <v>-0.53919764589435404</v>
      </c>
      <c r="Q144">
        <v>0.60220938384971401</v>
      </c>
      <c r="R144">
        <v>0.78459063361904202</v>
      </c>
      <c r="S144" t="s">
        <v>3976</v>
      </c>
      <c r="T144" t="s">
        <v>7662</v>
      </c>
      <c r="U144" t="s">
        <v>7662</v>
      </c>
      <c r="V144" t="s">
        <v>7662</v>
      </c>
      <c r="W144">
        <v>8</v>
      </c>
      <c r="X144" t="s">
        <v>7806</v>
      </c>
      <c r="Y144">
        <v>0.68328534406496322</v>
      </c>
      <c r="Z144" t="str">
        <f>HYPERLINK("Melting_Curves/meltCurve_sp_O43493_2_TGON2_HUMAN_.pdf", "Melting_Curves/meltCurve_sp_O43493_2_TGON2_HUMAN_.pdf")</f>
        <v>Melting_Curves/meltCurve_sp_O43493_2_TGON2_HUMAN_.pdf</v>
      </c>
      <c r="AA144" t="s">
        <v>11634</v>
      </c>
      <c r="AB144" t="s">
        <v>15385</v>
      </c>
    </row>
    <row r="145" spans="1:28" x14ac:dyDescent="0.25">
      <c r="A145" t="s">
        <v>149</v>
      </c>
      <c r="B145">
        <v>0.98876768158843997</v>
      </c>
      <c r="C145">
        <v>0.89853648275853903</v>
      </c>
      <c r="D145">
        <v>0.95869048136454005</v>
      </c>
      <c r="E145">
        <v>0.69923814447297705</v>
      </c>
      <c r="F145">
        <v>0.54886802215003905</v>
      </c>
      <c r="G145">
        <v>0.34803295499431902</v>
      </c>
      <c r="H145">
        <v>0.26947894281985801</v>
      </c>
      <c r="I145">
        <v>0.198885179980444</v>
      </c>
      <c r="J145">
        <v>0.153240031444733</v>
      </c>
      <c r="K145">
        <v>0.22863035476107799</v>
      </c>
      <c r="L145">
        <v>792.17455364727903</v>
      </c>
      <c r="M145">
        <v>15.1606768322793</v>
      </c>
      <c r="N145">
        <v>53.696070360609497</v>
      </c>
      <c r="O145">
        <v>51.368112176962804</v>
      </c>
      <c r="P145">
        <v>-6.1436960864300297E-2</v>
      </c>
      <c r="Q145">
        <v>0.16742637277428299</v>
      </c>
      <c r="R145">
        <v>0.98717591077280198</v>
      </c>
      <c r="S145" t="s">
        <v>3977</v>
      </c>
      <c r="T145" t="s">
        <v>7662</v>
      </c>
      <c r="U145" t="s">
        <v>7662</v>
      </c>
      <c r="V145" t="s">
        <v>7662</v>
      </c>
      <c r="W145">
        <v>1</v>
      </c>
      <c r="X145" t="s">
        <v>7807</v>
      </c>
      <c r="Y145">
        <v>0.52560203798120808</v>
      </c>
      <c r="Z145" t="str">
        <f>HYPERLINK("Melting_Curves/meltCurve_sp_O43566_5_RGS14_HUMAN_.pdf", "Melting_Curves/meltCurve_sp_O43566_5_RGS14_HUMAN_.pdf")</f>
        <v>Melting_Curves/meltCurve_sp_O43566_5_RGS14_HUMAN_.pdf</v>
      </c>
      <c r="AA145" t="s">
        <v>11635</v>
      </c>
      <c r="AB145" t="s">
        <v>15386</v>
      </c>
    </row>
    <row r="146" spans="1:28" x14ac:dyDescent="0.25">
      <c r="A146" t="s">
        <v>150</v>
      </c>
      <c r="B146">
        <v>0.98876768158843997</v>
      </c>
      <c r="C146">
        <v>0.85117011970773704</v>
      </c>
      <c r="D146">
        <v>0.90281911439930695</v>
      </c>
      <c r="E146">
        <v>0.68127334658871996</v>
      </c>
      <c r="F146">
        <v>0.14566941718750101</v>
      </c>
      <c r="G146">
        <v>6.4690897850652102E-2</v>
      </c>
      <c r="H146">
        <v>4.1035800702612597E-2</v>
      </c>
      <c r="I146">
        <v>3.1730371155305997E-2</v>
      </c>
      <c r="J146">
        <v>3.6080862965340903E-2</v>
      </c>
      <c r="K146">
        <v>3.7027869717371001E-2</v>
      </c>
      <c r="L146">
        <v>2269.2095651935501</v>
      </c>
      <c r="M146">
        <v>44.734752748286198</v>
      </c>
      <c r="N146">
        <v>50.816677665777398</v>
      </c>
      <c r="O146">
        <v>50.624818404629501</v>
      </c>
      <c r="P146">
        <v>-0.21242790917231</v>
      </c>
      <c r="Q146">
        <v>3.8411054302528697E-2</v>
      </c>
      <c r="R146">
        <v>0.98062717125945398</v>
      </c>
      <c r="S146" t="s">
        <v>3978</v>
      </c>
      <c r="T146" t="s">
        <v>7662</v>
      </c>
      <c r="U146" t="s">
        <v>7662</v>
      </c>
      <c r="V146" t="s">
        <v>7662</v>
      </c>
      <c r="W146">
        <v>11</v>
      </c>
      <c r="X146" t="s">
        <v>7808</v>
      </c>
      <c r="Y146">
        <v>0.3848986899204011</v>
      </c>
      <c r="Z146" t="str">
        <f>HYPERLINK("Melting_Curves/meltCurve_sp_O43592_XPOT_HUMAN_.pdf", "Melting_Curves/meltCurve_sp_O43592_XPOT_HUMAN_.pdf")</f>
        <v>Melting_Curves/meltCurve_sp_O43592_XPOT_HUMAN_.pdf</v>
      </c>
      <c r="AA146" t="s">
        <v>11636</v>
      </c>
      <c r="AB146" t="s">
        <v>15387</v>
      </c>
    </row>
    <row r="147" spans="1:28" x14ac:dyDescent="0.25">
      <c r="A147" t="s">
        <v>151</v>
      </c>
      <c r="B147">
        <v>0.98876768158843997</v>
      </c>
      <c r="C147">
        <v>1.09400114271838</v>
      </c>
      <c r="D147">
        <v>0.87623839586663499</v>
      </c>
      <c r="E147">
        <v>0.74194234273096105</v>
      </c>
      <c r="F147">
        <v>0.77813250638835596</v>
      </c>
      <c r="G147">
        <v>0.39115557764891701</v>
      </c>
      <c r="H147">
        <v>0.187912547215561</v>
      </c>
      <c r="I147">
        <v>0.16244297545267899</v>
      </c>
      <c r="J147">
        <v>0.175526468170221</v>
      </c>
      <c r="K147">
        <v>0.14709592612251501</v>
      </c>
      <c r="L147">
        <v>865.413530211384</v>
      </c>
      <c r="M147">
        <v>15.819005344443401</v>
      </c>
      <c r="N147">
        <v>55.465920002565703</v>
      </c>
      <c r="O147">
        <v>53.855335234888898</v>
      </c>
      <c r="P147">
        <v>-6.6294188914955601E-2</v>
      </c>
      <c r="Q147">
        <v>9.7287635351483201E-2</v>
      </c>
      <c r="R147">
        <v>0.96503511210904902</v>
      </c>
      <c r="S147" t="s">
        <v>3979</v>
      </c>
      <c r="T147" t="s">
        <v>7662</v>
      </c>
      <c r="U147" t="s">
        <v>7662</v>
      </c>
      <c r="V147" t="s">
        <v>7662</v>
      </c>
      <c r="W147">
        <v>5</v>
      </c>
      <c r="X147" t="s">
        <v>7809</v>
      </c>
      <c r="Y147">
        <v>0.55653078458664185</v>
      </c>
      <c r="Z147" t="str">
        <f>HYPERLINK("Melting_Curves/meltCurve_sp_O43598_DNPH1_HUMAN_.pdf", "Melting_Curves/meltCurve_sp_O43598_DNPH1_HUMAN_.pdf")</f>
        <v>Melting_Curves/meltCurve_sp_O43598_DNPH1_HUMAN_.pdf</v>
      </c>
      <c r="AA147" t="s">
        <v>11637</v>
      </c>
      <c r="AB147" t="s">
        <v>15388</v>
      </c>
    </row>
    <row r="148" spans="1:28" x14ac:dyDescent="0.25">
      <c r="A148" t="s">
        <v>152</v>
      </c>
      <c r="B148">
        <v>0.98876768158843997</v>
      </c>
      <c r="C148">
        <v>1.062376227818</v>
      </c>
      <c r="D148">
        <v>1.0072477294739</v>
      </c>
      <c r="E148">
        <v>0.66148517647933103</v>
      </c>
      <c r="F148">
        <v>0.69179741053561195</v>
      </c>
      <c r="G148">
        <v>0.38937758986615101</v>
      </c>
      <c r="H148">
        <v>0.25974688994030898</v>
      </c>
      <c r="I148">
        <v>0.21844138992055301</v>
      </c>
      <c r="J148">
        <v>0.26296138484586601</v>
      </c>
      <c r="K148">
        <v>0.196850587615508</v>
      </c>
      <c r="L148">
        <v>855.98768944676101</v>
      </c>
      <c r="M148">
        <v>16.100769457422199</v>
      </c>
      <c r="N148">
        <v>54.809452021345102</v>
      </c>
      <c r="O148">
        <v>52.364558559981198</v>
      </c>
      <c r="P148">
        <v>-6.2144415052922702E-2</v>
      </c>
      <c r="Q148">
        <v>0.19161233315170001</v>
      </c>
      <c r="R148">
        <v>0.96706483761269801</v>
      </c>
      <c r="S148" t="s">
        <v>3980</v>
      </c>
      <c r="T148" t="s">
        <v>7662</v>
      </c>
      <c r="U148" t="s">
        <v>7662</v>
      </c>
      <c r="V148" t="s">
        <v>7662</v>
      </c>
      <c r="W148">
        <v>9</v>
      </c>
      <c r="X148" t="s">
        <v>7810</v>
      </c>
      <c r="Y148">
        <v>0.56197341443041682</v>
      </c>
      <c r="Z148" t="str">
        <f>HYPERLINK("Melting_Curves/meltCurve_sp_O43615_TIM44_HUMAN_.pdf", "Melting_Curves/meltCurve_sp_O43615_TIM44_HUMAN_.pdf")</f>
        <v>Melting_Curves/meltCurve_sp_O43615_TIM44_HUMAN_.pdf</v>
      </c>
      <c r="AA148" t="s">
        <v>11638</v>
      </c>
      <c r="AB148" t="s">
        <v>15389</v>
      </c>
    </row>
    <row r="149" spans="1:28" x14ac:dyDescent="0.25">
      <c r="A149" t="s">
        <v>153</v>
      </c>
      <c r="B149">
        <v>0.98876768158843997</v>
      </c>
      <c r="C149">
        <v>0.92092072329665797</v>
      </c>
      <c r="D149">
        <v>1.0115743338009799</v>
      </c>
      <c r="E149">
        <v>0.768753605493676</v>
      </c>
      <c r="F149">
        <v>0.89943263099173898</v>
      </c>
      <c r="G149">
        <v>0.66899116899681699</v>
      </c>
      <c r="H149">
        <v>0.49558141542947198</v>
      </c>
      <c r="I149">
        <v>0.457216957815612</v>
      </c>
      <c r="J149">
        <v>0.467045374487501</v>
      </c>
      <c r="K149">
        <v>0.23716699388865201</v>
      </c>
      <c r="L149">
        <v>487.64406333604501</v>
      </c>
      <c r="M149">
        <v>7.8020483716824502</v>
      </c>
      <c r="N149">
        <v>62.5020547032656</v>
      </c>
      <c r="O149">
        <v>58.794698842918699</v>
      </c>
      <c r="P149">
        <v>-3.3216151107733898E-2</v>
      </c>
      <c r="Q149">
        <v>0</v>
      </c>
      <c r="R149">
        <v>0.93085953353968298</v>
      </c>
      <c r="S149" t="s">
        <v>3981</v>
      </c>
      <c r="T149" t="s">
        <v>7662</v>
      </c>
      <c r="U149" t="s">
        <v>7662</v>
      </c>
      <c r="V149" t="s">
        <v>7662</v>
      </c>
      <c r="W149">
        <v>3</v>
      </c>
      <c r="X149" t="s">
        <v>7811</v>
      </c>
      <c r="Y149">
        <v>0.70528131651755144</v>
      </c>
      <c r="Z149" t="str">
        <f>HYPERLINK("Melting_Curves/meltCurve_sp_O43617_2_TPPC3_HUMAN_.pdf", "Melting_Curves/meltCurve_sp_O43617_2_TPPC3_HUMAN_.pdf")</f>
        <v>Melting_Curves/meltCurve_sp_O43617_2_TPPC3_HUMAN_.pdf</v>
      </c>
      <c r="AA149" t="s">
        <v>11639</v>
      </c>
      <c r="AB149" t="s">
        <v>15390</v>
      </c>
    </row>
    <row r="150" spans="1:28" x14ac:dyDescent="0.25">
      <c r="A150" t="s">
        <v>154</v>
      </c>
      <c r="B150">
        <v>0.98876768158843997</v>
      </c>
      <c r="C150">
        <v>1.2766198849524699</v>
      </c>
      <c r="D150">
        <v>0.85376300516900705</v>
      </c>
      <c r="E150">
        <v>0.56365867216240495</v>
      </c>
      <c r="F150">
        <v>0.842963406701703</v>
      </c>
      <c r="G150">
        <v>0.53592302670063297</v>
      </c>
      <c r="H150">
        <v>0.35143734353136002</v>
      </c>
      <c r="I150">
        <v>0.27983388638971401</v>
      </c>
      <c r="J150">
        <v>0.15670348320892399</v>
      </c>
      <c r="K150">
        <v>7.4089680622386994E-2</v>
      </c>
      <c r="L150">
        <v>591.22097496480103</v>
      </c>
      <c r="M150">
        <v>10.3288233584368</v>
      </c>
      <c r="N150">
        <v>57.2399153709733</v>
      </c>
      <c r="O150">
        <v>55.218927038056499</v>
      </c>
      <c r="P150">
        <v>-4.6783154986672501E-2</v>
      </c>
      <c r="Q150">
        <v>0</v>
      </c>
      <c r="R150">
        <v>0.86109059945072497</v>
      </c>
      <c r="S150" t="s">
        <v>3982</v>
      </c>
      <c r="T150" t="s">
        <v>7662</v>
      </c>
      <c r="U150" t="s">
        <v>7662</v>
      </c>
      <c r="V150" t="s">
        <v>7662</v>
      </c>
      <c r="W150">
        <v>9</v>
      </c>
      <c r="X150" t="s">
        <v>7812</v>
      </c>
      <c r="Y150">
        <v>0.58951309940202146</v>
      </c>
      <c r="Z150" t="str">
        <f>HYPERLINK("Melting_Curves/meltCurve_sp_O43633_CHM2A_HUMAN_.pdf", "Melting_Curves/meltCurve_sp_O43633_CHM2A_HUMAN_.pdf")</f>
        <v>Melting_Curves/meltCurve_sp_O43633_CHM2A_HUMAN_.pdf</v>
      </c>
      <c r="AA150" t="s">
        <v>11640</v>
      </c>
      <c r="AB150" t="s">
        <v>15391</v>
      </c>
    </row>
    <row r="151" spans="1:28" x14ac:dyDescent="0.25">
      <c r="A151" t="s">
        <v>155</v>
      </c>
      <c r="B151">
        <v>0.98876768158843997</v>
      </c>
      <c r="C151">
        <v>0.80803466380573397</v>
      </c>
      <c r="D151">
        <v>0.89063710179857203</v>
      </c>
      <c r="E151">
        <v>0.62445896933613099</v>
      </c>
      <c r="F151">
        <v>0.52960904284780197</v>
      </c>
      <c r="G151">
        <v>0.415620680877471</v>
      </c>
      <c r="H151">
        <v>0.30087694064000498</v>
      </c>
      <c r="I151">
        <v>0.29883263968636298</v>
      </c>
      <c r="J151">
        <v>0.47009622006169699</v>
      </c>
      <c r="K151">
        <v>0.371449596115494</v>
      </c>
      <c r="L151">
        <v>692.94225541890103</v>
      </c>
      <c r="M151">
        <v>14.1066551662192</v>
      </c>
      <c r="N151">
        <v>53.477163534777503</v>
      </c>
      <c r="O151">
        <v>48.166126788327801</v>
      </c>
      <c r="P151">
        <v>-4.8219828413869202E-2</v>
      </c>
      <c r="Q151">
        <v>0.34151249806389899</v>
      </c>
      <c r="R151">
        <v>0.92176358479151099</v>
      </c>
      <c r="S151" t="s">
        <v>3983</v>
      </c>
      <c r="T151" t="s">
        <v>7662</v>
      </c>
      <c r="U151" t="s">
        <v>7662</v>
      </c>
      <c r="V151" t="s">
        <v>7662</v>
      </c>
      <c r="W151">
        <v>3</v>
      </c>
      <c r="X151" t="s">
        <v>7813</v>
      </c>
      <c r="Y151">
        <v>0.55984703426496951</v>
      </c>
      <c r="Z151" t="str">
        <f>HYPERLINK("Melting_Curves/meltCurve_sp_O43670_2_ZN207_HUMAN_.pdf", "Melting_Curves/meltCurve_sp_O43670_2_ZN207_HUMAN_.pdf")</f>
        <v>Melting_Curves/meltCurve_sp_O43670_2_ZN207_HUMAN_.pdf</v>
      </c>
      <c r="AA151" t="s">
        <v>11641</v>
      </c>
      <c r="AB151" t="s">
        <v>15392</v>
      </c>
    </row>
    <row r="152" spans="1:28" x14ac:dyDescent="0.25">
      <c r="A152" t="s">
        <v>156</v>
      </c>
      <c r="B152">
        <v>0.98876768158843997</v>
      </c>
      <c r="C152">
        <v>0.89208026670439</v>
      </c>
      <c r="D152">
        <v>0.97157238512557598</v>
      </c>
      <c r="E152">
        <v>0.65793142183397202</v>
      </c>
      <c r="F152">
        <v>0.61481035012805796</v>
      </c>
      <c r="G152">
        <v>0.28850618608436701</v>
      </c>
      <c r="H152">
        <v>0.21569825434106801</v>
      </c>
      <c r="I152">
        <v>0.18210933318159001</v>
      </c>
      <c r="J152">
        <v>0.24508355629772499</v>
      </c>
      <c r="K152">
        <v>0.261239882181665</v>
      </c>
      <c r="L152">
        <v>912.80789895090504</v>
      </c>
      <c r="M152">
        <v>17.6119935622709</v>
      </c>
      <c r="N152">
        <v>53.377205240145798</v>
      </c>
      <c r="O152">
        <v>51.1744196134578</v>
      </c>
      <c r="P152">
        <v>-6.8832689640362807E-2</v>
      </c>
      <c r="Q152">
        <v>0.20002615186244499</v>
      </c>
      <c r="R152">
        <v>0.96740056480568204</v>
      </c>
      <c r="S152" t="s">
        <v>3984</v>
      </c>
      <c r="T152" t="s">
        <v>7662</v>
      </c>
      <c r="U152" t="s">
        <v>7662</v>
      </c>
      <c r="V152" t="s">
        <v>7662</v>
      </c>
      <c r="W152">
        <v>4</v>
      </c>
      <c r="X152" t="s">
        <v>7814</v>
      </c>
      <c r="Y152">
        <v>0.5293002708953557</v>
      </c>
      <c r="Z152" t="str">
        <f>HYPERLINK("Melting_Curves/meltCurve_sp_O43678_NDUA2_HUMAN_.pdf", "Melting_Curves/meltCurve_sp_O43678_NDUA2_HUMAN_.pdf")</f>
        <v>Melting_Curves/meltCurve_sp_O43678_NDUA2_HUMAN_.pdf</v>
      </c>
      <c r="AA152" t="s">
        <v>11642</v>
      </c>
      <c r="AB152" t="s">
        <v>15393</v>
      </c>
    </row>
    <row r="153" spans="1:28" x14ac:dyDescent="0.25">
      <c r="A153" t="s">
        <v>157</v>
      </c>
      <c r="B153">
        <v>0.98876768158843997</v>
      </c>
      <c r="C153">
        <v>0.93352287864599004</v>
      </c>
      <c r="D153">
        <v>0.88598201535281995</v>
      </c>
      <c r="E153">
        <v>0.42650099754564202</v>
      </c>
      <c r="F153">
        <v>0.12838139273737001</v>
      </c>
      <c r="G153">
        <v>3.6410432471284199E-2</v>
      </c>
      <c r="H153">
        <v>2.9737389895056501E-2</v>
      </c>
      <c r="I153">
        <v>1.6802711370987999E-2</v>
      </c>
      <c r="J153">
        <v>2.4542336353616901E-2</v>
      </c>
      <c r="K153">
        <v>1.6399853242224399E-2</v>
      </c>
      <c r="L153">
        <v>1360.1887621923599</v>
      </c>
      <c r="M153">
        <v>27.5772307081597</v>
      </c>
      <c r="N153">
        <v>49.384570612805298</v>
      </c>
      <c r="O153">
        <v>49.065734652491599</v>
      </c>
      <c r="P153">
        <v>-0.13813435560529899</v>
      </c>
      <c r="Q153">
        <v>1.69281203324507E-2</v>
      </c>
      <c r="R153">
        <v>0.99806797285745297</v>
      </c>
      <c r="S153" t="s">
        <v>3985</v>
      </c>
      <c r="T153" t="s">
        <v>7662</v>
      </c>
      <c r="U153" t="s">
        <v>7662</v>
      </c>
      <c r="V153" t="s">
        <v>7662</v>
      </c>
      <c r="W153">
        <v>5</v>
      </c>
      <c r="X153" t="s">
        <v>7815</v>
      </c>
      <c r="Y153">
        <v>0.32957549351170201</v>
      </c>
      <c r="Z153" t="str">
        <f>HYPERLINK("Melting_Curves/meltCurve_sp_O43681_ASNA_HUMAN_.pdf", "Melting_Curves/meltCurve_sp_O43681_ASNA_HUMAN_.pdf")</f>
        <v>Melting_Curves/meltCurve_sp_O43681_ASNA_HUMAN_.pdf</v>
      </c>
      <c r="AA153" t="s">
        <v>11643</v>
      </c>
      <c r="AB153" t="s">
        <v>15394</v>
      </c>
    </row>
    <row r="154" spans="1:28" x14ac:dyDescent="0.25">
      <c r="A154" t="s">
        <v>158</v>
      </c>
      <c r="B154">
        <v>0.98876768158843997</v>
      </c>
      <c r="C154">
        <v>0.96716619706156204</v>
      </c>
      <c r="D154">
        <v>0.82261313084891496</v>
      </c>
      <c r="E154">
        <v>0.40175034656816899</v>
      </c>
      <c r="F154">
        <v>0.15477026560985299</v>
      </c>
      <c r="G154">
        <v>7.7282821624360107E-2</v>
      </c>
      <c r="H154">
        <v>4.31782008026746E-2</v>
      </c>
      <c r="I154">
        <v>3.9575639339259103E-2</v>
      </c>
      <c r="J154">
        <v>4.75918159713659E-2</v>
      </c>
      <c r="K154">
        <v>4.3224692364628801E-2</v>
      </c>
      <c r="L154">
        <v>1180.5488664096099</v>
      </c>
      <c r="M154">
        <v>24.152079143851001</v>
      </c>
      <c r="N154">
        <v>49.050209088556699</v>
      </c>
      <c r="O154">
        <v>48.548405707355997</v>
      </c>
      <c r="P154">
        <v>-0.119368075905619</v>
      </c>
      <c r="Q154">
        <v>4.0241637915091603E-2</v>
      </c>
      <c r="R154">
        <v>0.99971472107304404</v>
      </c>
      <c r="S154" t="s">
        <v>3986</v>
      </c>
      <c r="T154" t="s">
        <v>7662</v>
      </c>
      <c r="U154" t="s">
        <v>7662</v>
      </c>
      <c r="V154" t="s">
        <v>7662</v>
      </c>
      <c r="W154">
        <v>5</v>
      </c>
      <c r="X154" t="s">
        <v>7816</v>
      </c>
      <c r="Y154">
        <v>0.33345089048906079</v>
      </c>
      <c r="Z154" t="str">
        <f>HYPERLINK("Melting_Curves/meltCurve_sp_O43704_ST1B1_HUMAN_.pdf", "Melting_Curves/meltCurve_sp_O43704_ST1B1_HUMAN_.pdf")</f>
        <v>Melting_Curves/meltCurve_sp_O43704_ST1B1_HUMAN_.pdf</v>
      </c>
      <c r="AA154" t="s">
        <v>11644</v>
      </c>
      <c r="AB154" t="s">
        <v>15395</v>
      </c>
    </row>
    <row r="155" spans="1:28" x14ac:dyDescent="0.25">
      <c r="A155" t="s">
        <v>159</v>
      </c>
      <c r="B155">
        <v>0.98876768158843997</v>
      </c>
      <c r="C155">
        <v>0.88541388476065297</v>
      </c>
      <c r="D155">
        <v>1.02370495975846</v>
      </c>
      <c r="E155">
        <v>0.95778559028925003</v>
      </c>
      <c r="F155">
        <v>0.69259129251979001</v>
      </c>
      <c r="G155">
        <v>0.57687144064788998</v>
      </c>
      <c r="H155">
        <v>0.38233269780497697</v>
      </c>
      <c r="I155">
        <v>8.6273255527849105E-2</v>
      </c>
      <c r="J155">
        <v>7.9512951286075398E-2</v>
      </c>
      <c r="K155">
        <v>6.9736730023947799E-2</v>
      </c>
      <c r="L155">
        <v>875.61457775485906</v>
      </c>
      <c r="M155">
        <v>15.208363024093799</v>
      </c>
      <c r="N155">
        <v>57.574544901414797</v>
      </c>
      <c r="O155">
        <v>56.606630368832398</v>
      </c>
      <c r="P155">
        <v>-6.7173308785316105E-2</v>
      </c>
      <c r="Q155">
        <v>0</v>
      </c>
      <c r="R155">
        <v>0.96927510783682702</v>
      </c>
      <c r="S155" t="s">
        <v>3987</v>
      </c>
      <c r="T155" t="s">
        <v>7662</v>
      </c>
      <c r="U155" t="s">
        <v>7662</v>
      </c>
      <c r="V155" t="s">
        <v>7662</v>
      </c>
      <c r="W155">
        <v>63</v>
      </c>
      <c r="X155" t="s">
        <v>7817</v>
      </c>
      <c r="Y155">
        <v>0.60025193964425272</v>
      </c>
      <c r="Z155" t="str">
        <f>HYPERLINK("Melting_Curves/meltCurve_sp_O43707_ACTN4_HUMAN_.pdf", "Melting_Curves/meltCurve_sp_O43707_ACTN4_HUMAN_.pdf")</f>
        <v>Melting_Curves/meltCurve_sp_O43707_ACTN4_HUMAN_.pdf</v>
      </c>
      <c r="AA155" t="s">
        <v>11645</v>
      </c>
      <c r="AB155" t="s">
        <v>15396</v>
      </c>
    </row>
    <row r="156" spans="1:28" x14ac:dyDescent="0.25">
      <c r="A156" t="s">
        <v>160</v>
      </c>
      <c r="B156">
        <v>0.98876768158843997</v>
      </c>
      <c r="C156">
        <v>1.07064264717546</v>
      </c>
      <c r="D156">
        <v>0.85660861820766798</v>
      </c>
      <c r="E156">
        <v>0.66261815860895401</v>
      </c>
      <c r="F156">
        <v>0.18151375067247499</v>
      </c>
      <c r="G156">
        <v>6.6070821299733101E-2</v>
      </c>
      <c r="H156">
        <v>2.40526658671045E-2</v>
      </c>
      <c r="I156">
        <v>1.7400822593191902E-2</v>
      </c>
      <c r="J156">
        <v>6.3874904915285297E-3</v>
      </c>
      <c r="K156">
        <v>1.03238958791826E-2</v>
      </c>
      <c r="L156">
        <v>1576.20079845755</v>
      </c>
      <c r="M156">
        <v>31.050258702246499</v>
      </c>
      <c r="N156">
        <v>50.805145767641299</v>
      </c>
      <c r="O156">
        <v>50.553724016659999</v>
      </c>
      <c r="P156">
        <v>-0.15159433387281299</v>
      </c>
      <c r="Q156">
        <v>1.27470862156279E-2</v>
      </c>
      <c r="R156">
        <v>0.98870780157523697</v>
      </c>
      <c r="S156" t="s">
        <v>3988</v>
      </c>
      <c r="T156" t="s">
        <v>7662</v>
      </c>
      <c r="U156" t="s">
        <v>7662</v>
      </c>
      <c r="V156" t="s">
        <v>7662</v>
      </c>
      <c r="W156">
        <v>10</v>
      </c>
      <c r="X156" t="s">
        <v>7818</v>
      </c>
      <c r="Y156">
        <v>0.37270696339824938</v>
      </c>
      <c r="Z156" t="str">
        <f>HYPERLINK("Melting_Curves/meltCurve_sp_O43708_MAAI_HUMAN_.pdf", "Melting_Curves/meltCurve_sp_O43708_MAAI_HUMAN_.pdf")</f>
        <v>Melting_Curves/meltCurve_sp_O43708_MAAI_HUMAN_.pdf</v>
      </c>
      <c r="AA156" t="s">
        <v>11646</v>
      </c>
      <c r="AB156" t="s">
        <v>15397</v>
      </c>
    </row>
    <row r="157" spans="1:28" x14ac:dyDescent="0.25">
      <c r="A157" t="s">
        <v>161</v>
      </c>
      <c r="B157">
        <v>0.98876768158843997</v>
      </c>
      <c r="C157">
        <v>1.1542307757574399</v>
      </c>
      <c r="D157">
        <v>0.88338882805882601</v>
      </c>
      <c r="E157">
        <v>0.71815248990821701</v>
      </c>
      <c r="F157">
        <v>0.93198040398772797</v>
      </c>
      <c r="G157">
        <v>0.66067279206240703</v>
      </c>
      <c r="H157">
        <v>0.51072526452973399</v>
      </c>
      <c r="I157">
        <v>0.62608428412468597</v>
      </c>
      <c r="J157">
        <v>0.69580994419953002</v>
      </c>
      <c r="K157">
        <v>0.86870807926670202</v>
      </c>
      <c r="L157">
        <v>995.60275054887995</v>
      </c>
      <c r="M157">
        <v>20.347901760223198</v>
      </c>
      <c r="O157">
        <v>48.463786748492801</v>
      </c>
      <c r="P157">
        <v>-3.2740175074272397E-2</v>
      </c>
      <c r="Q157">
        <v>0.68809274726499803</v>
      </c>
      <c r="R157">
        <v>0.56489930880473804</v>
      </c>
      <c r="S157" t="s">
        <v>3989</v>
      </c>
      <c r="T157" t="s">
        <v>7662</v>
      </c>
      <c r="U157" t="s">
        <v>7662</v>
      </c>
      <c r="V157" t="s">
        <v>7662</v>
      </c>
      <c r="W157">
        <v>9</v>
      </c>
      <c r="X157" t="s">
        <v>7819</v>
      </c>
      <c r="Y157">
        <v>0.78514774822103306</v>
      </c>
      <c r="Z157" t="str">
        <f>HYPERLINK("Melting_Curves/meltCurve_sp_O43715_TRIA1_HUMAN_.pdf", "Melting_Curves/meltCurve_sp_O43715_TRIA1_HUMAN_.pdf")</f>
        <v>Melting_Curves/meltCurve_sp_O43715_TRIA1_HUMAN_.pdf</v>
      </c>
      <c r="AA157" t="s">
        <v>11647</v>
      </c>
      <c r="AB157" t="s">
        <v>15398</v>
      </c>
    </row>
    <row r="158" spans="1:28" x14ac:dyDescent="0.25">
      <c r="A158" t="s">
        <v>162</v>
      </c>
      <c r="B158">
        <v>0.98876768158843997</v>
      </c>
      <c r="C158">
        <v>1.04566276608082</v>
      </c>
      <c r="D158">
        <v>0.89546775721212801</v>
      </c>
      <c r="E158">
        <v>0.72175335305236099</v>
      </c>
      <c r="F158">
        <v>0.54765983737969104</v>
      </c>
      <c r="G158">
        <v>0.33195555627550899</v>
      </c>
      <c r="H158">
        <v>0.25892083028736201</v>
      </c>
      <c r="I158">
        <v>0.27125133027140402</v>
      </c>
      <c r="J158">
        <v>0.38141660509334102</v>
      </c>
      <c r="K158">
        <v>0.35377687240021299</v>
      </c>
      <c r="L158">
        <v>1131.5337231534099</v>
      </c>
      <c r="M158">
        <v>22.2187472078793</v>
      </c>
      <c r="N158">
        <v>53.205088415351298</v>
      </c>
      <c r="O158">
        <v>50.519830018337302</v>
      </c>
      <c r="P158">
        <v>-7.6209461179186297E-2</v>
      </c>
      <c r="Q158">
        <v>0.30689045564418599</v>
      </c>
      <c r="R158">
        <v>0.97537457326821697</v>
      </c>
      <c r="S158" t="s">
        <v>3990</v>
      </c>
      <c r="T158" t="s">
        <v>7662</v>
      </c>
      <c r="U158" t="s">
        <v>7662</v>
      </c>
      <c r="V158" t="s">
        <v>7662</v>
      </c>
      <c r="W158">
        <v>5</v>
      </c>
      <c r="X158" t="s">
        <v>7820</v>
      </c>
      <c r="Y158">
        <v>0.56721933503553923</v>
      </c>
      <c r="Z158" t="str">
        <f>HYPERLINK("Melting_Curves/meltCurve_sp_O43716_GATC_HUMAN_.pdf", "Melting_Curves/meltCurve_sp_O43716_GATC_HUMAN_.pdf")</f>
        <v>Melting_Curves/meltCurve_sp_O43716_GATC_HUMAN_.pdf</v>
      </c>
      <c r="AA158" t="s">
        <v>11648</v>
      </c>
      <c r="AB158" t="s">
        <v>15399</v>
      </c>
    </row>
    <row r="159" spans="1:28" x14ac:dyDescent="0.25">
      <c r="A159" t="s">
        <v>163</v>
      </c>
      <c r="B159">
        <v>0.98876768158843997</v>
      </c>
      <c r="C159">
        <v>1.05681629867926</v>
      </c>
      <c r="D159">
        <v>0.95671963190220699</v>
      </c>
      <c r="E159">
        <v>0.89302281124035399</v>
      </c>
      <c r="F159">
        <v>0.64598037192785696</v>
      </c>
      <c r="G159">
        <v>0.33211295972503402</v>
      </c>
      <c r="H159">
        <v>0.17405655668009601</v>
      </c>
      <c r="I159">
        <v>0.17959355093434301</v>
      </c>
      <c r="J159">
        <v>0.32526964576423401</v>
      </c>
      <c r="K159">
        <v>0.19877916242211299</v>
      </c>
      <c r="L159">
        <v>1553.30440987518</v>
      </c>
      <c r="M159">
        <v>29.137121372605801</v>
      </c>
      <c r="N159">
        <v>54.364372600380896</v>
      </c>
      <c r="O159">
        <v>53.060927882992203</v>
      </c>
      <c r="P159">
        <v>-0.107653399180102</v>
      </c>
      <c r="Q159">
        <v>0.215825347906446</v>
      </c>
      <c r="R159">
        <v>0.98191933404603704</v>
      </c>
      <c r="S159" t="s">
        <v>3991</v>
      </c>
      <c r="T159" t="s">
        <v>7662</v>
      </c>
      <c r="U159" t="s">
        <v>7662</v>
      </c>
      <c r="V159" t="s">
        <v>7662</v>
      </c>
      <c r="W159">
        <v>7</v>
      </c>
      <c r="X159" t="s">
        <v>7821</v>
      </c>
      <c r="Y159">
        <v>0.56914678210424019</v>
      </c>
      <c r="Z159" t="str">
        <f>HYPERLINK("Melting_Curves/meltCurve_sp_O43719_HTSF1_HUMAN_.pdf", "Melting_Curves/meltCurve_sp_O43719_HTSF1_HUMAN_.pdf")</f>
        <v>Melting_Curves/meltCurve_sp_O43719_HTSF1_HUMAN_.pdf</v>
      </c>
      <c r="AA159" t="s">
        <v>11649</v>
      </c>
      <c r="AB159" t="s">
        <v>15400</v>
      </c>
    </row>
    <row r="160" spans="1:28" x14ac:dyDescent="0.25">
      <c r="A160" t="s">
        <v>164</v>
      </c>
      <c r="B160">
        <v>0.98876768158843997</v>
      </c>
      <c r="C160">
        <v>0.84427149483789399</v>
      </c>
      <c r="D160">
        <v>0.95400946265969999</v>
      </c>
      <c r="E160">
        <v>0.62696006231938495</v>
      </c>
      <c r="F160">
        <v>0.34399321416369399</v>
      </c>
      <c r="G160">
        <v>0.15800150278458</v>
      </c>
      <c r="H160">
        <v>0.10734342510865</v>
      </c>
      <c r="I160">
        <v>8.5606636968086597E-2</v>
      </c>
      <c r="J160">
        <v>6.3430313974059002E-2</v>
      </c>
      <c r="K160">
        <v>8.5046394353551394E-2</v>
      </c>
      <c r="L160">
        <v>1066.7684224360401</v>
      </c>
      <c r="M160">
        <v>20.955027986606101</v>
      </c>
      <c r="N160">
        <v>51.284194656652602</v>
      </c>
      <c r="O160">
        <v>50.450692000820297</v>
      </c>
      <c r="P160">
        <v>-9.6435225058721805E-2</v>
      </c>
      <c r="Q160">
        <v>7.1326759622411695E-2</v>
      </c>
      <c r="R160">
        <v>0.984215656674157</v>
      </c>
      <c r="S160" t="s">
        <v>3992</v>
      </c>
      <c r="T160" t="s">
        <v>7662</v>
      </c>
      <c r="U160" t="s">
        <v>7662</v>
      </c>
      <c r="V160" t="s">
        <v>7662</v>
      </c>
      <c r="W160">
        <v>2</v>
      </c>
      <c r="X160" t="s">
        <v>7822</v>
      </c>
      <c r="Y160">
        <v>0.42078267302194089</v>
      </c>
      <c r="Z160" t="str">
        <f>HYPERLINK("Melting_Curves/meltCurve_sp_O43741_AAKB2_HUMAN_.pdf", "Melting_Curves/meltCurve_sp_O43741_AAKB2_HUMAN_.pdf")</f>
        <v>Melting_Curves/meltCurve_sp_O43741_AAKB2_HUMAN_.pdf</v>
      </c>
      <c r="AA160" t="s">
        <v>11650</v>
      </c>
      <c r="AB160" t="s">
        <v>15401</v>
      </c>
    </row>
    <row r="161" spans="1:28" x14ac:dyDescent="0.25">
      <c r="A161" t="s">
        <v>165</v>
      </c>
      <c r="B161">
        <v>0.98876768158843997</v>
      </c>
      <c r="C161">
        <v>0.89581266831158302</v>
      </c>
      <c r="D161">
        <v>1.0333418708038999</v>
      </c>
      <c r="E161">
        <v>0.81233343256221302</v>
      </c>
      <c r="F161">
        <v>0.43114918583630002</v>
      </c>
      <c r="G161">
        <v>0.189674361663623</v>
      </c>
      <c r="H161">
        <v>8.2902673574938607E-2</v>
      </c>
      <c r="I161">
        <v>6.0727823848787298E-2</v>
      </c>
      <c r="J161">
        <v>6.5518527581523794E-2</v>
      </c>
      <c r="K161">
        <v>5.6550449960655801E-2</v>
      </c>
      <c r="L161">
        <v>1466.60514426702</v>
      </c>
      <c r="M161">
        <v>28.014238628853299</v>
      </c>
      <c r="N161">
        <v>52.617625589412903</v>
      </c>
      <c r="O161">
        <v>52.0875492349398</v>
      </c>
      <c r="P161">
        <v>-0.12559673816414299</v>
      </c>
      <c r="Q161">
        <v>6.5907869950338899E-2</v>
      </c>
      <c r="R161">
        <v>0.99037383764194598</v>
      </c>
      <c r="S161" t="s">
        <v>3993</v>
      </c>
      <c r="T161" t="s">
        <v>7662</v>
      </c>
      <c r="U161" t="s">
        <v>7662</v>
      </c>
      <c r="V161" t="s">
        <v>7662</v>
      </c>
      <c r="W161">
        <v>14</v>
      </c>
      <c r="X161" t="s">
        <v>7823</v>
      </c>
      <c r="Y161">
        <v>0.45737410981802618</v>
      </c>
      <c r="Z161" t="str">
        <f>HYPERLINK("Melting_Curves/meltCurve_sp_O43747_AP1G1_HUMAN_.pdf", "Melting_Curves/meltCurve_sp_O43747_AP1G1_HUMAN_.pdf")</f>
        <v>Melting_Curves/meltCurve_sp_O43747_AP1G1_HUMAN_.pdf</v>
      </c>
      <c r="AA161" t="s">
        <v>11651</v>
      </c>
      <c r="AB161" t="s">
        <v>15402</v>
      </c>
    </row>
    <row r="162" spans="1:28" x14ac:dyDescent="0.25">
      <c r="A162" t="s">
        <v>166</v>
      </c>
      <c r="B162">
        <v>0.98876768158843997</v>
      </c>
      <c r="C162">
        <v>1.0405774426344501</v>
      </c>
      <c r="D162">
        <v>0.86756909274530702</v>
      </c>
      <c r="E162">
        <v>0.73846420626001896</v>
      </c>
      <c r="F162">
        <v>0.72143479946856703</v>
      </c>
      <c r="G162">
        <v>0.42826712170585601</v>
      </c>
      <c r="H162">
        <v>0.26516107481051698</v>
      </c>
      <c r="I162">
        <v>0.28184321939100598</v>
      </c>
      <c r="J162">
        <v>0.26288520071976301</v>
      </c>
      <c r="K162">
        <v>0.33651693018644302</v>
      </c>
      <c r="L162">
        <v>806.05125114845305</v>
      </c>
      <c r="M162">
        <v>15.185465894768001</v>
      </c>
      <c r="N162">
        <v>55.541344451523202</v>
      </c>
      <c r="O162">
        <v>52.185462777488603</v>
      </c>
      <c r="P162">
        <v>-5.4939245156060003E-2</v>
      </c>
      <c r="Q162">
        <v>0.24486902285940801</v>
      </c>
      <c r="R162">
        <v>0.96522293118195202</v>
      </c>
      <c r="S162" t="s">
        <v>3994</v>
      </c>
      <c r="T162" t="s">
        <v>7662</v>
      </c>
      <c r="U162" t="s">
        <v>7662</v>
      </c>
      <c r="V162" t="s">
        <v>7662</v>
      </c>
      <c r="W162">
        <v>10</v>
      </c>
      <c r="X162" t="s">
        <v>7824</v>
      </c>
      <c r="Y162">
        <v>0.5900373569804177</v>
      </c>
      <c r="Z162" t="str">
        <f>HYPERLINK("Melting_Curves/meltCurve_sp_O43765_SGTA_HUMAN_.pdf", "Melting_Curves/meltCurve_sp_O43765_SGTA_HUMAN_.pdf")</f>
        <v>Melting_Curves/meltCurve_sp_O43765_SGTA_HUMAN_.pdf</v>
      </c>
      <c r="AA162" t="s">
        <v>11652</v>
      </c>
      <c r="AB162" t="s">
        <v>15403</v>
      </c>
    </row>
    <row r="163" spans="1:28" x14ac:dyDescent="0.25">
      <c r="A163" t="s">
        <v>167</v>
      </c>
      <c r="B163">
        <v>0.98876768158843997</v>
      </c>
      <c r="C163">
        <v>0.94779193204169199</v>
      </c>
      <c r="D163">
        <v>0.655218049511197</v>
      </c>
      <c r="E163">
        <v>0.43062246450420499</v>
      </c>
      <c r="F163">
        <v>0.31115323774817699</v>
      </c>
      <c r="G163">
        <v>0.21362138303770201</v>
      </c>
      <c r="H163">
        <v>0.124338464060578</v>
      </c>
      <c r="I163">
        <v>0.106313362873681</v>
      </c>
      <c r="J163">
        <v>0.112850583836259</v>
      </c>
      <c r="K163">
        <v>0.11321349263495301</v>
      </c>
      <c r="L163">
        <v>739.56239434639303</v>
      </c>
      <c r="M163">
        <v>15.327916329060599</v>
      </c>
      <c r="N163">
        <v>49.002035038471597</v>
      </c>
      <c r="O163">
        <v>47.450487808219499</v>
      </c>
      <c r="P163">
        <v>-7.2293827757270501E-2</v>
      </c>
      <c r="Q163">
        <v>0.104885714102408</v>
      </c>
      <c r="R163">
        <v>0.99061064386671704</v>
      </c>
      <c r="S163" t="s">
        <v>3995</v>
      </c>
      <c r="T163" t="s">
        <v>7662</v>
      </c>
      <c r="U163" t="s">
        <v>7662</v>
      </c>
      <c r="V163" t="s">
        <v>7662</v>
      </c>
      <c r="W163">
        <v>6</v>
      </c>
      <c r="X163" t="s">
        <v>7825</v>
      </c>
      <c r="Y163">
        <v>0.37285002843546577</v>
      </c>
      <c r="Z163" t="str">
        <f>HYPERLINK("Melting_Curves/meltCurve_sp_O43766_2_LIAS_HUMAN_.pdf", "Melting_Curves/meltCurve_sp_O43766_2_LIAS_HUMAN_.pdf")</f>
        <v>Melting_Curves/meltCurve_sp_O43766_2_LIAS_HUMAN_.pdf</v>
      </c>
      <c r="AA163" t="s">
        <v>11653</v>
      </c>
      <c r="AB163" t="s">
        <v>15404</v>
      </c>
    </row>
    <row r="164" spans="1:28" x14ac:dyDescent="0.25">
      <c r="A164" t="s">
        <v>168</v>
      </c>
      <c r="B164">
        <v>0.98876768158843997</v>
      </c>
      <c r="C164">
        <v>1.1166856847653399</v>
      </c>
      <c r="D164">
        <v>0.89431024876916299</v>
      </c>
      <c r="E164">
        <v>0.77094313368326295</v>
      </c>
      <c r="F164">
        <v>0.86774821871931596</v>
      </c>
      <c r="G164">
        <v>0.61492430603835502</v>
      </c>
      <c r="H164">
        <v>0.48231187419628602</v>
      </c>
      <c r="I164">
        <v>0.61870287032518501</v>
      </c>
      <c r="J164">
        <v>0.65100769778240597</v>
      </c>
      <c r="K164">
        <v>0.90209349106303705</v>
      </c>
      <c r="L164">
        <v>1038.36773571146</v>
      </c>
      <c r="M164">
        <v>20.928669265007301</v>
      </c>
      <c r="O164">
        <v>49.168285003224398</v>
      </c>
      <c r="P164">
        <v>-3.5738497532130799E-2</v>
      </c>
      <c r="Q164">
        <v>0.66416342233685099</v>
      </c>
      <c r="R164">
        <v>0.60365879599274597</v>
      </c>
      <c r="S164" t="s">
        <v>3996</v>
      </c>
      <c r="T164" t="s">
        <v>7662</v>
      </c>
      <c r="U164" t="s">
        <v>7662</v>
      </c>
      <c r="V164" t="s">
        <v>7662</v>
      </c>
      <c r="W164">
        <v>8</v>
      </c>
      <c r="X164" t="s">
        <v>7826</v>
      </c>
      <c r="Y164">
        <v>0.77607381085029392</v>
      </c>
      <c r="Z164" t="str">
        <f>HYPERLINK("Melting_Curves/meltCurve_sp_O43768_2_ENSA_HUMAN_.pdf", "Melting_Curves/meltCurve_sp_O43768_2_ENSA_HUMAN_.pdf")</f>
        <v>Melting_Curves/meltCurve_sp_O43768_2_ENSA_HUMAN_.pdf</v>
      </c>
      <c r="AA164" t="s">
        <v>11654</v>
      </c>
      <c r="AB164" t="s">
        <v>15405</v>
      </c>
    </row>
    <row r="165" spans="1:28" x14ac:dyDescent="0.25">
      <c r="A165" t="s">
        <v>169</v>
      </c>
      <c r="B165">
        <v>0.98876768158843997</v>
      </c>
      <c r="C165">
        <v>0.89325851093890096</v>
      </c>
      <c r="D165">
        <v>0.91359843105058902</v>
      </c>
      <c r="E165">
        <v>0.55402761419399804</v>
      </c>
      <c r="F165">
        <v>0.19715597569247201</v>
      </c>
      <c r="G165">
        <v>0.13266351415552799</v>
      </c>
      <c r="H165">
        <v>9.0271540047687296E-2</v>
      </c>
      <c r="I165">
        <v>8.4227508932342599E-2</v>
      </c>
      <c r="J165">
        <v>9.0303267237225801E-2</v>
      </c>
      <c r="K165">
        <v>7.2756846298412697E-2</v>
      </c>
      <c r="L165">
        <v>1374.6430565716701</v>
      </c>
      <c r="M165">
        <v>27.543789444100302</v>
      </c>
      <c r="N165">
        <v>50.234693539136302</v>
      </c>
      <c r="O165">
        <v>49.646705698064203</v>
      </c>
      <c r="P165">
        <v>-0.12731275606715101</v>
      </c>
      <c r="Q165">
        <v>8.2101477003720599E-2</v>
      </c>
      <c r="R165">
        <v>0.99123576858712203</v>
      </c>
      <c r="S165" t="s">
        <v>3997</v>
      </c>
      <c r="T165" t="s">
        <v>7662</v>
      </c>
      <c r="U165" t="s">
        <v>7662</v>
      </c>
      <c r="V165" t="s">
        <v>7662</v>
      </c>
      <c r="W165">
        <v>11</v>
      </c>
      <c r="X165" t="s">
        <v>7827</v>
      </c>
      <c r="Y165">
        <v>0.39197832178955588</v>
      </c>
      <c r="Z165" t="str">
        <f>HYPERLINK("Melting_Curves/meltCurve_sp_O43776_SYNC_HUMAN_.pdf", "Melting_Curves/meltCurve_sp_O43776_SYNC_HUMAN_.pdf")</f>
        <v>Melting_Curves/meltCurve_sp_O43776_SYNC_HUMAN_.pdf</v>
      </c>
      <c r="AA165" t="s">
        <v>11655</v>
      </c>
      <c r="AB165" t="s">
        <v>15406</v>
      </c>
    </row>
    <row r="166" spans="1:28" x14ac:dyDescent="0.25">
      <c r="A166" t="s">
        <v>170</v>
      </c>
      <c r="B166">
        <v>0.98876768158843997</v>
      </c>
      <c r="C166">
        <v>0.83874039143392398</v>
      </c>
      <c r="D166">
        <v>0.80774662327463198</v>
      </c>
      <c r="E166">
        <v>0.46005471006862902</v>
      </c>
      <c r="F166">
        <v>0.294066054766361</v>
      </c>
      <c r="G166">
        <v>0.18168290507596699</v>
      </c>
      <c r="H166">
        <v>0.129977609494414</v>
      </c>
      <c r="I166">
        <v>0.107328152339574</v>
      </c>
      <c r="J166">
        <v>0.142011746778055</v>
      </c>
      <c r="K166">
        <v>0.102765281619624</v>
      </c>
      <c r="L166">
        <v>781.04078095377895</v>
      </c>
      <c r="M166">
        <v>15.9834543468065</v>
      </c>
      <c r="N166">
        <v>49.559951737125402</v>
      </c>
      <c r="O166">
        <v>48.119845625634703</v>
      </c>
      <c r="P166">
        <v>-7.4715271335471803E-2</v>
      </c>
      <c r="Q166">
        <v>0.100318335082879</v>
      </c>
      <c r="R166">
        <v>0.99130919579989896</v>
      </c>
      <c r="S166" t="s">
        <v>3998</v>
      </c>
      <c r="T166" t="s">
        <v>7662</v>
      </c>
      <c r="U166" t="s">
        <v>7662</v>
      </c>
      <c r="V166" t="s">
        <v>7662</v>
      </c>
      <c r="W166">
        <v>3</v>
      </c>
      <c r="X166" t="s">
        <v>7828</v>
      </c>
      <c r="Y166">
        <v>0.38594968470525648</v>
      </c>
      <c r="Z166" t="str">
        <f>HYPERLINK("Melting_Curves/meltCurve_sp_O43795_2_MYO1B_HUMAN_.pdf", "Melting_Curves/meltCurve_sp_O43795_2_MYO1B_HUMAN_.pdf")</f>
        <v>Melting_Curves/meltCurve_sp_O43795_2_MYO1B_HUMAN_.pdf</v>
      </c>
      <c r="AA166" t="s">
        <v>11656</v>
      </c>
      <c r="AB166" t="s">
        <v>15407</v>
      </c>
    </row>
    <row r="167" spans="1:28" x14ac:dyDescent="0.25">
      <c r="A167" t="s">
        <v>171</v>
      </c>
      <c r="B167">
        <v>0.98876768158843997</v>
      </c>
      <c r="C167">
        <v>1.0797634433254</v>
      </c>
      <c r="D167">
        <v>0.90821216554972395</v>
      </c>
      <c r="E167">
        <v>0.66960477138221897</v>
      </c>
      <c r="F167">
        <v>0.62846522510119296</v>
      </c>
      <c r="G167">
        <v>0.38911558313016498</v>
      </c>
      <c r="H167">
        <v>0.27914493280296698</v>
      </c>
      <c r="I167">
        <v>0.29861162062775998</v>
      </c>
      <c r="J167">
        <v>0.27587721767748202</v>
      </c>
      <c r="K167">
        <v>0.34431905650358502</v>
      </c>
      <c r="L167">
        <v>894.88969406883996</v>
      </c>
      <c r="M167">
        <v>17.3695651956589</v>
      </c>
      <c r="N167">
        <v>54.110991837018702</v>
      </c>
      <c r="O167">
        <v>50.852211734889302</v>
      </c>
      <c r="P167">
        <v>-6.1288861030862701E-2</v>
      </c>
      <c r="Q167">
        <v>0.28230853397636002</v>
      </c>
      <c r="R167">
        <v>0.97119531181984098</v>
      </c>
      <c r="S167" t="s">
        <v>3999</v>
      </c>
      <c r="T167" t="s">
        <v>7662</v>
      </c>
      <c r="U167" t="s">
        <v>7662</v>
      </c>
      <c r="V167" t="s">
        <v>7662</v>
      </c>
      <c r="W167">
        <v>2</v>
      </c>
      <c r="X167" t="s">
        <v>7829</v>
      </c>
      <c r="Y167">
        <v>0.57070169203809951</v>
      </c>
      <c r="Z167" t="str">
        <f>HYPERLINK("Melting_Curves/meltCurve_sp_O43805_SSNA1_HUMAN_.pdf", "Melting_Curves/meltCurve_sp_O43805_SSNA1_HUMAN_.pdf")</f>
        <v>Melting_Curves/meltCurve_sp_O43805_SSNA1_HUMAN_.pdf</v>
      </c>
      <c r="AA167" t="s">
        <v>11657</v>
      </c>
      <c r="AB167" t="s">
        <v>15408</v>
      </c>
    </row>
    <row r="168" spans="1:28" x14ac:dyDescent="0.25">
      <c r="A168" t="s">
        <v>172</v>
      </c>
      <c r="B168">
        <v>0.98876768158843997</v>
      </c>
      <c r="C168">
        <v>0.98575843468694602</v>
      </c>
      <c r="D168">
        <v>0.89264561266823705</v>
      </c>
      <c r="E168">
        <v>0.75028612209426104</v>
      </c>
      <c r="F168">
        <v>0.56852090771444597</v>
      </c>
      <c r="G168">
        <v>0.155746211493553</v>
      </c>
      <c r="H168">
        <v>6.4247515841349606E-2</v>
      </c>
      <c r="I168">
        <v>5.19466288814198E-2</v>
      </c>
      <c r="J168">
        <v>5.1918262794488301E-2</v>
      </c>
      <c r="K168">
        <v>3.4539906417508502E-2</v>
      </c>
      <c r="L168">
        <v>1054.03622594137</v>
      </c>
      <c r="M168">
        <v>19.893163502941899</v>
      </c>
      <c r="N168">
        <v>53.069199050903997</v>
      </c>
      <c r="O168">
        <v>52.458142181318301</v>
      </c>
      <c r="P168">
        <v>-9.3332873440055905E-2</v>
      </c>
      <c r="Q168">
        <v>1.55600104057904E-2</v>
      </c>
      <c r="R168">
        <v>0.99247158147092296</v>
      </c>
      <c r="S168" t="s">
        <v>4000</v>
      </c>
      <c r="T168" t="s">
        <v>7662</v>
      </c>
      <c r="U168" t="s">
        <v>7662</v>
      </c>
      <c r="V168" t="s">
        <v>7662</v>
      </c>
      <c r="W168">
        <v>7</v>
      </c>
      <c r="X168" t="s">
        <v>7830</v>
      </c>
      <c r="Y168">
        <v>0.45531927446226828</v>
      </c>
      <c r="Z168" t="str">
        <f>HYPERLINK("Melting_Curves/meltCurve_sp_O43809_CPSF5_HUMAN_.pdf", "Melting_Curves/meltCurve_sp_O43809_CPSF5_HUMAN_.pdf")</f>
        <v>Melting_Curves/meltCurve_sp_O43809_CPSF5_HUMAN_.pdf</v>
      </c>
      <c r="AA168" t="s">
        <v>11658</v>
      </c>
      <c r="AB168" t="s">
        <v>15409</v>
      </c>
    </row>
    <row r="169" spans="1:28" x14ac:dyDescent="0.25">
      <c r="A169" t="s">
        <v>173</v>
      </c>
      <c r="B169">
        <v>0.98876768158843997</v>
      </c>
      <c r="C169">
        <v>1.0672959976873699</v>
      </c>
      <c r="D169">
        <v>0.86716221388442105</v>
      </c>
      <c r="E169">
        <v>0.55034888747129496</v>
      </c>
      <c r="F169">
        <v>0.34888047820085399</v>
      </c>
      <c r="G169">
        <v>9.2605555930268493E-2</v>
      </c>
      <c r="H169">
        <v>4.2300872487428698E-2</v>
      </c>
      <c r="I169">
        <v>3.62181041477493E-2</v>
      </c>
      <c r="J169">
        <v>5.2498415657861897E-2</v>
      </c>
      <c r="K169">
        <v>4.7218024464632601E-2</v>
      </c>
      <c r="L169">
        <v>1037.4120414311201</v>
      </c>
      <c r="M169">
        <v>20.501207065829998</v>
      </c>
      <c r="N169">
        <v>50.759991762881597</v>
      </c>
      <c r="O169">
        <v>50.128402679182599</v>
      </c>
      <c r="P169">
        <v>-9.9095602848943101E-2</v>
      </c>
      <c r="Q169">
        <v>3.0816545816457801E-2</v>
      </c>
      <c r="R169">
        <v>0.99217168716356896</v>
      </c>
      <c r="S169" t="s">
        <v>4001</v>
      </c>
      <c r="T169" t="s">
        <v>7662</v>
      </c>
      <c r="U169" t="s">
        <v>7662</v>
      </c>
      <c r="V169" t="s">
        <v>7662</v>
      </c>
      <c r="W169">
        <v>8</v>
      </c>
      <c r="X169" t="s">
        <v>7831</v>
      </c>
      <c r="Y169">
        <v>0.38618715927058589</v>
      </c>
      <c r="Z169" t="str">
        <f>HYPERLINK("Melting_Curves/meltCurve_sp_O43813_LANC1_HUMAN_.pdf", "Melting_Curves/meltCurve_sp_O43813_LANC1_HUMAN_.pdf")</f>
        <v>Melting_Curves/meltCurve_sp_O43813_LANC1_HUMAN_.pdf</v>
      </c>
      <c r="AA169" t="s">
        <v>11659</v>
      </c>
      <c r="AB169" t="s">
        <v>15410</v>
      </c>
    </row>
    <row r="170" spans="1:28" x14ac:dyDescent="0.25">
      <c r="A170" t="s">
        <v>174</v>
      </c>
      <c r="B170">
        <v>0.98876768158843997</v>
      </c>
      <c r="C170">
        <v>0.87700737348800495</v>
      </c>
      <c r="D170">
        <v>0.91832919853575401</v>
      </c>
      <c r="E170">
        <v>0.700262849291997</v>
      </c>
      <c r="F170">
        <v>0.56409244448316298</v>
      </c>
      <c r="G170">
        <v>0.30466213421635602</v>
      </c>
      <c r="H170">
        <v>0.195927003905946</v>
      </c>
      <c r="I170">
        <v>0.176351563392463</v>
      </c>
      <c r="J170">
        <v>0.27023681907298802</v>
      </c>
      <c r="K170">
        <v>0.28992386630613898</v>
      </c>
      <c r="L170">
        <v>906.84707084460103</v>
      </c>
      <c r="M170">
        <v>17.599093822030799</v>
      </c>
      <c r="N170">
        <v>53.187539360609598</v>
      </c>
      <c r="O170">
        <v>50.8765705093886</v>
      </c>
      <c r="P170">
        <v>-6.8212877692185106E-2</v>
      </c>
      <c r="Q170">
        <v>0.211266170524191</v>
      </c>
      <c r="R170">
        <v>0.968957551653715</v>
      </c>
      <c r="S170" t="s">
        <v>4002</v>
      </c>
      <c r="T170" t="s">
        <v>7662</v>
      </c>
      <c r="U170" t="s">
        <v>7662</v>
      </c>
      <c r="V170" t="s">
        <v>7662</v>
      </c>
      <c r="W170">
        <v>3</v>
      </c>
      <c r="X170" t="s">
        <v>7832</v>
      </c>
      <c r="Y170">
        <v>0.52808675240047809</v>
      </c>
      <c r="Z170" t="str">
        <f>HYPERLINK("Melting_Curves/meltCurve_sp_O43815_2_STRN_HUMAN_.pdf", "Melting_Curves/meltCurve_sp_O43815_2_STRN_HUMAN_.pdf")</f>
        <v>Melting_Curves/meltCurve_sp_O43815_2_STRN_HUMAN_.pdf</v>
      </c>
      <c r="AA170" t="s">
        <v>11660</v>
      </c>
      <c r="AB170" t="s">
        <v>15411</v>
      </c>
    </row>
    <row r="171" spans="1:28" x14ac:dyDescent="0.25">
      <c r="A171" t="s">
        <v>175</v>
      </c>
      <c r="B171">
        <v>0.98876768158843997</v>
      </c>
      <c r="C171">
        <v>1.27678132477159</v>
      </c>
      <c r="D171">
        <v>0.84371895813178299</v>
      </c>
      <c r="E171">
        <v>0.86245221524057902</v>
      </c>
      <c r="F171">
        <v>0.98514066998567196</v>
      </c>
      <c r="G171">
        <v>0.67945551022863004</v>
      </c>
      <c r="H171">
        <v>0.466812964584221</v>
      </c>
      <c r="I171">
        <v>0.63478965532874498</v>
      </c>
      <c r="J171">
        <v>0.57369081045041603</v>
      </c>
      <c r="K171">
        <v>0.88980201768993405</v>
      </c>
      <c r="L171">
        <v>4131.94891798958</v>
      </c>
      <c r="M171">
        <v>74.725580026666904</v>
      </c>
      <c r="O171">
        <v>55.255410216027101</v>
      </c>
      <c r="P171">
        <v>-0.12107905917544801</v>
      </c>
      <c r="Q171">
        <v>0.641875143912227</v>
      </c>
      <c r="R171">
        <v>0.57546595399584199</v>
      </c>
      <c r="S171" t="s">
        <v>4003</v>
      </c>
      <c r="T171" t="s">
        <v>7662</v>
      </c>
      <c r="U171" t="s">
        <v>7662</v>
      </c>
      <c r="V171" t="s">
        <v>7662</v>
      </c>
      <c r="W171">
        <v>1</v>
      </c>
      <c r="X171" t="s">
        <v>7833</v>
      </c>
      <c r="Y171">
        <v>0.82484867508657866</v>
      </c>
      <c r="Z171" t="str">
        <f>HYPERLINK("Melting_Curves/meltCurve_sp_O43820_4_HYAL3_HUMAN_.pdf", "Melting_Curves/meltCurve_sp_O43820_4_HYAL3_HUMAN_.pdf")</f>
        <v>Melting_Curves/meltCurve_sp_O43820_4_HYAL3_HUMAN_.pdf</v>
      </c>
      <c r="AA171" t="s">
        <v>11661</v>
      </c>
      <c r="AB171" t="s">
        <v>15412</v>
      </c>
    </row>
    <row r="172" spans="1:28" x14ac:dyDescent="0.25">
      <c r="A172" t="s">
        <v>176</v>
      </c>
      <c r="B172">
        <v>0.98876768158843997</v>
      </c>
      <c r="C172">
        <v>0.76824563508685195</v>
      </c>
      <c r="D172">
        <v>0.48197878486172302</v>
      </c>
      <c r="E172">
        <v>0.42993626826798598</v>
      </c>
      <c r="F172">
        <v>0.24361004763813801</v>
      </c>
      <c r="G172">
        <v>0.12512146285937101</v>
      </c>
      <c r="H172">
        <v>6.2002895353074503E-2</v>
      </c>
      <c r="I172">
        <v>4.9317227176907202E-2</v>
      </c>
      <c r="J172">
        <v>5.8810535874277502E-2</v>
      </c>
      <c r="K172">
        <v>5.0562657546579598E-2</v>
      </c>
      <c r="L172">
        <v>567.77138676992195</v>
      </c>
      <c r="M172">
        <v>12.0421976272</v>
      </c>
      <c r="N172">
        <v>47.348946870182303</v>
      </c>
      <c r="O172">
        <v>45.904769183233199</v>
      </c>
      <c r="P172">
        <v>-6.3967910362425801E-2</v>
      </c>
      <c r="Q172">
        <v>2.4851288827839501E-2</v>
      </c>
      <c r="R172">
        <v>0.97416309343513696</v>
      </c>
      <c r="S172" t="s">
        <v>4004</v>
      </c>
      <c r="T172" t="s">
        <v>7662</v>
      </c>
      <c r="U172" t="s">
        <v>7662</v>
      </c>
      <c r="V172" t="s">
        <v>7662</v>
      </c>
      <c r="W172">
        <v>9</v>
      </c>
      <c r="X172" t="s">
        <v>7834</v>
      </c>
      <c r="Y172">
        <v>0.29744414006801922</v>
      </c>
      <c r="Z172" t="str">
        <f>HYPERLINK("Melting_Curves/meltCurve_sp_O43837_IDH3B_HUMAN_.pdf", "Melting_Curves/meltCurve_sp_O43837_IDH3B_HUMAN_.pdf")</f>
        <v>Melting_Curves/meltCurve_sp_O43837_IDH3B_HUMAN_.pdf</v>
      </c>
      <c r="AA172" t="s">
        <v>11662</v>
      </c>
      <c r="AB172" t="s">
        <v>15413</v>
      </c>
    </row>
    <row r="173" spans="1:28" x14ac:dyDescent="0.25">
      <c r="A173" t="s">
        <v>177</v>
      </c>
      <c r="B173">
        <v>0.98876768158843997</v>
      </c>
      <c r="C173">
        <v>0.93732016464416301</v>
      </c>
      <c r="D173">
        <v>1.0288099380269999</v>
      </c>
      <c r="E173">
        <v>0.79198125692200605</v>
      </c>
      <c r="F173">
        <v>0.33950499926501898</v>
      </c>
      <c r="G173">
        <v>0.143844519981564</v>
      </c>
      <c r="H173">
        <v>8.3225717266197805E-2</v>
      </c>
      <c r="I173">
        <v>6.6816959335564599E-2</v>
      </c>
      <c r="J173">
        <v>8.1505791601350394E-2</v>
      </c>
      <c r="K173">
        <v>8.6234234278673605E-2</v>
      </c>
      <c r="L173">
        <v>1888.2006164675699</v>
      </c>
      <c r="M173">
        <v>36.542665882240797</v>
      </c>
      <c r="N173">
        <v>51.934472271619398</v>
      </c>
      <c r="O173">
        <v>51.517115375381898</v>
      </c>
      <c r="P173">
        <v>-0.16233566818636699</v>
      </c>
      <c r="Q173">
        <v>8.4572488329990494E-2</v>
      </c>
      <c r="R173">
        <v>0.99582181224908495</v>
      </c>
      <c r="S173" t="s">
        <v>4005</v>
      </c>
      <c r="T173" t="s">
        <v>7662</v>
      </c>
      <c r="U173" t="s">
        <v>7662</v>
      </c>
      <c r="V173" t="s">
        <v>7662</v>
      </c>
      <c r="W173">
        <v>10</v>
      </c>
      <c r="X173" t="s">
        <v>7835</v>
      </c>
      <c r="Y173">
        <v>0.44462828483177658</v>
      </c>
      <c r="Z173" t="str">
        <f>HYPERLINK("Melting_Curves/meltCurve_sp_O43847_NRDC_HUMAN_.pdf", "Melting_Curves/meltCurve_sp_O43847_NRDC_HUMAN_.pdf")</f>
        <v>Melting_Curves/meltCurve_sp_O43847_NRDC_HUMAN_.pdf</v>
      </c>
      <c r="AA173" t="s">
        <v>11663</v>
      </c>
      <c r="AB173" t="s">
        <v>15414</v>
      </c>
    </row>
    <row r="174" spans="1:28" x14ac:dyDescent="0.25">
      <c r="A174" t="s">
        <v>178</v>
      </c>
      <c r="B174">
        <v>0.98876768158843997</v>
      </c>
      <c r="C174">
        <v>1.0720737018691999</v>
      </c>
      <c r="D174">
        <v>0.86378548306198999</v>
      </c>
      <c r="E174">
        <v>0.73843270092895197</v>
      </c>
      <c r="F174">
        <v>0.90640722667340601</v>
      </c>
      <c r="G174">
        <v>0.74435079233414703</v>
      </c>
      <c r="H174">
        <v>0.58227780626015502</v>
      </c>
      <c r="I174">
        <v>0.67669739684062402</v>
      </c>
      <c r="J174">
        <v>0.84248579462524797</v>
      </c>
      <c r="K174">
        <v>0.97558455363600804</v>
      </c>
      <c r="L174">
        <v>11477.1535916789</v>
      </c>
      <c r="M174">
        <v>250</v>
      </c>
      <c r="O174">
        <v>45.905676922965903</v>
      </c>
      <c r="P174">
        <v>-0.29831428459126802</v>
      </c>
      <c r="Q174">
        <v>0.78089089546117296</v>
      </c>
      <c r="R174">
        <v>0.45155220494593301</v>
      </c>
      <c r="S174" t="s">
        <v>4006</v>
      </c>
      <c r="T174" t="s">
        <v>7662</v>
      </c>
      <c r="U174" t="s">
        <v>7662</v>
      </c>
      <c r="V174" t="s">
        <v>7662</v>
      </c>
      <c r="W174">
        <v>9</v>
      </c>
      <c r="X174" t="s">
        <v>7836</v>
      </c>
      <c r="Y174">
        <v>0.82406292227339528</v>
      </c>
      <c r="Z174" t="str">
        <f>HYPERLINK("Melting_Curves/meltCurve_sp_O43852_CALU_HUMAN_.pdf", "Melting_Curves/meltCurve_sp_O43852_CALU_HUMAN_.pdf")</f>
        <v>Melting_Curves/meltCurve_sp_O43852_CALU_HUMAN_.pdf</v>
      </c>
      <c r="AA174" t="s">
        <v>11664</v>
      </c>
      <c r="AB174" t="s">
        <v>15415</v>
      </c>
    </row>
    <row r="175" spans="1:28" x14ac:dyDescent="0.25">
      <c r="A175" t="s">
        <v>179</v>
      </c>
      <c r="B175">
        <v>0.98876768158843997</v>
      </c>
      <c r="C175">
        <v>0.89507966612351497</v>
      </c>
      <c r="D175">
        <v>0.759937079677246</v>
      </c>
      <c r="E175">
        <v>0.356262977547816</v>
      </c>
      <c r="F175">
        <v>0.209286787239015</v>
      </c>
      <c r="G175">
        <v>8.5764605809341699E-2</v>
      </c>
      <c r="H175">
        <v>3.9115402969169502E-2</v>
      </c>
      <c r="I175">
        <v>3.52551708763231E-2</v>
      </c>
      <c r="J175">
        <v>4.8771511240070203E-2</v>
      </c>
      <c r="K175">
        <v>4.6793803810031703E-2</v>
      </c>
      <c r="L175">
        <v>915.19203306428403</v>
      </c>
      <c r="M175">
        <v>18.9071653895273</v>
      </c>
      <c r="N175">
        <v>48.588700683819198</v>
      </c>
      <c r="O175">
        <v>47.872779146953199</v>
      </c>
      <c r="P175">
        <v>-9.5325780865740298E-2</v>
      </c>
      <c r="Q175">
        <v>3.4583041923189999E-2</v>
      </c>
      <c r="R175">
        <v>0.99821826673167602</v>
      </c>
      <c r="S175" t="s">
        <v>4007</v>
      </c>
      <c r="T175" t="s">
        <v>7662</v>
      </c>
      <c r="U175" t="s">
        <v>7662</v>
      </c>
      <c r="V175" t="s">
        <v>7662</v>
      </c>
      <c r="W175">
        <v>12</v>
      </c>
      <c r="X175" t="s">
        <v>7837</v>
      </c>
      <c r="Y175">
        <v>0.32035230814820242</v>
      </c>
      <c r="Z175" t="str">
        <f>HYPERLINK("Melting_Curves/meltCurve_sp_O43865_SAHH2_HUMAN_.pdf", "Melting_Curves/meltCurve_sp_O43865_SAHH2_HUMAN_.pdf")</f>
        <v>Melting_Curves/meltCurve_sp_O43865_SAHH2_HUMAN_.pdf</v>
      </c>
      <c r="AA175" t="s">
        <v>11665</v>
      </c>
      <c r="AB175" t="s">
        <v>15416</v>
      </c>
    </row>
    <row r="176" spans="1:28" x14ac:dyDescent="0.25">
      <c r="A176" t="s">
        <v>180</v>
      </c>
      <c r="B176">
        <v>0.98876768158843997</v>
      </c>
      <c r="C176">
        <v>1.08801096595879</v>
      </c>
      <c r="D176">
        <v>0.91474327830307001</v>
      </c>
      <c r="E176">
        <v>0.69425201650066604</v>
      </c>
      <c r="F176">
        <v>0.79062351694051103</v>
      </c>
      <c r="G176">
        <v>0.53594223597718604</v>
      </c>
      <c r="H176">
        <v>0.22060285558134701</v>
      </c>
      <c r="I176">
        <v>0.101988012173237</v>
      </c>
      <c r="J176">
        <v>0.114328512199249</v>
      </c>
      <c r="K176">
        <v>0.10977968136398</v>
      </c>
      <c r="L176">
        <v>743.673089690354</v>
      </c>
      <c r="M176">
        <v>13.186444412399499</v>
      </c>
      <c r="N176">
        <v>56.396785937617999</v>
      </c>
      <c r="O176">
        <v>55.1470588946597</v>
      </c>
      <c r="P176">
        <v>-5.9788523024382999E-2</v>
      </c>
      <c r="Q176">
        <v>0</v>
      </c>
      <c r="R176">
        <v>0.95908930603934195</v>
      </c>
      <c r="S176" t="s">
        <v>4008</v>
      </c>
      <c r="T176" t="s">
        <v>7662</v>
      </c>
      <c r="U176" t="s">
        <v>7662</v>
      </c>
      <c r="V176" t="s">
        <v>7662</v>
      </c>
      <c r="W176">
        <v>7</v>
      </c>
      <c r="X176" t="s">
        <v>7838</v>
      </c>
      <c r="Y176">
        <v>0.56497465277594705</v>
      </c>
      <c r="Z176" t="str">
        <f>HYPERLINK("Melting_Curves/meltCurve_sp_O43903_GAS2_HUMAN_.pdf", "Melting_Curves/meltCurve_sp_O43903_GAS2_HUMAN_.pdf")</f>
        <v>Melting_Curves/meltCurve_sp_O43903_GAS2_HUMAN_.pdf</v>
      </c>
      <c r="AA176" t="s">
        <v>11666</v>
      </c>
      <c r="AB176" t="s">
        <v>15417</v>
      </c>
    </row>
    <row r="177" spans="1:28" x14ac:dyDescent="0.25">
      <c r="A177" t="s">
        <v>181</v>
      </c>
      <c r="B177">
        <v>0.98876768158843997</v>
      </c>
      <c r="C177">
        <v>0.97786805929906495</v>
      </c>
      <c r="D177">
        <v>1.0297139755462299</v>
      </c>
      <c r="E177">
        <v>0.69577072963201103</v>
      </c>
      <c r="F177">
        <v>0.2794242726824</v>
      </c>
      <c r="G177">
        <v>0.117843569852684</v>
      </c>
      <c r="H177">
        <v>0.167031993931582</v>
      </c>
      <c r="I177">
        <v>9.3657573014891804E-2</v>
      </c>
      <c r="J177">
        <v>0.17008080797346201</v>
      </c>
      <c r="K177">
        <v>0.12665372651249199</v>
      </c>
      <c r="L177">
        <v>2073.3099600707501</v>
      </c>
      <c r="M177">
        <v>40.814609966191902</v>
      </c>
      <c r="N177">
        <v>51.190512376039301</v>
      </c>
      <c r="O177">
        <v>50.676752315850599</v>
      </c>
      <c r="P177">
        <v>-0.17430884125223101</v>
      </c>
      <c r="Q177">
        <v>0.13429167978634801</v>
      </c>
      <c r="R177">
        <v>0.99515114483574396</v>
      </c>
      <c r="S177" t="s">
        <v>4009</v>
      </c>
      <c r="T177" t="s">
        <v>7662</v>
      </c>
      <c r="U177" t="s">
        <v>7662</v>
      </c>
      <c r="V177" t="s">
        <v>7662</v>
      </c>
      <c r="W177">
        <v>1</v>
      </c>
      <c r="X177" t="s">
        <v>7839</v>
      </c>
      <c r="Y177">
        <v>0.44881441678780548</v>
      </c>
      <c r="Z177" t="str">
        <f>HYPERLINK("Melting_Curves/meltCurve_sp_O60216_RAD21_HUMAN_.pdf", "Melting_Curves/meltCurve_sp_O60216_RAD21_HUMAN_.pdf")</f>
        <v>Melting_Curves/meltCurve_sp_O60216_RAD21_HUMAN_.pdf</v>
      </c>
      <c r="AA177" t="s">
        <v>11667</v>
      </c>
      <c r="AB177" t="s">
        <v>15418</v>
      </c>
    </row>
    <row r="178" spans="1:28" x14ac:dyDescent="0.25">
      <c r="A178" t="s">
        <v>182</v>
      </c>
      <c r="B178">
        <v>0.98876768158843997</v>
      </c>
      <c r="C178">
        <v>1.13108463191734</v>
      </c>
      <c r="D178">
        <v>0.84601730720733004</v>
      </c>
      <c r="E178">
        <v>0.78818397797917905</v>
      </c>
      <c r="F178">
        <v>0.76958201569395801</v>
      </c>
      <c r="G178">
        <v>0.219111903270229</v>
      </c>
      <c r="H178">
        <v>8.6161811575114503E-2</v>
      </c>
      <c r="I178">
        <v>7.6788974049495098E-2</v>
      </c>
      <c r="J178">
        <v>6.1505668819015397E-2</v>
      </c>
      <c r="K178">
        <v>5.9739973096639802E-2</v>
      </c>
      <c r="L178">
        <v>1307.38458891446</v>
      </c>
      <c r="M178">
        <v>24.042423625607501</v>
      </c>
      <c r="N178">
        <v>54.564972108238898</v>
      </c>
      <c r="O178">
        <v>54.006223903055101</v>
      </c>
      <c r="P178">
        <v>-0.106901027713713</v>
      </c>
      <c r="Q178">
        <v>3.9492807045045097E-2</v>
      </c>
      <c r="R178">
        <v>0.96251619533883703</v>
      </c>
      <c r="S178" t="s">
        <v>4010</v>
      </c>
      <c r="T178" t="s">
        <v>7662</v>
      </c>
      <c r="U178" t="s">
        <v>7662</v>
      </c>
      <c r="V178" t="s">
        <v>7662</v>
      </c>
      <c r="W178">
        <v>14</v>
      </c>
      <c r="X178" t="s">
        <v>7840</v>
      </c>
      <c r="Y178">
        <v>0.50937380422256695</v>
      </c>
      <c r="Z178" t="str">
        <f>HYPERLINK("Melting_Curves/meltCurve_sp_O60218_AK1BA_HUMAN_.pdf", "Melting_Curves/meltCurve_sp_O60218_AK1BA_HUMAN_.pdf")</f>
        <v>Melting_Curves/meltCurve_sp_O60218_AK1BA_HUMAN_.pdf</v>
      </c>
      <c r="AA178" t="s">
        <v>11668</v>
      </c>
      <c r="AB178" t="s">
        <v>15419</v>
      </c>
    </row>
    <row r="179" spans="1:28" x14ac:dyDescent="0.25">
      <c r="A179" t="s">
        <v>183</v>
      </c>
      <c r="B179">
        <v>0.98876768158843997</v>
      </c>
      <c r="C179">
        <v>0.94103468220931197</v>
      </c>
      <c r="D179">
        <v>0.89607595453970101</v>
      </c>
      <c r="E179">
        <v>0.746854936366667</v>
      </c>
      <c r="F179">
        <v>0.64769394295064497</v>
      </c>
      <c r="G179">
        <v>0.46691172393073699</v>
      </c>
      <c r="H179">
        <v>0.35968396114328799</v>
      </c>
      <c r="I179">
        <v>0.42498326176540002</v>
      </c>
      <c r="J179">
        <v>0.54119164020899502</v>
      </c>
      <c r="K179">
        <v>0.532408145994271</v>
      </c>
      <c r="L179">
        <v>943.64917597130898</v>
      </c>
      <c r="M179">
        <v>18.798407352099499</v>
      </c>
      <c r="N179">
        <v>57.609291583352601</v>
      </c>
      <c r="O179">
        <v>49.640661097934696</v>
      </c>
      <c r="P179">
        <v>-5.1554955358132898E-2</v>
      </c>
      <c r="Q179">
        <v>0.45546139017020598</v>
      </c>
      <c r="R179">
        <v>0.92994345436391801</v>
      </c>
      <c r="S179" t="s">
        <v>4011</v>
      </c>
      <c r="T179" t="s">
        <v>7662</v>
      </c>
      <c r="U179" t="s">
        <v>7662</v>
      </c>
      <c r="V179" t="s">
        <v>7662</v>
      </c>
      <c r="W179">
        <v>5</v>
      </c>
      <c r="X179" t="s">
        <v>7841</v>
      </c>
      <c r="Y179">
        <v>0.64910714825674254</v>
      </c>
      <c r="Z179" t="str">
        <f>HYPERLINK("Melting_Curves/meltCurve_sp_O60220_TIM8A_HUMAN_.pdf", "Melting_Curves/meltCurve_sp_O60220_TIM8A_HUMAN_.pdf")</f>
        <v>Melting_Curves/meltCurve_sp_O60220_TIM8A_HUMAN_.pdf</v>
      </c>
      <c r="AA179" t="s">
        <v>11669</v>
      </c>
      <c r="AB179" t="s">
        <v>15420</v>
      </c>
    </row>
    <row r="180" spans="1:28" x14ac:dyDescent="0.25">
      <c r="A180" t="s">
        <v>184</v>
      </c>
      <c r="B180">
        <v>0.98876768158843997</v>
      </c>
      <c r="C180">
        <v>0.88270475800357795</v>
      </c>
      <c r="D180">
        <v>0.84651818649118804</v>
      </c>
      <c r="E180">
        <v>0.50744774960584005</v>
      </c>
      <c r="F180">
        <v>0.22073855286606101</v>
      </c>
      <c r="G180">
        <v>0.15286747785626201</v>
      </c>
      <c r="H180">
        <v>0.112388334530078</v>
      </c>
      <c r="I180">
        <v>9.6935717094663601E-2</v>
      </c>
      <c r="J180">
        <v>9.8712152507862694E-2</v>
      </c>
      <c r="K180">
        <v>9.6923674685681596E-2</v>
      </c>
      <c r="L180">
        <v>1007.5822445372499</v>
      </c>
      <c r="M180">
        <v>20.444201267235499</v>
      </c>
      <c r="N180">
        <v>49.769335292437297</v>
      </c>
      <c r="O180">
        <v>48.8202360088207</v>
      </c>
      <c r="P180">
        <v>-9.5241473996782303E-2</v>
      </c>
      <c r="Q180">
        <v>9.02903871185671E-2</v>
      </c>
      <c r="R180">
        <v>0.99271627108417304</v>
      </c>
      <c r="S180" t="s">
        <v>4012</v>
      </c>
      <c r="T180" t="s">
        <v>7662</v>
      </c>
      <c r="U180" t="s">
        <v>7662</v>
      </c>
      <c r="V180" t="s">
        <v>7662</v>
      </c>
      <c r="W180">
        <v>6</v>
      </c>
      <c r="X180" t="s">
        <v>7842</v>
      </c>
      <c r="Y180">
        <v>0.38399364141820058</v>
      </c>
      <c r="Z180" t="str">
        <f>HYPERLINK("Melting_Curves/meltCurve_sp_O60231_DHX16_HUMAN_.pdf", "Melting_Curves/meltCurve_sp_O60231_DHX16_HUMAN_.pdf")</f>
        <v>Melting_Curves/meltCurve_sp_O60231_DHX16_HUMAN_.pdf</v>
      </c>
      <c r="AA180" t="s">
        <v>11670</v>
      </c>
      <c r="AB180" t="s">
        <v>15421</v>
      </c>
    </row>
    <row r="181" spans="1:28" x14ac:dyDescent="0.25">
      <c r="A181" t="s">
        <v>185</v>
      </c>
      <c r="B181">
        <v>0.98876768158843997</v>
      </c>
      <c r="C181">
        <v>1.0254059899269099</v>
      </c>
      <c r="D181">
        <v>0.91657032327113197</v>
      </c>
      <c r="E181">
        <v>0.830849707590259</v>
      </c>
      <c r="F181">
        <v>0.86693896652026903</v>
      </c>
      <c r="G181">
        <v>0.76696395709841503</v>
      </c>
      <c r="H181">
        <v>0.63404800385790405</v>
      </c>
      <c r="I181">
        <v>0.83623569104790396</v>
      </c>
      <c r="J181">
        <v>1.13473530290754</v>
      </c>
      <c r="K181">
        <v>1.1695048142431801</v>
      </c>
      <c r="L181">
        <v>15000</v>
      </c>
      <c r="M181">
        <v>225.229297766032</v>
      </c>
      <c r="O181">
        <v>66.593545029197799</v>
      </c>
      <c r="P181">
        <v>0.14338205390533901</v>
      </c>
      <c r="Q181">
        <v>1.1695750834857701</v>
      </c>
      <c r="R181">
        <v>-8.9063715950877795E-2</v>
      </c>
      <c r="S181" t="s">
        <v>4013</v>
      </c>
      <c r="T181" t="s">
        <v>7662</v>
      </c>
      <c r="U181" t="s">
        <v>7662</v>
      </c>
      <c r="V181" t="s">
        <v>7662</v>
      </c>
      <c r="W181">
        <v>2</v>
      </c>
      <c r="X181" t="s">
        <v>7843</v>
      </c>
      <c r="Y181">
        <v>1.0192009289144821</v>
      </c>
      <c r="Z181" t="str">
        <f>HYPERLINK("Melting_Curves/meltCurve_sp_O60240_PLIN1_HUMAN_.pdf", "Melting_Curves/meltCurve_sp_O60240_PLIN1_HUMAN_.pdf")</f>
        <v>Melting_Curves/meltCurve_sp_O60240_PLIN1_HUMAN_.pdf</v>
      </c>
      <c r="AA181" t="s">
        <v>11671</v>
      </c>
      <c r="AB181" t="s">
        <v>15422</v>
      </c>
    </row>
    <row r="182" spans="1:28" x14ac:dyDescent="0.25">
      <c r="A182" t="s">
        <v>186</v>
      </c>
      <c r="B182">
        <v>0.98876768158843997</v>
      </c>
      <c r="C182">
        <v>1.1268230900401199</v>
      </c>
      <c r="D182">
        <v>1.18595603868454</v>
      </c>
      <c r="E182">
        <v>1.0234718294270999</v>
      </c>
      <c r="F182">
        <v>1.0594627097598599</v>
      </c>
      <c r="G182">
        <v>0.63205528224211505</v>
      </c>
      <c r="H182">
        <v>0.17465046032845699</v>
      </c>
      <c r="I182">
        <v>0.103160299893816</v>
      </c>
      <c r="J182">
        <v>9.3272128549866606E-2</v>
      </c>
      <c r="K182">
        <v>0.130944006554361</v>
      </c>
      <c r="L182">
        <v>3162.64151024686</v>
      </c>
      <c r="M182">
        <v>55.115785333126503</v>
      </c>
      <c r="N182">
        <v>57.657535341490799</v>
      </c>
      <c r="O182">
        <v>57.306380951418703</v>
      </c>
      <c r="P182">
        <v>-0.21258547357853799</v>
      </c>
      <c r="Q182">
        <v>0.115861492299644</v>
      </c>
      <c r="R182">
        <v>0.97168199996216897</v>
      </c>
      <c r="S182" t="s">
        <v>4014</v>
      </c>
      <c r="T182" t="s">
        <v>7662</v>
      </c>
      <c r="U182" t="s">
        <v>7662</v>
      </c>
      <c r="V182" t="s">
        <v>7662</v>
      </c>
      <c r="W182">
        <v>6</v>
      </c>
      <c r="X182" t="s">
        <v>7844</v>
      </c>
      <c r="Y182">
        <v>0.62996223818061359</v>
      </c>
      <c r="Z182" t="str">
        <f>HYPERLINK("Melting_Curves/meltCurve_sp_O60256_KPRB_HUMAN_.pdf", "Melting_Curves/meltCurve_sp_O60256_KPRB_HUMAN_.pdf")</f>
        <v>Melting_Curves/meltCurve_sp_O60256_KPRB_HUMAN_.pdf</v>
      </c>
      <c r="AA182" t="s">
        <v>11672</v>
      </c>
      <c r="AB182" t="s">
        <v>15423</v>
      </c>
    </row>
    <row r="183" spans="1:28" x14ac:dyDescent="0.25">
      <c r="A183" t="s">
        <v>187</v>
      </c>
      <c r="B183">
        <v>0.98876768158843997</v>
      </c>
      <c r="C183">
        <v>1.2083905779945701</v>
      </c>
      <c r="D183">
        <v>1.12344834164893</v>
      </c>
      <c r="E183">
        <v>1.25937639373754</v>
      </c>
      <c r="F183">
        <v>0.93758089849929205</v>
      </c>
      <c r="G183">
        <v>0.65005450983530499</v>
      </c>
      <c r="H183">
        <v>0.51370332901002203</v>
      </c>
      <c r="I183">
        <v>0.36989740733774101</v>
      </c>
      <c r="J183">
        <v>0.22376545134096201</v>
      </c>
      <c r="K183">
        <v>0.125335845060559</v>
      </c>
      <c r="L183">
        <v>1119.4793859966001</v>
      </c>
      <c r="M183">
        <v>18.650312720347401</v>
      </c>
      <c r="N183">
        <v>60.802550354601003</v>
      </c>
      <c r="O183">
        <v>59.347376825610603</v>
      </c>
      <c r="P183">
        <v>-7.0229080590829801E-2</v>
      </c>
      <c r="Q183">
        <v>0.106131287122246</v>
      </c>
      <c r="R183">
        <v>0.90193969352359404</v>
      </c>
      <c r="S183" t="s">
        <v>4015</v>
      </c>
      <c r="T183" t="s">
        <v>7662</v>
      </c>
      <c r="U183" t="s">
        <v>7662</v>
      </c>
      <c r="V183" t="s">
        <v>7662</v>
      </c>
      <c r="W183">
        <v>3</v>
      </c>
      <c r="X183" t="s">
        <v>7845</v>
      </c>
      <c r="Y183">
        <v>0.71018919231202204</v>
      </c>
      <c r="Z183" t="str">
        <f>HYPERLINK("Melting_Curves/meltCurve_sp_O60260_5_PRKN2_HUMAN_.pdf", "Melting_Curves/meltCurve_sp_O60260_5_PRKN2_HUMAN_.pdf")</f>
        <v>Melting_Curves/meltCurve_sp_O60260_5_PRKN2_HUMAN_.pdf</v>
      </c>
      <c r="AA183" t="s">
        <v>11673</v>
      </c>
      <c r="AB183" t="s">
        <v>15424</v>
      </c>
    </row>
    <row r="184" spans="1:28" x14ac:dyDescent="0.25">
      <c r="A184" t="s">
        <v>188</v>
      </c>
      <c r="B184">
        <v>0.98876768158843997</v>
      </c>
      <c r="C184">
        <v>0.97933573863529999</v>
      </c>
      <c r="D184">
        <v>0.93732975563992504</v>
      </c>
      <c r="E184">
        <v>0.721923829107052</v>
      </c>
      <c r="F184">
        <v>0.62819190294585103</v>
      </c>
      <c r="G184">
        <v>0.43731924773893699</v>
      </c>
      <c r="H184">
        <v>0.32307352430299402</v>
      </c>
      <c r="I184">
        <v>0.30176217377345299</v>
      </c>
      <c r="J184">
        <v>0.26338647796263098</v>
      </c>
      <c r="K184">
        <v>0.27802140832356098</v>
      </c>
      <c r="L184">
        <v>756.35000892182802</v>
      </c>
      <c r="M184">
        <v>14.3663912763094</v>
      </c>
      <c r="N184">
        <v>55.2087533280055</v>
      </c>
      <c r="O184">
        <v>51.658631593548797</v>
      </c>
      <c r="P184">
        <v>-5.2618627930318101E-2</v>
      </c>
      <c r="Q184">
        <v>0.243266832420306</v>
      </c>
      <c r="R184">
        <v>0.99629320910019403</v>
      </c>
      <c r="S184" t="s">
        <v>4016</v>
      </c>
      <c r="T184" t="s">
        <v>7662</v>
      </c>
      <c r="U184" t="s">
        <v>7662</v>
      </c>
      <c r="V184" t="s">
        <v>7662</v>
      </c>
      <c r="W184">
        <v>24</v>
      </c>
      <c r="X184" t="s">
        <v>7846</v>
      </c>
      <c r="Y184">
        <v>0.57984520002020046</v>
      </c>
      <c r="Z184" t="str">
        <f>HYPERLINK("Melting_Curves/meltCurve_sp_O60271_4_JIP4_HUMAN_.pdf", "Melting_Curves/meltCurve_sp_O60271_4_JIP4_HUMAN_.pdf")</f>
        <v>Melting_Curves/meltCurve_sp_O60271_4_JIP4_HUMAN_.pdf</v>
      </c>
      <c r="AA184" t="s">
        <v>11674</v>
      </c>
      <c r="AB184" t="s">
        <v>15425</v>
      </c>
    </row>
    <row r="185" spans="1:28" x14ac:dyDescent="0.25">
      <c r="A185" t="s">
        <v>189</v>
      </c>
      <c r="B185">
        <v>0.98876768158843997</v>
      </c>
      <c r="C185">
        <v>1.0992342399539401</v>
      </c>
      <c r="D185">
        <v>1.09174260049884</v>
      </c>
      <c r="E185">
        <v>0.487812790749034</v>
      </c>
      <c r="F185">
        <v>0.112233871522384</v>
      </c>
      <c r="G185">
        <v>9.2082464194470998E-2</v>
      </c>
      <c r="H185">
        <v>0</v>
      </c>
      <c r="I185">
        <v>0</v>
      </c>
      <c r="J185">
        <v>0</v>
      </c>
      <c r="K185">
        <v>0</v>
      </c>
      <c r="L185">
        <v>2518.8977278494299</v>
      </c>
      <c r="M185">
        <v>50.422405431445199</v>
      </c>
      <c r="N185">
        <v>50.004590470765002</v>
      </c>
      <c r="O185">
        <v>49.8775311770261</v>
      </c>
      <c r="P185">
        <v>-0.246679507003917</v>
      </c>
      <c r="Q185">
        <v>2.3945441726136E-2</v>
      </c>
      <c r="R185">
        <v>0.98636144133654702</v>
      </c>
      <c r="S185" t="s">
        <v>4017</v>
      </c>
      <c r="T185" t="s">
        <v>7662</v>
      </c>
      <c r="U185" t="s">
        <v>7662</v>
      </c>
      <c r="V185" t="s">
        <v>7662</v>
      </c>
      <c r="W185">
        <v>1</v>
      </c>
      <c r="X185" t="s">
        <v>7847</v>
      </c>
      <c r="Y185">
        <v>0.34997762392713738</v>
      </c>
      <c r="Z185" t="str">
        <f>HYPERLINK("Melting_Curves/meltCurve_sp_O60341_KDM1A_HUMAN_.pdf", "Melting_Curves/meltCurve_sp_O60341_KDM1A_HUMAN_.pdf")</f>
        <v>Melting_Curves/meltCurve_sp_O60341_KDM1A_HUMAN_.pdf</v>
      </c>
      <c r="AA185" t="s">
        <v>11675</v>
      </c>
      <c r="AB185" t="s">
        <v>15426</v>
      </c>
    </row>
    <row r="186" spans="1:28" x14ac:dyDescent="0.25">
      <c r="A186" t="s">
        <v>190</v>
      </c>
      <c r="B186">
        <v>0.98876768158843997</v>
      </c>
      <c r="C186">
        <v>0.95453554511739802</v>
      </c>
      <c r="D186">
        <v>0.94316266389072601</v>
      </c>
      <c r="E186">
        <v>0.72075552105232299</v>
      </c>
      <c r="F186">
        <v>0.56080285100834804</v>
      </c>
      <c r="G186">
        <v>0.246745221286025</v>
      </c>
      <c r="H186">
        <v>0.13429396334791499</v>
      </c>
      <c r="I186">
        <v>0.10998958426595699</v>
      </c>
      <c r="J186">
        <v>8.4593272270756706E-2</v>
      </c>
      <c r="K186">
        <v>6.3977857864244106E-2</v>
      </c>
      <c r="L186">
        <v>892.21249075629896</v>
      </c>
      <c r="M186">
        <v>16.8395157813152</v>
      </c>
      <c r="N186">
        <v>53.316486587758497</v>
      </c>
      <c r="O186">
        <v>52.252994462445002</v>
      </c>
      <c r="P186">
        <v>-7.6548010621481297E-2</v>
      </c>
      <c r="Q186">
        <v>4.9947456147568903E-2</v>
      </c>
      <c r="R186">
        <v>0.99727086133364895</v>
      </c>
      <c r="S186" t="s">
        <v>4018</v>
      </c>
      <c r="T186" t="s">
        <v>7662</v>
      </c>
      <c r="U186" t="s">
        <v>7662</v>
      </c>
      <c r="V186" t="s">
        <v>7662</v>
      </c>
      <c r="W186">
        <v>5</v>
      </c>
      <c r="X186" t="s">
        <v>7848</v>
      </c>
      <c r="Y186">
        <v>0.47838047498143432</v>
      </c>
      <c r="Z186" t="str">
        <f>HYPERLINK("Melting_Curves/meltCurve_sp_O60343_2_TBCD4_HUMAN_.pdf", "Melting_Curves/meltCurve_sp_O60343_2_TBCD4_HUMAN_.pdf")</f>
        <v>Melting_Curves/meltCurve_sp_O60343_2_TBCD4_HUMAN_.pdf</v>
      </c>
      <c r="AA186" t="s">
        <v>11676</v>
      </c>
      <c r="AB186" t="s">
        <v>15427</v>
      </c>
    </row>
    <row r="187" spans="1:28" x14ac:dyDescent="0.25">
      <c r="A187" t="s">
        <v>191</v>
      </c>
      <c r="B187">
        <v>0.98876768158843997</v>
      </c>
      <c r="C187">
        <v>0.88843206636136796</v>
      </c>
      <c r="D187">
        <v>0.851456869858363</v>
      </c>
      <c r="E187">
        <v>0.61364213529237799</v>
      </c>
      <c r="F187">
        <v>0.64333266522149402</v>
      </c>
      <c r="G187">
        <v>0.413654894825563</v>
      </c>
      <c r="H187">
        <v>0.106354390378422</v>
      </c>
      <c r="I187">
        <v>8.0235123740401398E-2</v>
      </c>
      <c r="J187">
        <v>5.7646145085771802E-2</v>
      </c>
      <c r="K187">
        <v>7.3128274805769999E-2</v>
      </c>
      <c r="L187">
        <v>621.44772809819699</v>
      </c>
      <c r="M187">
        <v>11.5922866803727</v>
      </c>
      <c r="N187">
        <v>53.608725956093799</v>
      </c>
      <c r="O187">
        <v>52.087904283073797</v>
      </c>
      <c r="P187">
        <v>-5.5653425523008802E-2</v>
      </c>
      <c r="Q187">
        <v>0</v>
      </c>
      <c r="R187">
        <v>0.96688109346924</v>
      </c>
      <c r="S187" t="s">
        <v>4019</v>
      </c>
      <c r="T187" t="s">
        <v>7662</v>
      </c>
      <c r="U187" t="s">
        <v>7662</v>
      </c>
      <c r="V187" t="s">
        <v>7662</v>
      </c>
      <c r="W187">
        <v>2</v>
      </c>
      <c r="X187" t="s">
        <v>7849</v>
      </c>
      <c r="Y187">
        <v>0.48162769684656309</v>
      </c>
      <c r="Z187" t="str">
        <f>HYPERLINK("Melting_Curves/meltCurve_sp_O60443_DFNA5_HUMAN_.pdf", "Melting_Curves/meltCurve_sp_O60443_DFNA5_HUMAN_.pdf")</f>
        <v>Melting_Curves/meltCurve_sp_O60443_DFNA5_HUMAN_.pdf</v>
      </c>
      <c r="AA187" t="s">
        <v>11677</v>
      </c>
      <c r="AB187" t="s">
        <v>15428</v>
      </c>
    </row>
    <row r="188" spans="1:28" x14ac:dyDescent="0.25">
      <c r="A188" t="s">
        <v>192</v>
      </c>
      <c r="B188">
        <v>0.98876768158843997</v>
      </c>
      <c r="C188">
        <v>1.1166545925140701</v>
      </c>
      <c r="D188">
        <v>0.82423901591122894</v>
      </c>
      <c r="E188">
        <v>0.507345277254314</v>
      </c>
      <c r="F188">
        <v>0.282708753545243</v>
      </c>
      <c r="G188">
        <v>0.13706203546068799</v>
      </c>
      <c r="H188">
        <v>9.4254820048988497E-2</v>
      </c>
      <c r="I188">
        <v>9.6028414704234094E-2</v>
      </c>
      <c r="J188">
        <v>0.112083874906659</v>
      </c>
      <c r="K188">
        <v>0.119087305096526</v>
      </c>
      <c r="L188">
        <v>1152.9903356013899</v>
      </c>
      <c r="M188">
        <v>23.260581084574898</v>
      </c>
      <c r="N188">
        <v>50.059944571405801</v>
      </c>
      <c r="O188">
        <v>49.2064180059295</v>
      </c>
      <c r="P188">
        <v>-0.106115542719787</v>
      </c>
      <c r="Q188">
        <v>0.102090827116591</v>
      </c>
      <c r="R188">
        <v>0.98423141782874601</v>
      </c>
      <c r="S188" t="s">
        <v>4020</v>
      </c>
      <c r="T188" t="s">
        <v>7662</v>
      </c>
      <c r="U188" t="s">
        <v>7662</v>
      </c>
      <c r="V188" t="s">
        <v>7662</v>
      </c>
      <c r="W188">
        <v>7</v>
      </c>
      <c r="X188" t="s">
        <v>7850</v>
      </c>
      <c r="Y188">
        <v>0.39772706580168138</v>
      </c>
      <c r="Z188" t="str">
        <f>HYPERLINK("Melting_Curves/meltCurve_sp_O60493_SNX3_HUMAN_.pdf", "Melting_Curves/meltCurve_sp_O60493_SNX3_HUMAN_.pdf")</f>
        <v>Melting_Curves/meltCurve_sp_O60493_SNX3_HUMAN_.pdf</v>
      </c>
      <c r="AA188" t="s">
        <v>11678</v>
      </c>
      <c r="AB188" t="s">
        <v>15429</v>
      </c>
    </row>
    <row r="189" spans="1:28" x14ac:dyDescent="0.25">
      <c r="A189" t="s">
        <v>193</v>
      </c>
      <c r="B189">
        <v>0.98876768158843997</v>
      </c>
      <c r="C189">
        <v>1.09736142202261</v>
      </c>
      <c r="D189">
        <v>0.89636330184286395</v>
      </c>
      <c r="E189">
        <v>0.73014123401833497</v>
      </c>
      <c r="F189">
        <v>0.77772414700096604</v>
      </c>
      <c r="G189">
        <v>0.44379677267440898</v>
      </c>
      <c r="H189">
        <v>0.23520227195572199</v>
      </c>
      <c r="I189">
        <v>0.17840998949868001</v>
      </c>
      <c r="J189">
        <v>0.15037670461618199</v>
      </c>
      <c r="K189">
        <v>0.136993802078969</v>
      </c>
      <c r="L189">
        <v>756.63602889476897</v>
      </c>
      <c r="M189">
        <v>13.634200611503999</v>
      </c>
      <c r="N189">
        <v>56.032484271976799</v>
      </c>
      <c r="O189">
        <v>54.342429175259603</v>
      </c>
      <c r="P189">
        <v>-5.8890437730454097E-2</v>
      </c>
      <c r="Q189">
        <v>6.1248994413660302E-2</v>
      </c>
      <c r="R189">
        <v>0.97024899633844897</v>
      </c>
      <c r="S189" t="s">
        <v>4021</v>
      </c>
      <c r="T189" t="s">
        <v>7662</v>
      </c>
      <c r="U189" t="s">
        <v>7662</v>
      </c>
      <c r="V189" t="s">
        <v>7662</v>
      </c>
      <c r="W189">
        <v>11</v>
      </c>
      <c r="X189" t="s">
        <v>7851</v>
      </c>
      <c r="Y189">
        <v>0.56507373773756053</v>
      </c>
      <c r="Z189" t="str">
        <f>HYPERLINK("Melting_Curves/meltCurve_sp_O60504_2_VINEX_HUMAN_.pdf", "Melting_Curves/meltCurve_sp_O60504_2_VINEX_HUMAN_.pdf")</f>
        <v>Melting_Curves/meltCurve_sp_O60504_2_VINEX_HUMAN_.pdf</v>
      </c>
      <c r="AA189" t="s">
        <v>11679</v>
      </c>
      <c r="AB189" t="s">
        <v>15430</v>
      </c>
    </row>
    <row r="190" spans="1:28" x14ac:dyDescent="0.25">
      <c r="A190" t="s">
        <v>194</v>
      </c>
      <c r="B190">
        <v>0.98876768158843997</v>
      </c>
      <c r="C190">
        <v>0.97970521498028995</v>
      </c>
      <c r="D190">
        <v>0.95448813771657104</v>
      </c>
      <c r="E190">
        <v>0.82900009643640504</v>
      </c>
      <c r="F190">
        <v>0.57155945833285404</v>
      </c>
      <c r="G190">
        <v>0.18741243985140199</v>
      </c>
      <c r="H190">
        <v>8.1687450424193397E-2</v>
      </c>
      <c r="I190">
        <v>7.1498669068929294E-2</v>
      </c>
      <c r="J190">
        <v>8.1396119972227204E-2</v>
      </c>
      <c r="K190">
        <v>7.3196478791705905E-2</v>
      </c>
      <c r="L190">
        <v>1353.41988679528</v>
      </c>
      <c r="M190">
        <v>25.4549793474742</v>
      </c>
      <c r="N190">
        <v>53.445456747429702</v>
      </c>
      <c r="O190">
        <v>52.8442711780772</v>
      </c>
      <c r="P190">
        <v>-0.11300154270922901</v>
      </c>
      <c r="Q190">
        <v>6.1651657130578998E-2</v>
      </c>
      <c r="R190">
        <v>0.99825930758246195</v>
      </c>
      <c r="S190" t="s">
        <v>4022</v>
      </c>
      <c r="T190" t="s">
        <v>7662</v>
      </c>
      <c r="U190" t="s">
        <v>7662</v>
      </c>
      <c r="V190" t="s">
        <v>7662</v>
      </c>
      <c r="W190">
        <v>15</v>
      </c>
      <c r="X190" t="s">
        <v>7852</v>
      </c>
      <c r="Y190">
        <v>0.48192227585544861</v>
      </c>
      <c r="Z190" t="str">
        <f>HYPERLINK("Melting_Curves/meltCurve_sp_O60506_2_HNRPQ_HUMAN_.pdf", "Melting_Curves/meltCurve_sp_O60506_2_HNRPQ_HUMAN_.pdf")</f>
        <v>Melting_Curves/meltCurve_sp_O60506_2_HNRPQ_HUMAN_.pdf</v>
      </c>
      <c r="AA190" t="s">
        <v>11680</v>
      </c>
      <c r="AB190" t="s">
        <v>15431</v>
      </c>
    </row>
    <row r="191" spans="1:28" x14ac:dyDescent="0.25">
      <c r="A191" t="s">
        <v>195</v>
      </c>
      <c r="B191">
        <v>0.98876768158843997</v>
      </c>
      <c r="C191">
        <v>0.78172947712223795</v>
      </c>
      <c r="D191">
        <v>0.944230621479624</v>
      </c>
      <c r="E191">
        <v>0.52761970863633501</v>
      </c>
      <c r="F191">
        <v>0.11287015971749299</v>
      </c>
      <c r="G191">
        <v>5.7017820479627397E-2</v>
      </c>
      <c r="H191">
        <v>1.2394223967402199E-2</v>
      </c>
      <c r="I191">
        <v>1.32538092715215E-2</v>
      </c>
      <c r="J191">
        <v>2.5058995188869702E-2</v>
      </c>
      <c r="K191">
        <v>0</v>
      </c>
      <c r="L191">
        <v>1657.8681752146099</v>
      </c>
      <c r="M191">
        <v>33.144454870944301</v>
      </c>
      <c r="N191">
        <v>50.060077295731602</v>
      </c>
      <c r="O191">
        <v>49.838458357063402</v>
      </c>
      <c r="P191">
        <v>-0.16405538922834301</v>
      </c>
      <c r="Q191">
        <v>1.32612752902864E-2</v>
      </c>
      <c r="R191">
        <v>0.96923914077693496</v>
      </c>
      <c r="S191" t="s">
        <v>4023</v>
      </c>
      <c r="T191" t="s">
        <v>7662</v>
      </c>
      <c r="U191" t="s">
        <v>7662</v>
      </c>
      <c r="V191" t="s">
        <v>7662</v>
      </c>
      <c r="W191">
        <v>5</v>
      </c>
      <c r="X191" t="s">
        <v>7853</v>
      </c>
      <c r="Y191">
        <v>0.34780465912989378</v>
      </c>
      <c r="Z191" t="str">
        <f>HYPERLINK("Melting_Curves/meltCurve_sp_O60518_RNBP6_HUMAN_.pdf", "Melting_Curves/meltCurve_sp_O60518_RNBP6_HUMAN_.pdf")</f>
        <v>Melting_Curves/meltCurve_sp_O60518_RNBP6_HUMAN_.pdf</v>
      </c>
      <c r="AA191" t="s">
        <v>11681</v>
      </c>
      <c r="AB191" t="s">
        <v>15432</v>
      </c>
    </row>
    <row r="192" spans="1:28" x14ac:dyDescent="0.25">
      <c r="A192" t="s">
        <v>196</v>
      </c>
      <c r="B192">
        <v>0.98876768158843997</v>
      </c>
      <c r="C192">
        <v>0.95806027364845403</v>
      </c>
      <c r="D192">
        <v>0.87501531156522605</v>
      </c>
      <c r="E192">
        <v>0.47666125266312398</v>
      </c>
      <c r="F192">
        <v>0.15810729069468399</v>
      </c>
      <c r="G192">
        <v>8.2340106623233406E-2</v>
      </c>
      <c r="H192">
        <v>4.67654851915607E-2</v>
      </c>
      <c r="I192">
        <v>4.41168514610977E-2</v>
      </c>
      <c r="J192">
        <v>5.63146032415026E-2</v>
      </c>
      <c r="K192">
        <v>4.2653279172297699E-2</v>
      </c>
      <c r="L192">
        <v>1300.0525639392599</v>
      </c>
      <c r="M192">
        <v>26.272671114548199</v>
      </c>
      <c r="N192">
        <v>49.6555073328134</v>
      </c>
      <c r="O192">
        <v>49.199061375171603</v>
      </c>
      <c r="P192">
        <v>-0.12768293457522101</v>
      </c>
      <c r="Q192">
        <v>4.3597639496896101E-2</v>
      </c>
      <c r="R192">
        <v>0.99855219514811</v>
      </c>
      <c r="S192" t="s">
        <v>4024</v>
      </c>
      <c r="T192" t="s">
        <v>7662</v>
      </c>
      <c r="U192" t="s">
        <v>7662</v>
      </c>
      <c r="V192" t="s">
        <v>7662</v>
      </c>
      <c r="W192">
        <v>8</v>
      </c>
      <c r="X192" t="s">
        <v>7854</v>
      </c>
      <c r="Y192">
        <v>0.35360702520242798</v>
      </c>
      <c r="Z192" t="str">
        <f>HYPERLINK("Melting_Curves/meltCurve_sp_O60547_2_GMDS_HUMAN_.pdf", "Melting_Curves/meltCurve_sp_O60547_2_GMDS_HUMAN_.pdf")</f>
        <v>Melting_Curves/meltCurve_sp_O60547_2_GMDS_HUMAN_.pdf</v>
      </c>
      <c r="AA192" t="s">
        <v>11682</v>
      </c>
      <c r="AB192" t="s">
        <v>15433</v>
      </c>
    </row>
    <row r="193" spans="1:28" x14ac:dyDescent="0.25">
      <c r="A193" t="s">
        <v>197</v>
      </c>
      <c r="B193">
        <v>0.98876768158843997</v>
      </c>
      <c r="C193">
        <v>0.95154054575265701</v>
      </c>
      <c r="D193">
        <v>0.85940925131561396</v>
      </c>
      <c r="E193">
        <v>0.54535418311199702</v>
      </c>
      <c r="F193">
        <v>0.29079671861679601</v>
      </c>
      <c r="G193">
        <v>0.19695768176317799</v>
      </c>
      <c r="H193">
        <v>0.15558993248400299</v>
      </c>
      <c r="I193">
        <v>0.18318830723562199</v>
      </c>
      <c r="J193">
        <v>0.16128591910330001</v>
      </c>
      <c r="K193">
        <v>0.22856745108257201</v>
      </c>
      <c r="L193">
        <v>1151.0489846053999</v>
      </c>
      <c r="M193">
        <v>23.3381756647779</v>
      </c>
      <c r="N193">
        <v>50.242275567334602</v>
      </c>
      <c r="O193">
        <v>48.962613246446097</v>
      </c>
      <c r="P193">
        <v>-9.8411762756998894E-2</v>
      </c>
      <c r="Q193">
        <v>0.1741580763027</v>
      </c>
      <c r="R193">
        <v>0.99479336031482501</v>
      </c>
      <c r="S193" t="s">
        <v>4025</v>
      </c>
      <c r="T193" t="s">
        <v>7662</v>
      </c>
      <c r="U193" t="s">
        <v>7662</v>
      </c>
      <c r="V193" t="s">
        <v>7662</v>
      </c>
      <c r="W193">
        <v>2</v>
      </c>
      <c r="X193" t="s">
        <v>7855</v>
      </c>
      <c r="Y193">
        <v>0.43917253938572642</v>
      </c>
      <c r="Z193" t="str">
        <f>HYPERLINK("Melting_Curves/meltCurve_sp_O60551_NMT2_HUMAN_.pdf", "Melting_Curves/meltCurve_sp_O60551_NMT2_HUMAN_.pdf")</f>
        <v>Melting_Curves/meltCurve_sp_O60551_NMT2_HUMAN_.pdf</v>
      </c>
      <c r="AA193" t="s">
        <v>11683</v>
      </c>
      <c r="AB193" t="s">
        <v>15434</v>
      </c>
    </row>
    <row r="194" spans="1:28" x14ac:dyDescent="0.25">
      <c r="A194" t="s">
        <v>198</v>
      </c>
      <c r="B194">
        <v>0.98876768158843997</v>
      </c>
      <c r="C194">
        <v>0.88490131738022204</v>
      </c>
      <c r="D194">
        <v>0.97403001184888405</v>
      </c>
      <c r="E194">
        <v>0.78059554765371997</v>
      </c>
      <c r="F194">
        <v>0.51441872534538202</v>
      </c>
      <c r="G194">
        <v>0.30295312663503998</v>
      </c>
      <c r="H194">
        <v>0.22480461790502199</v>
      </c>
      <c r="I194">
        <v>0.27003950193110798</v>
      </c>
      <c r="J194">
        <v>0.34581486886020102</v>
      </c>
      <c r="K194">
        <v>0.34013304807726902</v>
      </c>
      <c r="L194">
        <v>1522.28022427732</v>
      </c>
      <c r="M194">
        <v>29.603703770396699</v>
      </c>
      <c r="N194">
        <v>52.971417211900203</v>
      </c>
      <c r="O194">
        <v>51.1890197120198</v>
      </c>
      <c r="P194">
        <v>-0.102700252410242</v>
      </c>
      <c r="Q194">
        <v>0.28967143051508998</v>
      </c>
      <c r="R194">
        <v>0.97119156329122802</v>
      </c>
      <c r="S194" t="s">
        <v>4026</v>
      </c>
      <c r="T194" t="s">
        <v>7662</v>
      </c>
      <c r="U194" t="s">
        <v>7662</v>
      </c>
      <c r="V194" t="s">
        <v>7662</v>
      </c>
      <c r="W194">
        <v>3</v>
      </c>
      <c r="X194" t="s">
        <v>7856</v>
      </c>
      <c r="Y194">
        <v>0.56473383423485946</v>
      </c>
      <c r="Z194" t="str">
        <f>HYPERLINK("Melting_Curves/meltCurve_sp_O60613_SEP15_HUMAN_.pdf", "Melting_Curves/meltCurve_sp_O60613_SEP15_HUMAN_.pdf")</f>
        <v>Melting_Curves/meltCurve_sp_O60613_SEP15_HUMAN_.pdf</v>
      </c>
      <c r="AA194" t="s">
        <v>11684</v>
      </c>
      <c r="AB194" t="s">
        <v>15435</v>
      </c>
    </row>
    <row r="195" spans="1:28" x14ac:dyDescent="0.25">
      <c r="A195" t="s">
        <v>199</v>
      </c>
      <c r="B195">
        <v>0.98876768158843997</v>
      </c>
      <c r="C195">
        <v>0.935155821241061</v>
      </c>
      <c r="D195">
        <v>1.10981606914016</v>
      </c>
      <c r="E195">
        <v>0.51000910077698602</v>
      </c>
      <c r="F195">
        <v>0.15690632390085801</v>
      </c>
      <c r="G195">
        <v>0.102728927079726</v>
      </c>
      <c r="H195">
        <v>4.6290743404614199E-2</v>
      </c>
      <c r="I195">
        <v>5.9404959123282197E-2</v>
      </c>
      <c r="J195">
        <v>3.5919922631537801E-2</v>
      </c>
      <c r="K195">
        <v>1.88954124154063E-2</v>
      </c>
      <c r="L195">
        <v>2447.6764523599099</v>
      </c>
      <c r="M195">
        <v>48.965494155254099</v>
      </c>
      <c r="N195">
        <v>50.1161608114394</v>
      </c>
      <c r="O195">
        <v>49.904628712327799</v>
      </c>
      <c r="P195">
        <v>-0.230838403934227</v>
      </c>
      <c r="Q195">
        <v>5.8937987165745401E-2</v>
      </c>
      <c r="R195">
        <v>0.98589089034898003</v>
      </c>
      <c r="S195" t="s">
        <v>4027</v>
      </c>
      <c r="T195" t="s">
        <v>7662</v>
      </c>
      <c r="U195" t="s">
        <v>7662</v>
      </c>
      <c r="V195" t="s">
        <v>7662</v>
      </c>
      <c r="W195">
        <v>5</v>
      </c>
      <c r="X195" t="s">
        <v>7857</v>
      </c>
      <c r="Y195">
        <v>0.37440625929857901</v>
      </c>
      <c r="Z195" t="str">
        <f>HYPERLINK("Melting_Curves/meltCurve_sp_O60645_3_EXOC3_HUMAN_.pdf", "Melting_Curves/meltCurve_sp_O60645_3_EXOC3_HUMAN_.pdf")</f>
        <v>Melting_Curves/meltCurve_sp_O60645_3_EXOC3_HUMAN_.pdf</v>
      </c>
      <c r="AA195" t="s">
        <v>11685</v>
      </c>
      <c r="AB195" t="s">
        <v>15436</v>
      </c>
    </row>
    <row r="196" spans="1:28" x14ac:dyDescent="0.25">
      <c r="A196" t="s">
        <v>200</v>
      </c>
      <c r="B196">
        <v>0.98876768158843997</v>
      </c>
      <c r="C196">
        <v>1.0069444072502201</v>
      </c>
      <c r="D196">
        <v>0.86149780620386296</v>
      </c>
      <c r="E196">
        <v>0.61337757248878999</v>
      </c>
      <c r="F196">
        <v>0.65960175422796996</v>
      </c>
      <c r="G196">
        <v>0.45217631555916299</v>
      </c>
      <c r="H196">
        <v>0.29904246659588102</v>
      </c>
      <c r="I196">
        <v>0.29405651131716198</v>
      </c>
      <c r="J196">
        <v>0.40994812374509598</v>
      </c>
      <c r="K196">
        <v>0.391783918363169</v>
      </c>
      <c r="L196">
        <v>744.06097147901005</v>
      </c>
      <c r="M196">
        <v>14.7312043052703</v>
      </c>
      <c r="N196">
        <v>54.6209148652853</v>
      </c>
      <c r="O196">
        <v>49.605791914254297</v>
      </c>
      <c r="P196">
        <v>-4.93725794585851E-2</v>
      </c>
      <c r="Q196">
        <v>0.33504409110894701</v>
      </c>
      <c r="R196">
        <v>0.94465312885982899</v>
      </c>
      <c r="S196" t="s">
        <v>4028</v>
      </c>
      <c r="T196" t="s">
        <v>7662</v>
      </c>
      <c r="U196" t="s">
        <v>7662</v>
      </c>
      <c r="V196" t="s">
        <v>7662</v>
      </c>
      <c r="W196">
        <v>10</v>
      </c>
      <c r="X196" t="s">
        <v>7858</v>
      </c>
      <c r="Y196">
        <v>0.58407282635419466</v>
      </c>
      <c r="Z196" t="str">
        <f>HYPERLINK("Melting_Curves/meltCurve_sp_O60664_4_PLIN3_HUMAN_.pdf", "Melting_Curves/meltCurve_sp_O60664_4_PLIN3_HUMAN_.pdf")</f>
        <v>Melting_Curves/meltCurve_sp_O60664_4_PLIN3_HUMAN_.pdf</v>
      </c>
      <c r="AA196" t="s">
        <v>11686</v>
      </c>
      <c r="AB196" t="s">
        <v>15437</v>
      </c>
    </row>
    <row r="197" spans="1:28" x14ac:dyDescent="0.25">
      <c r="A197" t="s">
        <v>201</v>
      </c>
      <c r="B197">
        <v>0.98876768158843997</v>
      </c>
      <c r="C197">
        <v>0.81086076421892295</v>
      </c>
      <c r="D197">
        <v>0.81169079747780604</v>
      </c>
      <c r="E197">
        <v>0.78434638077933505</v>
      </c>
      <c r="F197">
        <v>0.52092558815162004</v>
      </c>
      <c r="G197">
        <v>0.39323106901244698</v>
      </c>
      <c r="H197">
        <v>0.22225725397943</v>
      </c>
      <c r="I197">
        <v>0.115625877341091</v>
      </c>
      <c r="J197">
        <v>0.125060803009999</v>
      </c>
      <c r="K197">
        <v>7.1585417515274793E-2</v>
      </c>
      <c r="L197">
        <v>549.20937231014204</v>
      </c>
      <c r="M197">
        <v>10.1923988593066</v>
      </c>
      <c r="N197">
        <v>53.884210838630899</v>
      </c>
      <c r="O197">
        <v>51.933468003389699</v>
      </c>
      <c r="P197">
        <v>-4.9086880113590199E-2</v>
      </c>
      <c r="Q197">
        <v>0</v>
      </c>
      <c r="R197">
        <v>0.97205142821544999</v>
      </c>
      <c r="S197" t="s">
        <v>4029</v>
      </c>
      <c r="T197" t="s">
        <v>7662</v>
      </c>
      <c r="U197" t="s">
        <v>7662</v>
      </c>
      <c r="V197" t="s">
        <v>7662</v>
      </c>
      <c r="W197">
        <v>2</v>
      </c>
      <c r="X197" t="s">
        <v>7859</v>
      </c>
      <c r="Y197">
        <v>0.49307955719155733</v>
      </c>
      <c r="Z197" t="str">
        <f>HYPERLINK("Melting_Curves/meltCurve_sp_O60671_RAD1_HUMAN_.pdf", "Melting_Curves/meltCurve_sp_O60671_RAD1_HUMAN_.pdf")</f>
        <v>Melting_Curves/meltCurve_sp_O60671_RAD1_HUMAN_.pdf</v>
      </c>
      <c r="AA197" t="s">
        <v>11687</v>
      </c>
      <c r="AB197" t="s">
        <v>15438</v>
      </c>
    </row>
    <row r="198" spans="1:28" x14ac:dyDescent="0.25">
      <c r="A198" t="s">
        <v>202</v>
      </c>
      <c r="B198">
        <v>0.98876768158843997</v>
      </c>
      <c r="C198">
        <v>0.61029582802693305</v>
      </c>
      <c r="D198">
        <v>0.99398020535199405</v>
      </c>
      <c r="E198">
        <v>0.40758871080102799</v>
      </c>
      <c r="F198">
        <v>0.13053427932162301</v>
      </c>
      <c r="G198">
        <v>7.3942933264424499E-2</v>
      </c>
      <c r="H198">
        <v>4.82179037871922E-2</v>
      </c>
      <c r="I198">
        <v>4.59347193712204E-2</v>
      </c>
      <c r="J198">
        <v>5.1004663294057201E-2</v>
      </c>
      <c r="K198">
        <v>4.3472175044083003E-2</v>
      </c>
      <c r="L198">
        <v>1770.1839393005901</v>
      </c>
      <c r="M198">
        <v>35.864131061619602</v>
      </c>
      <c r="N198">
        <v>49.506039953999</v>
      </c>
      <c r="O198">
        <v>49.205354869988</v>
      </c>
      <c r="P198">
        <v>-0.17295615094741601</v>
      </c>
      <c r="Q198">
        <v>5.0824173641127998E-2</v>
      </c>
      <c r="R198">
        <v>0.88975521875397201</v>
      </c>
      <c r="S198" t="s">
        <v>4030</v>
      </c>
      <c r="T198" t="s">
        <v>7662</v>
      </c>
      <c r="U198" t="s">
        <v>7662</v>
      </c>
      <c r="V198" t="s">
        <v>7662</v>
      </c>
      <c r="W198">
        <v>23</v>
      </c>
      <c r="X198" t="s">
        <v>7860</v>
      </c>
      <c r="Y198">
        <v>0.35094774221762981</v>
      </c>
      <c r="Z198" t="str">
        <f>HYPERLINK("Melting_Curves/meltCurve_sp_O60701_UGDH_HUMAN_.pdf", "Melting_Curves/meltCurve_sp_O60701_UGDH_HUMAN_.pdf")</f>
        <v>Melting_Curves/meltCurve_sp_O60701_UGDH_HUMAN_.pdf</v>
      </c>
      <c r="AA198" t="s">
        <v>11688</v>
      </c>
      <c r="AB198" t="s">
        <v>15439</v>
      </c>
    </row>
    <row r="199" spans="1:28" x14ac:dyDescent="0.25">
      <c r="A199" t="s">
        <v>203</v>
      </c>
      <c r="B199">
        <v>0.98876768158843997</v>
      </c>
      <c r="C199">
        <v>0.96503398702461995</v>
      </c>
      <c r="D199">
        <v>0.71975575739681497</v>
      </c>
      <c r="E199">
        <v>0.50133829712967903</v>
      </c>
      <c r="F199">
        <v>0.62075131009879803</v>
      </c>
      <c r="G199">
        <v>0.43256333735050201</v>
      </c>
      <c r="H199">
        <v>0.34220177799407803</v>
      </c>
      <c r="I199">
        <v>0.44838709890621797</v>
      </c>
      <c r="J199">
        <v>0.54051871724028799</v>
      </c>
      <c r="K199">
        <v>0.66261435169183203</v>
      </c>
      <c r="L199">
        <v>1747.7827246624399</v>
      </c>
      <c r="M199">
        <v>38.256333405023902</v>
      </c>
      <c r="O199">
        <v>45.561803108919499</v>
      </c>
      <c r="P199">
        <v>-0.10410920984427099</v>
      </c>
      <c r="Q199">
        <v>0.50404117034066598</v>
      </c>
      <c r="R199">
        <v>0.82637779667013</v>
      </c>
      <c r="S199" t="s">
        <v>4031</v>
      </c>
      <c r="T199" t="s">
        <v>7662</v>
      </c>
      <c r="U199" t="s">
        <v>7662</v>
      </c>
      <c r="V199" t="s">
        <v>7662</v>
      </c>
      <c r="W199">
        <v>11</v>
      </c>
      <c r="X199" t="s">
        <v>7861</v>
      </c>
      <c r="Y199">
        <v>0.59982047965280061</v>
      </c>
      <c r="Z199" t="str">
        <f>HYPERLINK("Melting_Curves/meltCurve_sp_O60716_5_CTND1_HUMAN_.pdf", "Melting_Curves/meltCurve_sp_O60716_5_CTND1_HUMAN_.pdf")</f>
        <v>Melting_Curves/meltCurve_sp_O60716_5_CTND1_HUMAN_.pdf</v>
      </c>
      <c r="AA199" t="s">
        <v>11689</v>
      </c>
      <c r="AB199" t="s">
        <v>15440</v>
      </c>
    </row>
    <row r="200" spans="1:28" x14ac:dyDescent="0.25">
      <c r="A200" t="s">
        <v>204</v>
      </c>
      <c r="B200">
        <v>0.98876768158843997</v>
      </c>
      <c r="C200">
        <v>1.01912357603123</v>
      </c>
      <c r="D200">
        <v>0.87291693683382399</v>
      </c>
      <c r="E200">
        <v>0.58413389541438299</v>
      </c>
      <c r="F200">
        <v>0.20502375341093099</v>
      </c>
      <c r="G200">
        <v>0.114039737787138</v>
      </c>
      <c r="H200">
        <v>6.2166227003410998E-2</v>
      </c>
      <c r="I200">
        <v>5.3472688125048698E-2</v>
      </c>
      <c r="J200">
        <v>7.0691720010126802E-2</v>
      </c>
      <c r="K200">
        <v>6.1114902779202E-2</v>
      </c>
      <c r="L200">
        <v>1320.31130431523</v>
      </c>
      <c r="M200">
        <v>26.321062788168401</v>
      </c>
      <c r="N200">
        <v>50.398912920929497</v>
      </c>
      <c r="O200">
        <v>49.874913626794502</v>
      </c>
      <c r="P200">
        <v>-0.124252614813623</v>
      </c>
      <c r="Q200">
        <v>5.8241553965745499E-2</v>
      </c>
      <c r="R200">
        <v>0.99588581319527003</v>
      </c>
      <c r="S200" t="s">
        <v>4032</v>
      </c>
      <c r="T200" t="s">
        <v>7662</v>
      </c>
      <c r="U200" t="s">
        <v>7662</v>
      </c>
      <c r="V200" t="s">
        <v>7662</v>
      </c>
      <c r="W200">
        <v>15</v>
      </c>
      <c r="X200" t="s">
        <v>7862</v>
      </c>
      <c r="Y200">
        <v>0.3848427818625908</v>
      </c>
      <c r="Z200" t="str">
        <f>HYPERLINK("Melting_Curves/meltCurve_sp_O60749_SNX2_HUMAN_.pdf", "Melting_Curves/meltCurve_sp_O60749_SNX2_HUMAN_.pdf")</f>
        <v>Melting_Curves/meltCurve_sp_O60749_SNX2_HUMAN_.pdf</v>
      </c>
      <c r="AA200" t="s">
        <v>11690</v>
      </c>
      <c r="AB200" t="s">
        <v>15441</v>
      </c>
    </row>
    <row r="201" spans="1:28" x14ac:dyDescent="0.25">
      <c r="A201" t="s">
        <v>205</v>
      </c>
      <c r="B201">
        <v>0.98876768158843997</v>
      </c>
      <c r="C201">
        <v>0.864093827147841</v>
      </c>
      <c r="D201">
        <v>0.99898506135376497</v>
      </c>
      <c r="E201">
        <v>0.88547604838532301</v>
      </c>
      <c r="F201">
        <v>0.58672654880777897</v>
      </c>
      <c r="G201">
        <v>0.174751297617597</v>
      </c>
      <c r="H201">
        <v>7.4122503101834603E-2</v>
      </c>
      <c r="I201">
        <v>6.1434007521949399E-2</v>
      </c>
      <c r="J201">
        <v>7.9574992494962707E-2</v>
      </c>
      <c r="K201">
        <v>6.6360395433681996E-2</v>
      </c>
      <c r="L201">
        <v>1630.7666545191701</v>
      </c>
      <c r="M201">
        <v>30.559396343593601</v>
      </c>
      <c r="N201">
        <v>53.599094761513904</v>
      </c>
      <c r="O201">
        <v>53.136887196204</v>
      </c>
      <c r="P201">
        <v>-0.134753747751332</v>
      </c>
      <c r="Q201">
        <v>6.2762733918290403E-2</v>
      </c>
      <c r="R201">
        <v>0.98825965054243103</v>
      </c>
      <c r="S201" t="s">
        <v>4033</v>
      </c>
      <c r="T201" t="s">
        <v>7662</v>
      </c>
      <c r="U201" t="s">
        <v>7662</v>
      </c>
      <c r="V201" t="s">
        <v>7662</v>
      </c>
      <c r="W201">
        <v>33</v>
      </c>
      <c r="X201" t="s">
        <v>7863</v>
      </c>
      <c r="Y201">
        <v>0.4861574062738202</v>
      </c>
      <c r="Z201" t="str">
        <f>HYPERLINK("Melting_Curves/meltCurve_sp_O60763_USO1_HUMAN_.pdf", "Melting_Curves/meltCurve_sp_O60763_USO1_HUMAN_.pdf")</f>
        <v>Melting_Curves/meltCurve_sp_O60763_USO1_HUMAN_.pdf</v>
      </c>
      <c r="AA201" t="s">
        <v>11691</v>
      </c>
      <c r="AB201" t="s">
        <v>15442</v>
      </c>
    </row>
    <row r="202" spans="1:28" x14ac:dyDescent="0.25">
      <c r="A202" t="s">
        <v>206</v>
      </c>
      <c r="B202">
        <v>0.98876768158843997</v>
      </c>
      <c r="C202">
        <v>0.89833478417624801</v>
      </c>
      <c r="D202">
        <v>1.0153936536345201</v>
      </c>
      <c r="E202">
        <v>0.67327869644037497</v>
      </c>
      <c r="F202">
        <v>0.16718933572307701</v>
      </c>
      <c r="G202">
        <v>9.3703947341412505E-2</v>
      </c>
      <c r="H202">
        <v>5.6957340167884202E-2</v>
      </c>
      <c r="I202">
        <v>5.3296839888454003E-2</v>
      </c>
      <c r="J202">
        <v>5.2275059230840797E-2</v>
      </c>
      <c r="K202">
        <v>5.4812826708554002E-2</v>
      </c>
      <c r="L202">
        <v>2370.21537996399</v>
      </c>
      <c r="M202">
        <v>46.770919046803797</v>
      </c>
      <c r="N202">
        <v>50.818169232681797</v>
      </c>
      <c r="O202">
        <v>50.584730978965098</v>
      </c>
      <c r="P202">
        <v>-0.21708095940347399</v>
      </c>
      <c r="Q202">
        <v>6.0871969227945799E-2</v>
      </c>
      <c r="R202">
        <v>0.99287842499512102</v>
      </c>
      <c r="S202" t="s">
        <v>4034</v>
      </c>
      <c r="T202" t="s">
        <v>7662</v>
      </c>
      <c r="U202" t="s">
        <v>7662</v>
      </c>
      <c r="V202" t="s">
        <v>7662</v>
      </c>
      <c r="W202">
        <v>13</v>
      </c>
      <c r="X202" t="s">
        <v>7864</v>
      </c>
      <c r="Y202">
        <v>0.39751236956959451</v>
      </c>
      <c r="Z202" t="str">
        <f>HYPERLINK("Melting_Curves/meltCurve_sp_O60826_CCD22_HUMAN_.pdf", "Melting_Curves/meltCurve_sp_O60826_CCD22_HUMAN_.pdf")</f>
        <v>Melting_Curves/meltCurve_sp_O60826_CCD22_HUMAN_.pdf</v>
      </c>
      <c r="AA202" t="s">
        <v>11692</v>
      </c>
      <c r="AB202" t="s">
        <v>15443</v>
      </c>
    </row>
    <row r="203" spans="1:28" x14ac:dyDescent="0.25">
      <c r="A203" t="s">
        <v>207</v>
      </c>
      <c r="B203">
        <v>0.98876768158843997</v>
      </c>
      <c r="C203">
        <v>1.0685186891744201</v>
      </c>
      <c r="D203">
        <v>0.93558015340817102</v>
      </c>
      <c r="E203">
        <v>0.72275974364731299</v>
      </c>
      <c r="F203">
        <v>0.74641125078568205</v>
      </c>
      <c r="G203">
        <v>0.50056663667307799</v>
      </c>
      <c r="H203">
        <v>0.39587878498265899</v>
      </c>
      <c r="I203">
        <v>0.481516289475243</v>
      </c>
      <c r="J203">
        <v>0.52469490004666797</v>
      </c>
      <c r="K203">
        <v>0.707353810129278</v>
      </c>
      <c r="L203">
        <v>1111.3904888544801</v>
      </c>
      <c r="M203">
        <v>22.098165914599601</v>
      </c>
      <c r="O203">
        <v>49.886910211358398</v>
      </c>
      <c r="P203">
        <v>-5.2669884715364199E-2</v>
      </c>
      <c r="Q203">
        <v>0.52439850253784803</v>
      </c>
      <c r="R203">
        <v>0.83950339025482901</v>
      </c>
      <c r="S203" t="s">
        <v>4035</v>
      </c>
      <c r="T203" t="s">
        <v>7662</v>
      </c>
      <c r="U203" t="s">
        <v>7662</v>
      </c>
      <c r="V203" t="s">
        <v>7662</v>
      </c>
      <c r="W203">
        <v>4</v>
      </c>
      <c r="X203" t="s">
        <v>7865</v>
      </c>
      <c r="Y203">
        <v>0.69302878031980852</v>
      </c>
      <c r="Z203" t="str">
        <f>HYPERLINK("Melting_Curves/meltCurve_sp_O60828_2_PQBP1_HUMAN_.pdf", "Melting_Curves/meltCurve_sp_O60828_2_PQBP1_HUMAN_.pdf")</f>
        <v>Melting_Curves/meltCurve_sp_O60828_2_PQBP1_HUMAN_.pdf</v>
      </c>
      <c r="AA203" t="s">
        <v>11693</v>
      </c>
      <c r="AB203" t="s">
        <v>15444</v>
      </c>
    </row>
    <row r="204" spans="1:28" x14ac:dyDescent="0.25">
      <c r="A204" t="s">
        <v>208</v>
      </c>
      <c r="B204">
        <v>0.98876768158843997</v>
      </c>
      <c r="C204">
        <v>0.97679664176589898</v>
      </c>
      <c r="D204">
        <v>0.96645255670709895</v>
      </c>
      <c r="E204">
        <v>0.79722405363539295</v>
      </c>
      <c r="F204">
        <v>0.42453751683505497</v>
      </c>
      <c r="G204">
        <v>0.22575439811581199</v>
      </c>
      <c r="H204">
        <v>0.136512953673465</v>
      </c>
      <c r="I204">
        <v>0.129422356180975</v>
      </c>
      <c r="J204">
        <v>0.144800612249295</v>
      </c>
      <c r="K204">
        <v>0.16148839749692001</v>
      </c>
      <c r="L204">
        <v>1534.24614899996</v>
      </c>
      <c r="M204">
        <v>29.591288125418099</v>
      </c>
      <c r="N204">
        <v>52.4499930387557</v>
      </c>
      <c r="O204">
        <v>51.612843177553302</v>
      </c>
      <c r="P204">
        <v>-0.122693167205378</v>
      </c>
      <c r="Q204">
        <v>0.144004873033521</v>
      </c>
      <c r="R204">
        <v>0.99798473178504898</v>
      </c>
      <c r="S204" t="s">
        <v>4036</v>
      </c>
      <c r="T204" t="s">
        <v>7662</v>
      </c>
      <c r="U204" t="s">
        <v>7662</v>
      </c>
      <c r="V204" t="s">
        <v>7662</v>
      </c>
      <c r="W204">
        <v>18</v>
      </c>
      <c r="X204" t="s">
        <v>7866</v>
      </c>
      <c r="Y204">
        <v>0.48766979519310361</v>
      </c>
      <c r="Z204" t="str">
        <f>HYPERLINK("Melting_Curves/meltCurve_sp_O60841_IF2P_HUMAN_.pdf", "Melting_Curves/meltCurve_sp_O60841_IF2P_HUMAN_.pdf")</f>
        <v>Melting_Curves/meltCurve_sp_O60841_IF2P_HUMAN_.pdf</v>
      </c>
      <c r="AA204" t="s">
        <v>11694</v>
      </c>
      <c r="AB204" t="s">
        <v>15445</v>
      </c>
    </row>
    <row r="205" spans="1:28" x14ac:dyDescent="0.25">
      <c r="A205" t="s">
        <v>209</v>
      </c>
      <c r="B205">
        <v>0.98876768158843997</v>
      </c>
      <c r="C205">
        <v>1.1673252339214699</v>
      </c>
      <c r="D205">
        <v>0.96633992904207699</v>
      </c>
      <c r="E205">
        <v>0.783464371392813</v>
      </c>
      <c r="F205">
        <v>0.93863088511705195</v>
      </c>
      <c r="G205">
        <v>0.71935187618093599</v>
      </c>
      <c r="H205">
        <v>0.59694638989439597</v>
      </c>
      <c r="I205">
        <v>0.77861048781292197</v>
      </c>
      <c r="J205">
        <v>1.0156030870792301</v>
      </c>
      <c r="K205">
        <v>1.1867349441228701</v>
      </c>
      <c r="L205">
        <v>11552.9572013939</v>
      </c>
      <c r="M205">
        <v>250</v>
      </c>
      <c r="O205">
        <v>46.208872138911097</v>
      </c>
      <c r="P205">
        <v>-0.189484747214337</v>
      </c>
      <c r="Q205">
        <v>0.85990597863318097</v>
      </c>
      <c r="R205">
        <v>0.195605083963206</v>
      </c>
      <c r="S205" t="s">
        <v>4037</v>
      </c>
      <c r="T205" t="s">
        <v>7662</v>
      </c>
      <c r="U205" t="s">
        <v>7662</v>
      </c>
      <c r="V205" t="s">
        <v>7662</v>
      </c>
      <c r="W205">
        <v>7</v>
      </c>
      <c r="X205" t="s">
        <v>7867</v>
      </c>
      <c r="Y205">
        <v>0.88892534298456982</v>
      </c>
      <c r="Z205" t="str">
        <f>HYPERLINK("Melting_Curves/meltCurve_sp_O60869_EDF1_HUMAN_.pdf", "Melting_Curves/meltCurve_sp_O60869_EDF1_HUMAN_.pdf")</f>
        <v>Melting_Curves/meltCurve_sp_O60869_EDF1_HUMAN_.pdf</v>
      </c>
      <c r="AA205" t="s">
        <v>11695</v>
      </c>
      <c r="AB205" t="s">
        <v>15446</v>
      </c>
    </row>
    <row r="206" spans="1:28" x14ac:dyDescent="0.25">
      <c r="A206" t="s">
        <v>210</v>
      </c>
      <c r="B206">
        <v>0.98876768158843997</v>
      </c>
      <c r="C206">
        <v>0.87677695215998397</v>
      </c>
      <c r="D206">
        <v>0.93694586517355605</v>
      </c>
      <c r="E206">
        <v>0.55842363404395101</v>
      </c>
      <c r="F206">
        <v>0.341131857612752</v>
      </c>
      <c r="G206">
        <v>0.18237642177352301</v>
      </c>
      <c r="H206">
        <v>0.104149606685061</v>
      </c>
      <c r="I206">
        <v>0.117192026824154</v>
      </c>
      <c r="J206">
        <v>8.9062900907776202E-2</v>
      </c>
      <c r="K206">
        <v>0.148383246224949</v>
      </c>
      <c r="L206">
        <v>1050.16759643767</v>
      </c>
      <c r="M206">
        <v>20.9013592542242</v>
      </c>
      <c r="N206">
        <v>50.829636069560998</v>
      </c>
      <c r="O206">
        <v>49.790845140895797</v>
      </c>
      <c r="P206">
        <v>-9.3718278082218803E-2</v>
      </c>
      <c r="Q206">
        <v>0.10700837013379</v>
      </c>
      <c r="R206">
        <v>0.987678691708613</v>
      </c>
      <c r="S206" t="s">
        <v>4038</v>
      </c>
      <c r="T206" t="s">
        <v>7662</v>
      </c>
      <c r="U206" t="s">
        <v>7662</v>
      </c>
      <c r="V206" t="s">
        <v>7662</v>
      </c>
      <c r="W206">
        <v>7</v>
      </c>
      <c r="X206" t="s">
        <v>7868</v>
      </c>
      <c r="Y206">
        <v>0.42333736735423411</v>
      </c>
      <c r="Z206" t="str">
        <f>HYPERLINK("Melting_Curves/meltCurve_sp_O60884_DNJA2_HUMAN_.pdf", "Melting_Curves/meltCurve_sp_O60884_DNJA2_HUMAN_.pdf")</f>
        <v>Melting_Curves/meltCurve_sp_O60884_DNJA2_HUMAN_.pdf</v>
      </c>
      <c r="AA206" t="s">
        <v>11696</v>
      </c>
      <c r="AB206" t="s">
        <v>15447</v>
      </c>
    </row>
    <row r="207" spans="1:28" x14ac:dyDescent="0.25">
      <c r="A207" t="s">
        <v>211</v>
      </c>
      <c r="B207">
        <v>0.98876768158843997</v>
      </c>
      <c r="C207">
        <v>1.0913885903387499</v>
      </c>
      <c r="D207">
        <v>0.88072877392197302</v>
      </c>
      <c r="E207">
        <v>0.74210279810704005</v>
      </c>
      <c r="F207">
        <v>0.61168553745119403</v>
      </c>
      <c r="G207">
        <v>0.361246243567865</v>
      </c>
      <c r="H207">
        <v>0.29589695134218902</v>
      </c>
      <c r="I207">
        <v>0.31534674212341701</v>
      </c>
      <c r="J207">
        <v>0.40196493030789299</v>
      </c>
      <c r="K207">
        <v>0.39875514270670698</v>
      </c>
      <c r="L207">
        <v>1091.48812698596</v>
      </c>
      <c r="M207">
        <v>21.3186890916663</v>
      </c>
      <c r="N207">
        <v>54.1090653093299</v>
      </c>
      <c r="O207">
        <v>50.754537266333301</v>
      </c>
      <c r="P207">
        <v>-6.9186163285654897E-2</v>
      </c>
      <c r="Q207">
        <v>0.341155844404336</v>
      </c>
      <c r="R207">
        <v>0.96007764421603503</v>
      </c>
      <c r="S207" t="s">
        <v>4039</v>
      </c>
      <c r="T207" t="s">
        <v>7662</v>
      </c>
      <c r="U207" t="s">
        <v>7662</v>
      </c>
      <c r="V207" t="s">
        <v>7662</v>
      </c>
      <c r="W207">
        <v>6</v>
      </c>
      <c r="X207" t="s">
        <v>7869</v>
      </c>
      <c r="Y207">
        <v>0.59520460629477689</v>
      </c>
      <c r="Z207" t="str">
        <f>HYPERLINK("Melting_Curves/meltCurve_sp_O60885_BRD4_HUMAN_.pdf", "Melting_Curves/meltCurve_sp_O60885_BRD4_HUMAN_.pdf")</f>
        <v>Melting_Curves/meltCurve_sp_O60885_BRD4_HUMAN_.pdf</v>
      </c>
      <c r="AA207" t="s">
        <v>11697</v>
      </c>
      <c r="AB207" t="s">
        <v>15448</v>
      </c>
    </row>
    <row r="208" spans="1:28" x14ac:dyDescent="0.25">
      <c r="A208" t="s">
        <v>212</v>
      </c>
      <c r="B208">
        <v>0.98876768158843997</v>
      </c>
      <c r="C208">
        <v>0.96184899678156</v>
      </c>
      <c r="D208">
        <v>0.98713823858784999</v>
      </c>
      <c r="E208">
        <v>0.94974903989654103</v>
      </c>
      <c r="F208">
        <v>0.92926965188321198</v>
      </c>
      <c r="G208">
        <v>0.65406982021476501</v>
      </c>
      <c r="H208">
        <v>0.52927113296857398</v>
      </c>
      <c r="I208">
        <v>0.54241103835599802</v>
      </c>
      <c r="J208">
        <v>0.64104448927137503</v>
      </c>
      <c r="K208">
        <v>0.77693412980925203</v>
      </c>
      <c r="L208">
        <v>2958.97647234532</v>
      </c>
      <c r="M208">
        <v>54.416324198219002</v>
      </c>
      <c r="O208">
        <v>54.303360420263601</v>
      </c>
      <c r="P208">
        <v>-9.44775685392307E-2</v>
      </c>
      <c r="Q208">
        <v>0.62287457972503901</v>
      </c>
      <c r="R208">
        <v>0.86518718161378105</v>
      </c>
      <c r="S208" t="s">
        <v>4040</v>
      </c>
      <c r="T208" t="s">
        <v>7662</v>
      </c>
      <c r="U208" t="s">
        <v>7662</v>
      </c>
      <c r="V208" t="s">
        <v>7662</v>
      </c>
      <c r="W208">
        <v>4</v>
      </c>
      <c r="X208" t="s">
        <v>7870</v>
      </c>
      <c r="Y208">
        <v>0.80436394608365303</v>
      </c>
      <c r="Z208" t="str">
        <f>HYPERLINK("Melting_Curves/meltCurve_sp_O60925_PFD1_HUMAN_.pdf", "Melting_Curves/meltCurve_sp_O60925_PFD1_HUMAN_.pdf")</f>
        <v>Melting_Curves/meltCurve_sp_O60925_PFD1_HUMAN_.pdf</v>
      </c>
      <c r="AA208" t="s">
        <v>11698</v>
      </c>
      <c r="AB208" t="s">
        <v>15449</v>
      </c>
    </row>
    <row r="209" spans="1:28" x14ac:dyDescent="0.25">
      <c r="A209" t="s">
        <v>213</v>
      </c>
      <c r="B209">
        <v>0.98876768158843997</v>
      </c>
      <c r="C209">
        <v>1.0221051161321699</v>
      </c>
      <c r="D209">
        <v>0.96022725918445695</v>
      </c>
      <c r="E209">
        <v>0.79728793834937195</v>
      </c>
      <c r="F209">
        <v>0.75152277962837399</v>
      </c>
      <c r="G209">
        <v>0.56660993393307901</v>
      </c>
      <c r="H209">
        <v>0.41438359142933801</v>
      </c>
      <c r="I209">
        <v>0.482627070652973</v>
      </c>
      <c r="J209">
        <v>0.44834045408051598</v>
      </c>
      <c r="K209">
        <v>0.60865723768644597</v>
      </c>
      <c r="L209">
        <v>1039.5206324001999</v>
      </c>
      <c r="M209">
        <v>19.971633242350801</v>
      </c>
      <c r="N209">
        <v>62.8392260579691</v>
      </c>
      <c r="O209">
        <v>51.536451045536602</v>
      </c>
      <c r="P209">
        <v>-5.0012472927771001E-2</v>
      </c>
      <c r="Q209">
        <v>0.483791779160055</v>
      </c>
      <c r="R209">
        <v>0.93417366768784604</v>
      </c>
      <c r="S209" t="s">
        <v>4041</v>
      </c>
      <c r="T209" t="s">
        <v>7662</v>
      </c>
      <c r="U209" t="s">
        <v>7662</v>
      </c>
      <c r="V209" t="s">
        <v>7662</v>
      </c>
      <c r="W209">
        <v>3</v>
      </c>
      <c r="X209" t="s">
        <v>7871</v>
      </c>
      <c r="Y209">
        <v>0.69829323753453854</v>
      </c>
      <c r="Z209" t="str">
        <f>HYPERLINK("Melting_Curves/meltCurve_sp_O60927_PP1RB_HUMAN_.pdf", "Melting_Curves/meltCurve_sp_O60927_PP1RB_HUMAN_.pdf")</f>
        <v>Melting_Curves/meltCurve_sp_O60927_PP1RB_HUMAN_.pdf</v>
      </c>
      <c r="AA209" t="s">
        <v>11699</v>
      </c>
      <c r="AB209" t="s">
        <v>15450</v>
      </c>
    </row>
    <row r="210" spans="1:28" x14ac:dyDescent="0.25">
      <c r="A210" t="s">
        <v>214</v>
      </c>
      <c r="B210">
        <v>0.98876768158843997</v>
      </c>
      <c r="C210">
        <v>0.959768040346618</v>
      </c>
      <c r="D210">
        <v>0.85449450254293102</v>
      </c>
      <c r="E210">
        <v>0.52919740246396996</v>
      </c>
      <c r="F210">
        <v>0.52487914811045799</v>
      </c>
      <c r="G210">
        <v>0.31169832640803202</v>
      </c>
      <c r="H210">
        <v>0.247397562760347</v>
      </c>
      <c r="I210">
        <v>0.24267028106633001</v>
      </c>
      <c r="J210">
        <v>0.25170975989566402</v>
      </c>
      <c r="K210">
        <v>0.34785369598199001</v>
      </c>
      <c r="L210">
        <v>851.18255829523196</v>
      </c>
      <c r="M210">
        <v>17.237961562807399</v>
      </c>
      <c r="N210">
        <v>51.630231603955799</v>
      </c>
      <c r="O210">
        <v>48.728215550320201</v>
      </c>
      <c r="P210">
        <v>-6.5073074058507804E-2</v>
      </c>
      <c r="Q210">
        <v>0.26424960394818597</v>
      </c>
      <c r="R210">
        <v>0.97288341078490104</v>
      </c>
      <c r="S210" t="s">
        <v>4042</v>
      </c>
      <c r="T210" t="s">
        <v>7662</v>
      </c>
      <c r="U210" t="s">
        <v>7662</v>
      </c>
      <c r="V210" t="s">
        <v>7662</v>
      </c>
      <c r="W210">
        <v>6</v>
      </c>
      <c r="X210" t="s">
        <v>7872</v>
      </c>
      <c r="Y210">
        <v>0.50802682296719537</v>
      </c>
      <c r="Z210" t="str">
        <f>HYPERLINK("Melting_Curves/meltCurve_sp_O60934_NBN_HUMAN_.pdf", "Melting_Curves/meltCurve_sp_O60934_NBN_HUMAN_.pdf")</f>
        <v>Melting_Curves/meltCurve_sp_O60934_NBN_HUMAN_.pdf</v>
      </c>
      <c r="AA210" t="s">
        <v>11700</v>
      </c>
      <c r="AB210" t="s">
        <v>15451</v>
      </c>
    </row>
    <row r="211" spans="1:28" x14ac:dyDescent="0.25">
      <c r="A211" t="s">
        <v>215</v>
      </c>
      <c r="B211">
        <v>0.98876768158843997</v>
      </c>
      <c r="C211">
        <v>0.95277903347340598</v>
      </c>
      <c r="D211">
        <v>0.920804982170918</v>
      </c>
      <c r="E211">
        <v>0.69960762013270905</v>
      </c>
      <c r="F211">
        <v>0.41107199134557898</v>
      </c>
      <c r="G211">
        <v>0.28184511292863201</v>
      </c>
      <c r="H211">
        <v>0.19520945965119599</v>
      </c>
      <c r="I211">
        <v>0.17995177071024401</v>
      </c>
      <c r="J211">
        <v>0.11073914961935501</v>
      </c>
      <c r="K211">
        <v>6.9682739499730806E-2</v>
      </c>
      <c r="L211">
        <v>864.14281200413598</v>
      </c>
      <c r="M211">
        <v>16.7147561476032</v>
      </c>
      <c r="N211">
        <v>52.4384466540616</v>
      </c>
      <c r="O211">
        <v>50.9763940881368</v>
      </c>
      <c r="P211">
        <v>-7.33756579193625E-2</v>
      </c>
      <c r="Q211">
        <v>0.10493952314857</v>
      </c>
      <c r="R211">
        <v>0.99276846025825904</v>
      </c>
      <c r="S211" t="s">
        <v>4043</v>
      </c>
      <c r="T211" t="s">
        <v>7662</v>
      </c>
      <c r="U211" t="s">
        <v>7662</v>
      </c>
      <c r="V211" t="s">
        <v>7662</v>
      </c>
      <c r="W211">
        <v>2</v>
      </c>
      <c r="X211" t="s">
        <v>7873</v>
      </c>
      <c r="Y211">
        <v>0.47096102134121798</v>
      </c>
      <c r="Z211" t="str">
        <f>HYPERLINK("Melting_Curves/meltCurve_sp_O75052_3_CAPON_HUMAN_.pdf", "Melting_Curves/meltCurve_sp_O75052_3_CAPON_HUMAN_.pdf")</f>
        <v>Melting_Curves/meltCurve_sp_O75052_3_CAPON_HUMAN_.pdf</v>
      </c>
      <c r="AA211" t="s">
        <v>11701</v>
      </c>
      <c r="AB211" t="s">
        <v>15452</v>
      </c>
    </row>
    <row r="212" spans="1:28" x14ac:dyDescent="0.25">
      <c r="A212" t="s">
        <v>216</v>
      </c>
      <c r="B212">
        <v>0.98876768158843997</v>
      </c>
      <c r="C212">
        <v>1.36017506884095</v>
      </c>
      <c r="D212">
        <v>0.88467682169095496</v>
      </c>
      <c r="E212">
        <v>0.95092051889569196</v>
      </c>
      <c r="F212">
        <v>1.1255833381148399</v>
      </c>
      <c r="G212">
        <v>0.72767495857016595</v>
      </c>
      <c r="H212">
        <v>0.57498383994167102</v>
      </c>
      <c r="I212">
        <v>0.68367573664290504</v>
      </c>
      <c r="J212">
        <v>0.81166526529037897</v>
      </c>
      <c r="K212">
        <v>1.0343309759977</v>
      </c>
      <c r="L212">
        <v>5462.75554940659</v>
      </c>
      <c r="M212">
        <v>98.907716619067301</v>
      </c>
      <c r="O212">
        <v>55.208286491716002</v>
      </c>
      <c r="P212">
        <v>-0.10515340715872</v>
      </c>
      <c r="Q212">
        <v>0.76522208556034099</v>
      </c>
      <c r="R212">
        <v>0.411702418594182</v>
      </c>
      <c r="S212" t="s">
        <v>4044</v>
      </c>
      <c r="T212" t="s">
        <v>7662</v>
      </c>
      <c r="U212" t="s">
        <v>7662</v>
      </c>
      <c r="V212" t="s">
        <v>7662</v>
      </c>
      <c r="W212">
        <v>2</v>
      </c>
      <c r="X212" t="s">
        <v>7874</v>
      </c>
      <c r="Y212">
        <v>0.88456308633022374</v>
      </c>
      <c r="Z212" t="str">
        <f>HYPERLINK("Melting_Curves/meltCurve_sp_O75081_2_MTG16_HUMAN_.pdf", "Melting_Curves/meltCurve_sp_O75081_2_MTG16_HUMAN_.pdf")</f>
        <v>Melting_Curves/meltCurve_sp_O75081_2_MTG16_HUMAN_.pdf</v>
      </c>
      <c r="AA212" t="s">
        <v>11702</v>
      </c>
      <c r="AB212" t="s">
        <v>15453</v>
      </c>
    </row>
    <row r="213" spans="1:28" x14ac:dyDescent="0.25">
      <c r="A213" t="s">
        <v>217</v>
      </c>
      <c r="B213">
        <v>0.98876768158843997</v>
      </c>
      <c r="C213">
        <v>0.831124742354027</v>
      </c>
      <c r="D213">
        <v>0.86058109051644904</v>
      </c>
      <c r="E213">
        <v>0.72209001161692599</v>
      </c>
      <c r="F213">
        <v>0.20931315816597601</v>
      </c>
      <c r="G213">
        <v>7.6303113684122098E-2</v>
      </c>
      <c r="H213">
        <v>4.4471184296176101E-2</v>
      </c>
      <c r="I213">
        <v>3.5552812083413203E-2</v>
      </c>
      <c r="J213">
        <v>5.0620352569506297E-2</v>
      </c>
      <c r="K213">
        <v>3.3320287694077001E-2</v>
      </c>
      <c r="L213">
        <v>1854.0197227053</v>
      </c>
      <c r="M213">
        <v>36.332846434492197</v>
      </c>
      <c r="N213">
        <v>51.146547954952503</v>
      </c>
      <c r="O213">
        <v>50.874903468155303</v>
      </c>
      <c r="P213">
        <v>-0.17137453032684699</v>
      </c>
      <c r="Q213">
        <v>4.0137303382067301E-2</v>
      </c>
      <c r="R213">
        <v>0.96988550049251399</v>
      </c>
      <c r="S213" t="s">
        <v>4045</v>
      </c>
      <c r="T213" t="s">
        <v>7662</v>
      </c>
      <c r="U213" t="s">
        <v>7662</v>
      </c>
      <c r="V213" t="s">
        <v>7662</v>
      </c>
      <c r="W213">
        <v>25</v>
      </c>
      <c r="X213" t="s">
        <v>7875</v>
      </c>
      <c r="Y213">
        <v>0.39711573304470899</v>
      </c>
      <c r="Z213" t="str">
        <f>HYPERLINK("Melting_Curves/meltCurve_sp_O75083_WDR1_HUMAN_.pdf", "Melting_Curves/meltCurve_sp_O75083_WDR1_HUMAN_.pdf")</f>
        <v>Melting_Curves/meltCurve_sp_O75083_WDR1_HUMAN_.pdf</v>
      </c>
      <c r="AA213" t="s">
        <v>11703</v>
      </c>
      <c r="AB213" t="s">
        <v>15454</v>
      </c>
    </row>
    <row r="214" spans="1:28" x14ac:dyDescent="0.25">
      <c r="A214" t="s">
        <v>218</v>
      </c>
      <c r="B214">
        <v>0.98876768158843997</v>
      </c>
      <c r="C214">
        <v>0.94873923219078005</v>
      </c>
      <c r="D214">
        <v>1.10129704689644</v>
      </c>
      <c r="E214">
        <v>0.85306243281546301</v>
      </c>
      <c r="F214">
        <v>0.34403787437467498</v>
      </c>
      <c r="G214">
        <v>0.234675199421226</v>
      </c>
      <c r="H214">
        <v>0.200270681477591</v>
      </c>
      <c r="I214">
        <v>0.178411167074182</v>
      </c>
      <c r="J214">
        <v>0.240493516716768</v>
      </c>
      <c r="K214">
        <v>0.12534931111716699</v>
      </c>
      <c r="L214">
        <v>2636.79843060751</v>
      </c>
      <c r="M214">
        <v>51.219204664951</v>
      </c>
      <c r="N214">
        <v>51.980276608254698</v>
      </c>
      <c r="O214">
        <v>51.4023646282253</v>
      </c>
      <c r="P214">
        <v>-0.20068475754800899</v>
      </c>
      <c r="Q214">
        <v>0.19439100641843299</v>
      </c>
      <c r="R214">
        <v>0.98464463167248195</v>
      </c>
      <c r="S214" t="s">
        <v>4046</v>
      </c>
      <c r="T214" t="s">
        <v>7662</v>
      </c>
      <c r="U214" t="s">
        <v>7662</v>
      </c>
      <c r="V214" t="s">
        <v>7662</v>
      </c>
      <c r="W214">
        <v>20</v>
      </c>
      <c r="X214" t="s">
        <v>7876</v>
      </c>
      <c r="Y214">
        <v>0.5044312463333005</v>
      </c>
      <c r="Z214" t="str">
        <f>HYPERLINK("Melting_Curves/meltCurve_sp_O75116_ROCK2_HUMAN_.pdf", "Melting_Curves/meltCurve_sp_O75116_ROCK2_HUMAN_.pdf")</f>
        <v>Melting_Curves/meltCurve_sp_O75116_ROCK2_HUMAN_.pdf</v>
      </c>
      <c r="AA214" t="s">
        <v>11704</v>
      </c>
      <c r="AB214" t="s">
        <v>15455</v>
      </c>
    </row>
    <row r="215" spans="1:28" x14ac:dyDescent="0.25">
      <c r="A215" t="s">
        <v>219</v>
      </c>
      <c r="B215">
        <v>0.98876768158843997</v>
      </c>
      <c r="C215">
        <v>0.93953449407600198</v>
      </c>
      <c r="D215">
        <v>0.875333175943942</v>
      </c>
      <c r="E215">
        <v>0.342052182959797</v>
      </c>
      <c r="F215">
        <v>0.10773616763796701</v>
      </c>
      <c r="G215">
        <v>2.15607841630003E-2</v>
      </c>
      <c r="H215">
        <v>0</v>
      </c>
      <c r="I215">
        <v>0</v>
      </c>
      <c r="J215">
        <v>6.8034010240817705E-2</v>
      </c>
      <c r="K215">
        <v>0</v>
      </c>
      <c r="L215">
        <v>1442.8311189778501</v>
      </c>
      <c r="M215">
        <v>29.537093161487402</v>
      </c>
      <c r="N215">
        <v>48.897634913276001</v>
      </c>
      <c r="O215">
        <v>48.625838714511502</v>
      </c>
      <c r="P215">
        <v>-0.149622121776564</v>
      </c>
      <c r="Q215">
        <v>1.47369707413332E-2</v>
      </c>
      <c r="R215">
        <v>0.99643118620467497</v>
      </c>
      <c r="S215" t="s">
        <v>4047</v>
      </c>
      <c r="T215" t="s">
        <v>7662</v>
      </c>
      <c r="U215" t="s">
        <v>7662</v>
      </c>
      <c r="V215" t="s">
        <v>7662</v>
      </c>
      <c r="W215">
        <v>4</v>
      </c>
      <c r="X215" t="s">
        <v>7877</v>
      </c>
      <c r="Y215">
        <v>0.31151010162107901</v>
      </c>
      <c r="Z215" t="str">
        <f>HYPERLINK("Melting_Curves/meltCurve_sp_O75131_CPNE3_HUMAN_.pdf", "Melting_Curves/meltCurve_sp_O75131_CPNE3_HUMAN_.pdf")</f>
        <v>Melting_Curves/meltCurve_sp_O75131_CPNE3_HUMAN_.pdf</v>
      </c>
      <c r="AA215" t="s">
        <v>11705</v>
      </c>
      <c r="AB215" t="s">
        <v>15456</v>
      </c>
    </row>
    <row r="216" spans="1:28" x14ac:dyDescent="0.25">
      <c r="A216" t="s">
        <v>220</v>
      </c>
      <c r="B216">
        <v>0.98876768158843997</v>
      </c>
      <c r="C216">
        <v>0.91769451074325503</v>
      </c>
      <c r="D216">
        <v>0.99213743352337502</v>
      </c>
      <c r="E216">
        <v>0.79491236925077702</v>
      </c>
      <c r="F216">
        <v>0.30098433793660601</v>
      </c>
      <c r="G216">
        <v>0.162661127306158</v>
      </c>
      <c r="H216">
        <v>0.106380607737509</v>
      </c>
      <c r="I216">
        <v>9.8723241357459607E-2</v>
      </c>
      <c r="J216">
        <v>0.119310356350345</v>
      </c>
      <c r="K216">
        <v>9.0303244230286003E-2</v>
      </c>
      <c r="L216">
        <v>2146.2578848243502</v>
      </c>
      <c r="M216">
        <v>41.7480734836533</v>
      </c>
      <c r="N216">
        <v>51.721150067960203</v>
      </c>
      <c r="O216">
        <v>51.292209963101797</v>
      </c>
      <c r="P216">
        <v>-0.18086874149099599</v>
      </c>
      <c r="Q216">
        <v>0.111131086330958</v>
      </c>
      <c r="R216">
        <v>0.99402180295263698</v>
      </c>
      <c r="S216" t="s">
        <v>4048</v>
      </c>
      <c r="T216" t="s">
        <v>7662</v>
      </c>
      <c r="U216" t="s">
        <v>7662</v>
      </c>
      <c r="V216" t="s">
        <v>7662</v>
      </c>
      <c r="W216">
        <v>16</v>
      </c>
      <c r="X216" t="s">
        <v>7878</v>
      </c>
      <c r="Y216">
        <v>0.45208750532579028</v>
      </c>
      <c r="Z216" t="str">
        <f>HYPERLINK("Melting_Curves/meltCurve_sp_O75146_HIP1R_HUMAN_.pdf", "Melting_Curves/meltCurve_sp_O75146_HIP1R_HUMAN_.pdf")</f>
        <v>Melting_Curves/meltCurve_sp_O75146_HIP1R_HUMAN_.pdf</v>
      </c>
      <c r="AA216" t="s">
        <v>11706</v>
      </c>
      <c r="AB216" t="s">
        <v>15457</v>
      </c>
    </row>
    <row r="217" spans="1:28" x14ac:dyDescent="0.25">
      <c r="A217" t="s">
        <v>221</v>
      </c>
      <c r="B217">
        <v>0.98876768158843997</v>
      </c>
      <c r="C217">
        <v>0.749957396694791</v>
      </c>
      <c r="D217">
        <v>0.76302183471324603</v>
      </c>
      <c r="E217">
        <v>0.38416226961514299</v>
      </c>
      <c r="F217">
        <v>0.27183441332721198</v>
      </c>
      <c r="G217">
        <v>0.14042911987086301</v>
      </c>
      <c r="H217">
        <v>7.4890948582884406E-2</v>
      </c>
      <c r="I217">
        <v>6.6724756848469194E-2</v>
      </c>
      <c r="J217">
        <v>6.93222385437781E-2</v>
      </c>
      <c r="K217">
        <v>6.5598706067108298E-2</v>
      </c>
      <c r="L217">
        <v>654.319473848033</v>
      </c>
      <c r="M217">
        <v>13.5236649165619</v>
      </c>
      <c r="N217">
        <v>48.6576853833649</v>
      </c>
      <c r="O217">
        <v>47.362104400027299</v>
      </c>
      <c r="P217">
        <v>-6.8774044609810903E-2</v>
      </c>
      <c r="Q217">
        <v>3.6713397446431997E-2</v>
      </c>
      <c r="R217">
        <v>0.98076270089613304</v>
      </c>
      <c r="S217" t="s">
        <v>4049</v>
      </c>
      <c r="T217" t="s">
        <v>7662</v>
      </c>
      <c r="U217" t="s">
        <v>7662</v>
      </c>
      <c r="V217" t="s">
        <v>7662</v>
      </c>
      <c r="W217">
        <v>6</v>
      </c>
      <c r="X217" t="s">
        <v>7879</v>
      </c>
      <c r="Y217">
        <v>0.33556545065083798</v>
      </c>
      <c r="Z217" t="str">
        <f>HYPERLINK("Melting_Curves/meltCurve_sp_O75150_BRE1B_HUMAN_.pdf", "Melting_Curves/meltCurve_sp_O75150_BRE1B_HUMAN_.pdf")</f>
        <v>Melting_Curves/meltCurve_sp_O75150_BRE1B_HUMAN_.pdf</v>
      </c>
      <c r="AA217" t="s">
        <v>11707</v>
      </c>
      <c r="AB217" t="s">
        <v>15458</v>
      </c>
    </row>
    <row r="218" spans="1:28" x14ac:dyDescent="0.25">
      <c r="A218" t="s">
        <v>222</v>
      </c>
      <c r="B218">
        <v>0.98876768158843997</v>
      </c>
      <c r="C218">
        <v>1.1271563248755001</v>
      </c>
      <c r="D218">
        <v>0.78654614958848001</v>
      </c>
      <c r="E218">
        <v>0.67394804091611005</v>
      </c>
      <c r="F218">
        <v>0.85778532623541204</v>
      </c>
      <c r="G218">
        <v>0.75218900880052197</v>
      </c>
      <c r="H218">
        <v>0.40479627954719899</v>
      </c>
      <c r="I218">
        <v>0.47745505267888</v>
      </c>
      <c r="J218">
        <v>0.53328102467611704</v>
      </c>
      <c r="K218">
        <v>0.69836118282265902</v>
      </c>
      <c r="L218">
        <v>623.67105263710903</v>
      </c>
      <c r="M218">
        <v>12.2671454399394</v>
      </c>
      <c r="O218">
        <v>49.546349979778597</v>
      </c>
      <c r="P218">
        <v>-2.88316579568921E-2</v>
      </c>
      <c r="Q218">
        <v>0.534305088626709</v>
      </c>
      <c r="R218">
        <v>0.65799904524685904</v>
      </c>
      <c r="S218" t="s">
        <v>4050</v>
      </c>
      <c r="T218" t="s">
        <v>7662</v>
      </c>
      <c r="U218" t="s">
        <v>7662</v>
      </c>
      <c r="V218" t="s">
        <v>7662</v>
      </c>
      <c r="W218">
        <v>2</v>
      </c>
      <c r="X218" t="s">
        <v>7880</v>
      </c>
      <c r="Y218">
        <v>0.71743723655057023</v>
      </c>
      <c r="Z218" t="str">
        <f>HYPERLINK("Melting_Curves/meltCurve_sp_O75151_PHF2_HUMAN_.pdf", "Melting_Curves/meltCurve_sp_O75151_PHF2_HUMAN_.pdf")</f>
        <v>Melting_Curves/meltCurve_sp_O75151_PHF2_HUMAN_.pdf</v>
      </c>
      <c r="AA218" t="s">
        <v>11708</v>
      </c>
      <c r="AB218" t="s">
        <v>15459</v>
      </c>
    </row>
    <row r="219" spans="1:28" x14ac:dyDescent="0.25">
      <c r="A219" t="s">
        <v>223</v>
      </c>
      <c r="B219">
        <v>0.98876768158843997</v>
      </c>
      <c r="C219">
        <v>0.78329884848340803</v>
      </c>
      <c r="D219">
        <v>0.82740886225332899</v>
      </c>
      <c r="E219">
        <v>0.68991696262645696</v>
      </c>
      <c r="F219">
        <v>0.244067053447136</v>
      </c>
      <c r="G219">
        <v>0.13387977437175499</v>
      </c>
      <c r="H219">
        <v>7.7283552479931697E-2</v>
      </c>
      <c r="I219">
        <v>7.6838028993195098E-2</v>
      </c>
      <c r="J219">
        <v>4.1228376928820802E-2</v>
      </c>
      <c r="K219">
        <v>3.2493574221201298E-2</v>
      </c>
      <c r="L219">
        <v>777.24152476223401</v>
      </c>
      <c r="M219">
        <v>15.3409511598632</v>
      </c>
      <c r="N219">
        <v>50.736062384657799</v>
      </c>
      <c r="O219">
        <v>49.827006567597699</v>
      </c>
      <c r="P219">
        <v>-7.6154346164368197E-2</v>
      </c>
      <c r="Q219">
        <v>1.07022536703223E-2</v>
      </c>
      <c r="R219">
        <v>0.95854482094257298</v>
      </c>
      <c r="S219" t="s">
        <v>4051</v>
      </c>
      <c r="T219" t="s">
        <v>7662</v>
      </c>
      <c r="U219" t="s">
        <v>7662</v>
      </c>
      <c r="V219" t="s">
        <v>7662</v>
      </c>
      <c r="W219">
        <v>5</v>
      </c>
      <c r="X219" t="s">
        <v>7881</v>
      </c>
      <c r="Y219">
        <v>0.38461301707991957</v>
      </c>
      <c r="Z219" t="str">
        <f>HYPERLINK("Melting_Curves/meltCurve_sp_O75155_2_CAND2_HUMAN_.pdf", "Melting_Curves/meltCurve_sp_O75155_2_CAND2_HUMAN_.pdf")</f>
        <v>Melting_Curves/meltCurve_sp_O75155_2_CAND2_HUMAN_.pdf</v>
      </c>
      <c r="AA219" t="s">
        <v>11709</v>
      </c>
      <c r="AB219" t="s">
        <v>15460</v>
      </c>
    </row>
    <row r="220" spans="1:28" x14ac:dyDescent="0.25">
      <c r="A220" t="s">
        <v>224</v>
      </c>
      <c r="B220">
        <v>0.98876768158843997</v>
      </c>
      <c r="C220">
        <v>0.91578052840755297</v>
      </c>
      <c r="D220">
        <v>1.0742473494948599</v>
      </c>
      <c r="E220">
        <v>0.74047197443984503</v>
      </c>
      <c r="F220">
        <v>0.23063646418240699</v>
      </c>
      <c r="G220">
        <v>0.131446651106461</v>
      </c>
      <c r="H220">
        <v>0.110032362770685</v>
      </c>
      <c r="I220">
        <v>9.6422996809555697E-2</v>
      </c>
      <c r="J220">
        <v>0.12101632524717899</v>
      </c>
      <c r="K220">
        <v>6.5685954586319706E-2</v>
      </c>
      <c r="L220">
        <v>2433.6311459363401</v>
      </c>
      <c r="M220">
        <v>47.7503159893214</v>
      </c>
      <c r="N220">
        <v>51.215929978836499</v>
      </c>
      <c r="O220">
        <v>50.876614249737102</v>
      </c>
      <c r="P220">
        <v>-0.210229779837971</v>
      </c>
      <c r="Q220">
        <v>0.10402538742346</v>
      </c>
      <c r="R220">
        <v>0.990256890073692</v>
      </c>
      <c r="S220" t="s">
        <v>4052</v>
      </c>
      <c r="T220" t="s">
        <v>7662</v>
      </c>
      <c r="U220" t="s">
        <v>7662</v>
      </c>
      <c r="V220" t="s">
        <v>7662</v>
      </c>
      <c r="W220">
        <v>7</v>
      </c>
      <c r="X220" t="s">
        <v>7882</v>
      </c>
      <c r="Y220">
        <v>0.43373643153006658</v>
      </c>
      <c r="Z220" t="str">
        <f>HYPERLINK("Melting_Curves/meltCurve_sp_O75165_DJC13_HUMAN_.pdf", "Melting_Curves/meltCurve_sp_O75165_DJC13_HUMAN_.pdf")</f>
        <v>Melting_Curves/meltCurve_sp_O75165_DJC13_HUMAN_.pdf</v>
      </c>
      <c r="AA220" t="s">
        <v>11710</v>
      </c>
      <c r="AB220" t="s">
        <v>15461</v>
      </c>
    </row>
    <row r="221" spans="1:28" x14ac:dyDescent="0.25">
      <c r="A221" t="s">
        <v>225</v>
      </c>
      <c r="B221">
        <v>0.98876768158843997</v>
      </c>
      <c r="C221">
        <v>1.09041067674102</v>
      </c>
      <c r="D221">
        <v>0.92031157627451898</v>
      </c>
      <c r="E221">
        <v>0.737520993034391</v>
      </c>
      <c r="F221">
        <v>0.79740333361284599</v>
      </c>
      <c r="G221">
        <v>0.52946300001975999</v>
      </c>
      <c r="H221">
        <v>0.42351330060059</v>
      </c>
      <c r="I221">
        <v>0.48883202079890598</v>
      </c>
      <c r="J221">
        <v>0.66218341738748698</v>
      </c>
      <c r="K221">
        <v>0.709727438075473</v>
      </c>
      <c r="L221">
        <v>1078.66353085572</v>
      </c>
      <c r="M221">
        <v>21.471588492861098</v>
      </c>
      <c r="O221">
        <v>49.807115652688204</v>
      </c>
      <c r="P221">
        <v>-4.6582302902576901E-2</v>
      </c>
      <c r="Q221">
        <v>0.56778733089126698</v>
      </c>
      <c r="R221">
        <v>0.785231252046793</v>
      </c>
      <c r="S221" t="s">
        <v>4053</v>
      </c>
      <c r="T221" t="s">
        <v>7662</v>
      </c>
      <c r="U221" t="s">
        <v>7662</v>
      </c>
      <c r="V221" t="s">
        <v>7662</v>
      </c>
      <c r="W221">
        <v>12</v>
      </c>
      <c r="X221" t="s">
        <v>7883</v>
      </c>
      <c r="Y221">
        <v>0.72050548136462322</v>
      </c>
      <c r="Z221" t="str">
        <f>HYPERLINK("Melting_Curves/meltCurve_sp_O75170_4_PP6R2_HUMAN_.pdf", "Melting_Curves/meltCurve_sp_O75170_4_PP6R2_HUMAN_.pdf")</f>
        <v>Melting_Curves/meltCurve_sp_O75170_4_PP6R2_HUMAN_.pdf</v>
      </c>
      <c r="AA221" t="s">
        <v>11711</v>
      </c>
      <c r="AB221" t="s">
        <v>15462</v>
      </c>
    </row>
    <row r="222" spans="1:28" x14ac:dyDescent="0.25">
      <c r="A222" t="s">
        <v>226</v>
      </c>
      <c r="B222">
        <v>0.98876768158843997</v>
      </c>
      <c r="C222">
        <v>1.0183702684004401</v>
      </c>
      <c r="D222">
        <v>0.82368315928015801</v>
      </c>
      <c r="E222">
        <v>0.69604886228799501</v>
      </c>
      <c r="F222">
        <v>0.85571588107266405</v>
      </c>
      <c r="G222">
        <v>0.572240944297844</v>
      </c>
      <c r="H222">
        <v>0.48649625622381598</v>
      </c>
      <c r="I222">
        <v>0.53055810731362996</v>
      </c>
      <c r="J222">
        <v>0.80106944945457603</v>
      </c>
      <c r="K222">
        <v>0.84190134995426802</v>
      </c>
      <c r="L222">
        <v>1185.0090056562401</v>
      </c>
      <c r="M222">
        <v>25.5313687633924</v>
      </c>
      <c r="O222">
        <v>46.131901197480403</v>
      </c>
      <c r="P222">
        <v>-4.5240335573628797E-2</v>
      </c>
      <c r="Q222">
        <v>0.67303008709423195</v>
      </c>
      <c r="R222">
        <v>0.53082735850280605</v>
      </c>
      <c r="S222" t="s">
        <v>4054</v>
      </c>
      <c r="T222" t="s">
        <v>7662</v>
      </c>
      <c r="U222" t="s">
        <v>7662</v>
      </c>
      <c r="V222" t="s">
        <v>7662</v>
      </c>
      <c r="W222">
        <v>6</v>
      </c>
      <c r="X222" t="s">
        <v>7884</v>
      </c>
      <c r="Y222">
        <v>0.74576348283819405</v>
      </c>
      <c r="Z222" t="str">
        <f>HYPERLINK("Melting_Curves/meltCurve_sp_O75175_CNOT3_HUMAN_.pdf", "Melting_Curves/meltCurve_sp_O75175_CNOT3_HUMAN_.pdf")</f>
        <v>Melting_Curves/meltCurve_sp_O75175_CNOT3_HUMAN_.pdf</v>
      </c>
      <c r="AA222" t="s">
        <v>11712</v>
      </c>
      <c r="AB222" t="s">
        <v>15463</v>
      </c>
    </row>
    <row r="223" spans="1:28" x14ac:dyDescent="0.25">
      <c r="A223" t="s">
        <v>227</v>
      </c>
      <c r="B223">
        <v>0.98876768158843997</v>
      </c>
      <c r="C223">
        <v>1.2471232689477401</v>
      </c>
      <c r="D223">
        <v>0.98307947644430804</v>
      </c>
      <c r="E223">
        <v>0.67121399929399195</v>
      </c>
      <c r="F223">
        <v>1.2496237628067901</v>
      </c>
      <c r="G223">
        <v>0.77008064915031305</v>
      </c>
      <c r="H223">
        <v>0.65642708086313295</v>
      </c>
      <c r="I223">
        <v>0.79676719248124195</v>
      </c>
      <c r="J223">
        <v>0.68109849849856197</v>
      </c>
      <c r="K223">
        <v>1.1238320470055301</v>
      </c>
      <c r="L223">
        <v>4371.1268597471399</v>
      </c>
      <c r="M223">
        <v>78.715685436274399</v>
      </c>
      <c r="O223">
        <v>55.494759933410997</v>
      </c>
      <c r="P223">
        <v>-6.9663046229850201E-2</v>
      </c>
      <c r="Q223">
        <v>0.80354952304835303</v>
      </c>
      <c r="R223">
        <v>0.23439552501675601</v>
      </c>
      <c r="S223" t="s">
        <v>4055</v>
      </c>
      <c r="T223" t="s">
        <v>7662</v>
      </c>
      <c r="U223" t="s">
        <v>7662</v>
      </c>
      <c r="V223" t="s">
        <v>7662</v>
      </c>
      <c r="W223">
        <v>1</v>
      </c>
      <c r="X223" t="s">
        <v>7885</v>
      </c>
      <c r="Y223">
        <v>0.90544262182723068</v>
      </c>
      <c r="Z223" t="str">
        <f>HYPERLINK("Melting_Curves/meltCurve_sp_O75177_CREST_HUMAN_.pdf", "Melting_Curves/meltCurve_sp_O75177_CREST_HUMAN_.pdf")</f>
        <v>Melting_Curves/meltCurve_sp_O75177_CREST_HUMAN_.pdf</v>
      </c>
      <c r="AA223" t="s">
        <v>11713</v>
      </c>
      <c r="AB223" t="s">
        <v>15464</v>
      </c>
    </row>
    <row r="224" spans="1:28" x14ac:dyDescent="0.25">
      <c r="A224" t="s">
        <v>228</v>
      </c>
      <c r="B224">
        <v>0.98876768158843997</v>
      </c>
      <c r="C224">
        <v>0.919772804381917</v>
      </c>
      <c r="D224">
        <v>0.82968479440262599</v>
      </c>
      <c r="E224">
        <v>0.78582477181001797</v>
      </c>
      <c r="F224">
        <v>0.84347125483072505</v>
      </c>
      <c r="G224">
        <v>0.62117911465565601</v>
      </c>
      <c r="H224">
        <v>0.58861681398222099</v>
      </c>
      <c r="I224">
        <v>0.476915068054999</v>
      </c>
      <c r="J224">
        <v>0.77444171774478399</v>
      </c>
      <c r="K224">
        <v>0.87667931305235403</v>
      </c>
      <c r="L224">
        <v>657.61946632348599</v>
      </c>
      <c r="M224">
        <v>14.047036153196</v>
      </c>
      <c r="O224">
        <v>45.897379207168498</v>
      </c>
      <c r="P224">
        <v>-2.46474603823615E-2</v>
      </c>
      <c r="Q224">
        <v>0.67790905544787605</v>
      </c>
      <c r="R224">
        <v>0.47754465671958701</v>
      </c>
      <c r="S224" t="s">
        <v>4056</v>
      </c>
      <c r="T224" t="s">
        <v>7662</v>
      </c>
      <c r="U224" t="s">
        <v>7662</v>
      </c>
      <c r="V224" t="s">
        <v>7662</v>
      </c>
      <c r="W224">
        <v>4</v>
      </c>
      <c r="X224" t="s">
        <v>7886</v>
      </c>
      <c r="Y224">
        <v>0.76120676743993865</v>
      </c>
      <c r="Z224" t="str">
        <f>HYPERLINK("Melting_Curves/meltCurve_sp_O75179_6_ANR17_HUMAN_.pdf", "Melting_Curves/meltCurve_sp_O75179_6_ANR17_HUMAN_.pdf")</f>
        <v>Melting_Curves/meltCurve_sp_O75179_6_ANR17_HUMAN_.pdf</v>
      </c>
      <c r="AA224" t="s">
        <v>11714</v>
      </c>
      <c r="AB224" t="s">
        <v>15465</v>
      </c>
    </row>
    <row r="225" spans="1:28" x14ac:dyDescent="0.25">
      <c r="A225" t="s">
        <v>229</v>
      </c>
      <c r="B225">
        <v>0.98876768158843997</v>
      </c>
      <c r="C225">
        <v>0.582982818979081</v>
      </c>
      <c r="D225">
        <v>0.62623495621785596</v>
      </c>
      <c r="E225">
        <v>0.20939700660756799</v>
      </c>
      <c r="F225">
        <v>0.113808745175122</v>
      </c>
      <c r="G225">
        <v>5.3919328044998202E-2</v>
      </c>
      <c r="H225">
        <v>3.47966379299295E-2</v>
      </c>
      <c r="I225">
        <v>3.1982232659437601E-2</v>
      </c>
      <c r="J225">
        <v>3.8889016293636898E-2</v>
      </c>
      <c r="K225">
        <v>3.2959666836659803E-2</v>
      </c>
      <c r="L225">
        <v>666.70073027873104</v>
      </c>
      <c r="M225">
        <v>14.5143632876191</v>
      </c>
      <c r="N225">
        <v>46.013643870088899</v>
      </c>
      <c r="O225">
        <v>45.088319753685703</v>
      </c>
      <c r="P225">
        <v>-7.9486477584719703E-2</v>
      </c>
      <c r="Q225">
        <v>1.24263452055344E-2</v>
      </c>
      <c r="R225">
        <v>0.95085628724929405</v>
      </c>
      <c r="S225" t="s">
        <v>4057</v>
      </c>
      <c r="T225" t="s">
        <v>7662</v>
      </c>
      <c r="U225" t="s">
        <v>7662</v>
      </c>
      <c r="V225" t="s">
        <v>7662</v>
      </c>
      <c r="W225">
        <v>15</v>
      </c>
      <c r="X225" t="s">
        <v>7887</v>
      </c>
      <c r="Y225">
        <v>0.23883066906770459</v>
      </c>
      <c r="Z225" t="str">
        <f>HYPERLINK("Melting_Curves/meltCurve_sp_O75191_XYLB_HUMAN_.pdf", "Melting_Curves/meltCurve_sp_O75191_XYLB_HUMAN_.pdf")</f>
        <v>Melting_Curves/meltCurve_sp_O75191_XYLB_HUMAN_.pdf</v>
      </c>
      <c r="AA225" t="s">
        <v>11715</v>
      </c>
      <c r="AB225" t="s">
        <v>15466</v>
      </c>
    </row>
    <row r="226" spans="1:28" x14ac:dyDescent="0.25">
      <c r="A226" t="s">
        <v>230</v>
      </c>
      <c r="B226">
        <v>0.98876768158843997</v>
      </c>
      <c r="C226">
        <v>1.0371925992082001</v>
      </c>
      <c r="D226">
        <v>0.90526429619391602</v>
      </c>
      <c r="E226">
        <v>0.60056330114803302</v>
      </c>
      <c r="F226">
        <v>0.378711066663939</v>
      </c>
      <c r="G226">
        <v>0.20859192027409099</v>
      </c>
      <c r="H226">
        <v>0.132653203810564</v>
      </c>
      <c r="I226">
        <v>0.12146074219106399</v>
      </c>
      <c r="J226">
        <v>0.12605680241325401</v>
      </c>
      <c r="K226">
        <v>0.14025991711934899</v>
      </c>
      <c r="L226">
        <v>1077.73556167682</v>
      </c>
      <c r="M226">
        <v>21.300801246351501</v>
      </c>
      <c r="N226">
        <v>51.280844094312897</v>
      </c>
      <c r="O226">
        <v>50.156404731737801</v>
      </c>
      <c r="P226">
        <v>-9.3031311206864198E-2</v>
      </c>
      <c r="Q226">
        <v>0.12378926052060001</v>
      </c>
      <c r="R226">
        <v>0.99675576581944503</v>
      </c>
      <c r="S226" t="s">
        <v>4058</v>
      </c>
      <c r="T226" t="s">
        <v>7662</v>
      </c>
      <c r="U226" t="s">
        <v>7662</v>
      </c>
      <c r="V226" t="s">
        <v>7662</v>
      </c>
      <c r="W226">
        <v>5</v>
      </c>
      <c r="X226" t="s">
        <v>7888</v>
      </c>
      <c r="Y226">
        <v>0.44405608235741462</v>
      </c>
      <c r="Z226" t="str">
        <f>HYPERLINK("Melting_Curves/meltCurve_sp_O75208_COQ9_HUMAN_.pdf", "Melting_Curves/meltCurve_sp_O75208_COQ9_HUMAN_.pdf")</f>
        <v>Melting_Curves/meltCurve_sp_O75208_COQ9_HUMAN_.pdf</v>
      </c>
      <c r="AA226" t="s">
        <v>11716</v>
      </c>
      <c r="AB226" t="s">
        <v>15467</v>
      </c>
    </row>
    <row r="227" spans="1:28" x14ac:dyDescent="0.25">
      <c r="A227" t="s">
        <v>231</v>
      </c>
      <c r="B227">
        <v>0.98876768158843997</v>
      </c>
      <c r="C227">
        <v>1.1330895340960501</v>
      </c>
      <c r="D227">
        <v>0.86823960181017801</v>
      </c>
      <c r="E227">
        <v>0.79829812066829797</v>
      </c>
      <c r="F227">
        <v>0.99934315766330195</v>
      </c>
      <c r="G227">
        <v>0.62940108553643603</v>
      </c>
      <c r="H227">
        <v>0.17404402034989799</v>
      </c>
      <c r="I227">
        <v>7.8656155299876601E-2</v>
      </c>
      <c r="J227">
        <v>7.2834762193372704E-2</v>
      </c>
      <c r="K227">
        <v>6.9849637421577307E-2</v>
      </c>
      <c r="L227">
        <v>2149.7685268546502</v>
      </c>
      <c r="M227">
        <v>37.284060640994497</v>
      </c>
      <c r="N227">
        <v>57.873951205176702</v>
      </c>
      <c r="O227">
        <v>57.494072226091497</v>
      </c>
      <c r="P227">
        <v>-0.15164760168928801</v>
      </c>
      <c r="Q227">
        <v>6.4606958030968206E-2</v>
      </c>
      <c r="R227">
        <v>0.95578847518599197</v>
      </c>
      <c r="S227" t="s">
        <v>4059</v>
      </c>
      <c r="T227" t="s">
        <v>7662</v>
      </c>
      <c r="U227" t="s">
        <v>7662</v>
      </c>
      <c r="V227" t="s">
        <v>7662</v>
      </c>
      <c r="W227">
        <v>13</v>
      </c>
      <c r="X227" t="s">
        <v>7889</v>
      </c>
      <c r="Y227">
        <v>0.6194078156887064</v>
      </c>
      <c r="Z227" t="str">
        <f>HYPERLINK("Melting_Curves/meltCurve_sp_O75223_GGCT_HUMAN_.pdf", "Melting_Curves/meltCurve_sp_O75223_GGCT_HUMAN_.pdf")</f>
        <v>Melting_Curves/meltCurve_sp_O75223_GGCT_HUMAN_.pdf</v>
      </c>
      <c r="AA227" t="s">
        <v>11717</v>
      </c>
      <c r="AB227" t="s">
        <v>15468</v>
      </c>
    </row>
    <row r="228" spans="1:28" x14ac:dyDescent="0.25">
      <c r="A228" t="s">
        <v>232</v>
      </c>
      <c r="B228">
        <v>0.98876768158843997</v>
      </c>
      <c r="C228">
        <v>0.99671303395112099</v>
      </c>
      <c r="D228">
        <v>0.96907747043574299</v>
      </c>
      <c r="E228">
        <v>0.87911644525019295</v>
      </c>
      <c r="F228">
        <v>0.46793273572310901</v>
      </c>
      <c r="G228">
        <v>0.18828682762741999</v>
      </c>
      <c r="H228">
        <v>0.100193997724004</v>
      </c>
      <c r="I228">
        <v>8.4942105806330007E-2</v>
      </c>
      <c r="J228">
        <v>9.8256876573772606E-2</v>
      </c>
      <c r="K228">
        <v>7.8662729164777401E-2</v>
      </c>
      <c r="L228">
        <v>1723.0508620928399</v>
      </c>
      <c r="M228">
        <v>32.7751948326245</v>
      </c>
      <c r="N228">
        <v>52.901209264533797</v>
      </c>
      <c r="O228">
        <v>52.377246647819597</v>
      </c>
      <c r="P228">
        <v>-0.141998871259576</v>
      </c>
      <c r="Q228">
        <v>9.2304361943873606E-2</v>
      </c>
      <c r="R228">
        <v>0.99836074918206896</v>
      </c>
      <c r="S228" t="s">
        <v>4060</v>
      </c>
      <c r="T228" t="s">
        <v>7662</v>
      </c>
      <c r="U228" t="s">
        <v>7662</v>
      </c>
      <c r="V228" t="s">
        <v>7662</v>
      </c>
      <c r="W228">
        <v>5</v>
      </c>
      <c r="X228" t="s">
        <v>7890</v>
      </c>
      <c r="Y228">
        <v>0.47759325648117512</v>
      </c>
      <c r="Z228" t="str">
        <f>HYPERLINK("Melting_Curves/meltCurve_sp_O75323_NIPS2_HUMAN_.pdf", "Melting_Curves/meltCurve_sp_O75323_NIPS2_HUMAN_.pdf")</f>
        <v>Melting_Curves/meltCurve_sp_O75323_NIPS2_HUMAN_.pdf</v>
      </c>
      <c r="AA228" t="s">
        <v>11718</v>
      </c>
      <c r="AB228" t="s">
        <v>15469</v>
      </c>
    </row>
    <row r="229" spans="1:28" x14ac:dyDescent="0.25">
      <c r="A229" t="s">
        <v>233</v>
      </c>
      <c r="B229">
        <v>0.98876768158843997</v>
      </c>
      <c r="C229">
        <v>0.93179354352774302</v>
      </c>
      <c r="D229">
        <v>0.87907568910767797</v>
      </c>
      <c r="E229">
        <v>0.65845802783146301</v>
      </c>
      <c r="F229">
        <v>0.36050912953913999</v>
      </c>
      <c r="G229">
        <v>0.118058443522834</v>
      </c>
      <c r="H229">
        <v>7.62873737838628E-2</v>
      </c>
      <c r="I229">
        <v>5.9233072974541098E-2</v>
      </c>
      <c r="J229">
        <v>0.10417715341327</v>
      </c>
      <c r="K229">
        <v>7.4828539014963599E-2</v>
      </c>
      <c r="L229">
        <v>1064.28084910234</v>
      </c>
      <c r="M229">
        <v>20.851059381972</v>
      </c>
      <c r="N229">
        <v>51.353244727582897</v>
      </c>
      <c r="O229">
        <v>50.579522811333099</v>
      </c>
      <c r="P229">
        <v>-9.6946924286025707E-2</v>
      </c>
      <c r="Q229">
        <v>5.9348728342676502E-2</v>
      </c>
      <c r="R229">
        <v>0.99439189261261596</v>
      </c>
      <c r="S229" t="s">
        <v>4061</v>
      </c>
      <c r="T229" t="s">
        <v>7662</v>
      </c>
      <c r="U229" t="s">
        <v>7662</v>
      </c>
      <c r="V229" t="s">
        <v>7662</v>
      </c>
      <c r="W229">
        <v>1</v>
      </c>
      <c r="X229" t="s">
        <v>7891</v>
      </c>
      <c r="Y229">
        <v>0.41764507125730888</v>
      </c>
      <c r="Z229" t="str">
        <f>HYPERLINK("Melting_Curves/meltCurve_sp_O75340_PDCD6_HUMAN_.pdf", "Melting_Curves/meltCurve_sp_O75340_PDCD6_HUMAN_.pdf")</f>
        <v>Melting_Curves/meltCurve_sp_O75340_PDCD6_HUMAN_.pdf</v>
      </c>
      <c r="AA229" t="s">
        <v>11719</v>
      </c>
      <c r="AB229" t="s">
        <v>15470</v>
      </c>
    </row>
    <row r="230" spans="1:28" x14ac:dyDescent="0.25">
      <c r="A230" t="s">
        <v>234</v>
      </c>
      <c r="B230">
        <v>0.98876768158843997</v>
      </c>
      <c r="C230">
        <v>1.17652086453146</v>
      </c>
      <c r="D230">
        <v>0.91067083393630099</v>
      </c>
      <c r="E230">
        <v>0.831359187762164</v>
      </c>
      <c r="F230">
        <v>0.99326252614027399</v>
      </c>
      <c r="G230">
        <v>0.73586318681749596</v>
      </c>
      <c r="H230">
        <v>0.56221986453477002</v>
      </c>
      <c r="I230">
        <v>0.68925547722971603</v>
      </c>
      <c r="J230">
        <v>0.87166395420297504</v>
      </c>
      <c r="K230">
        <v>0.99757551027208902</v>
      </c>
      <c r="L230">
        <v>1059.57404813672</v>
      </c>
      <c r="M230">
        <v>21.056022568052001</v>
      </c>
      <c r="O230">
        <v>49.874365508008097</v>
      </c>
      <c r="P230">
        <v>-2.27862905707782E-2</v>
      </c>
      <c r="Q230">
        <v>0.78411466670201602</v>
      </c>
      <c r="R230">
        <v>0.36199928842171097</v>
      </c>
      <c r="S230" t="s">
        <v>4062</v>
      </c>
      <c r="T230" t="s">
        <v>7662</v>
      </c>
      <c r="U230" t="s">
        <v>7662</v>
      </c>
      <c r="V230" t="s">
        <v>7662</v>
      </c>
      <c r="W230">
        <v>16</v>
      </c>
      <c r="X230" t="s">
        <v>7892</v>
      </c>
      <c r="Y230">
        <v>0.86110859386595018</v>
      </c>
      <c r="Z230" t="str">
        <f>HYPERLINK("Melting_Curves/meltCurve_sp_O75347_TBCA_HUMAN_.pdf", "Melting_Curves/meltCurve_sp_O75347_TBCA_HUMAN_.pdf")</f>
        <v>Melting_Curves/meltCurve_sp_O75347_TBCA_HUMAN_.pdf</v>
      </c>
      <c r="AA230" t="s">
        <v>11720</v>
      </c>
      <c r="AB230" t="s">
        <v>15471</v>
      </c>
    </row>
    <row r="231" spans="1:28" x14ac:dyDescent="0.25">
      <c r="A231" t="s">
        <v>235</v>
      </c>
      <c r="B231">
        <v>0.98876768158843997</v>
      </c>
      <c r="C231">
        <v>0.95051972157596498</v>
      </c>
      <c r="D231">
        <v>1.0575591200969101</v>
      </c>
      <c r="E231">
        <v>0.90061230208073395</v>
      </c>
      <c r="F231">
        <v>0.52494622540767599</v>
      </c>
      <c r="G231">
        <v>0.276243266104854</v>
      </c>
      <c r="H231">
        <v>0.21227465380211399</v>
      </c>
      <c r="I231">
        <v>0.21363892387786901</v>
      </c>
      <c r="J231">
        <v>0.209947067492326</v>
      </c>
      <c r="K231">
        <v>0.32836680347837699</v>
      </c>
      <c r="L231">
        <v>2166.9803827502701</v>
      </c>
      <c r="M231">
        <v>41.407167538257397</v>
      </c>
      <c r="N231">
        <v>53.186084819209697</v>
      </c>
      <c r="O231">
        <v>52.211839971897</v>
      </c>
      <c r="P231">
        <v>-0.1501751112661</v>
      </c>
      <c r="Q231">
        <v>0.24255578189156901</v>
      </c>
      <c r="R231">
        <v>0.98614202713045696</v>
      </c>
      <c r="S231" t="s">
        <v>4063</v>
      </c>
      <c r="T231" t="s">
        <v>7662</v>
      </c>
      <c r="U231" t="s">
        <v>7662</v>
      </c>
      <c r="V231" t="s">
        <v>7662</v>
      </c>
      <c r="W231">
        <v>2</v>
      </c>
      <c r="X231" t="s">
        <v>7893</v>
      </c>
      <c r="Y231">
        <v>0.55650717458236287</v>
      </c>
      <c r="Z231" t="str">
        <f>HYPERLINK("Melting_Curves/meltCurve_sp_O75348_VATG1_HUMAN_.pdf", "Melting_Curves/meltCurve_sp_O75348_VATG1_HUMAN_.pdf")</f>
        <v>Melting_Curves/meltCurve_sp_O75348_VATG1_HUMAN_.pdf</v>
      </c>
      <c r="AA231" t="s">
        <v>11721</v>
      </c>
      <c r="AB231" t="s">
        <v>15472</v>
      </c>
    </row>
    <row r="232" spans="1:28" x14ac:dyDescent="0.25">
      <c r="A232" t="s">
        <v>236</v>
      </c>
      <c r="B232">
        <v>0.98876768158843997</v>
      </c>
      <c r="C232">
        <v>1.02705123380267</v>
      </c>
      <c r="D232">
        <v>0.60973790446168397</v>
      </c>
      <c r="E232">
        <v>0.25825919414562298</v>
      </c>
      <c r="F232">
        <v>0.16207571909819499</v>
      </c>
      <c r="G232">
        <v>9.2157055108860103E-2</v>
      </c>
      <c r="H232">
        <v>8.9132695349477806E-2</v>
      </c>
      <c r="I232">
        <v>5.36841003514055E-2</v>
      </c>
      <c r="J232">
        <v>5.7683928789841903E-2</v>
      </c>
      <c r="K232">
        <v>4.4093188161111199E-2</v>
      </c>
      <c r="L232">
        <v>1206.5095517591201</v>
      </c>
      <c r="M232">
        <v>25.666830860350299</v>
      </c>
      <c r="N232">
        <v>47.298571880823303</v>
      </c>
      <c r="O232">
        <v>46.723993287718102</v>
      </c>
      <c r="P232">
        <v>-0.12727121723830201</v>
      </c>
      <c r="Q232">
        <v>7.3270989255844896E-2</v>
      </c>
      <c r="R232">
        <v>0.98779926479711599</v>
      </c>
      <c r="S232" t="s">
        <v>4064</v>
      </c>
      <c r="T232" t="s">
        <v>7662</v>
      </c>
      <c r="U232" t="s">
        <v>7662</v>
      </c>
      <c r="V232" t="s">
        <v>7662</v>
      </c>
      <c r="W232">
        <v>8</v>
      </c>
      <c r="X232" t="s">
        <v>7894</v>
      </c>
      <c r="Y232">
        <v>0.29751763285179278</v>
      </c>
      <c r="Z232" t="str">
        <f>HYPERLINK("Melting_Curves/meltCurve_sp_O75351_VPS4B_HUMAN_.pdf", "Melting_Curves/meltCurve_sp_O75351_VPS4B_HUMAN_.pdf")</f>
        <v>Melting_Curves/meltCurve_sp_O75351_VPS4B_HUMAN_.pdf</v>
      </c>
      <c r="AA232" t="s">
        <v>11722</v>
      </c>
      <c r="AB232" t="s">
        <v>15473</v>
      </c>
    </row>
    <row r="233" spans="1:28" x14ac:dyDescent="0.25">
      <c r="A233" t="s">
        <v>237</v>
      </c>
      <c r="B233">
        <v>0.98876768158843997</v>
      </c>
      <c r="C233">
        <v>0.96515810886244002</v>
      </c>
      <c r="D233">
        <v>0.77714959393635197</v>
      </c>
      <c r="E233">
        <v>0.40450762957219799</v>
      </c>
      <c r="F233">
        <v>0.164287552074352</v>
      </c>
      <c r="G233">
        <v>8.7346926446553202E-2</v>
      </c>
      <c r="H233">
        <v>5.1501964915108098E-2</v>
      </c>
      <c r="I233">
        <v>3.8058102249819301E-2</v>
      </c>
      <c r="J233">
        <v>4.0393458767661997E-2</v>
      </c>
      <c r="K233">
        <v>3.0829008589918799E-2</v>
      </c>
      <c r="L233">
        <v>1042.9395181187799</v>
      </c>
      <c r="M233">
        <v>21.396215958370899</v>
      </c>
      <c r="N233">
        <v>48.909800804562501</v>
      </c>
      <c r="O233">
        <v>48.324310124287798</v>
      </c>
      <c r="P233">
        <v>-0.106823735516546</v>
      </c>
      <c r="Q233">
        <v>3.4959328568524503E-2</v>
      </c>
      <c r="R233">
        <v>0.99928632650957505</v>
      </c>
      <c r="S233" t="s">
        <v>4065</v>
      </c>
      <c r="T233" t="s">
        <v>7662</v>
      </c>
      <c r="U233" t="s">
        <v>7662</v>
      </c>
      <c r="V233" t="s">
        <v>7662</v>
      </c>
      <c r="W233">
        <v>10</v>
      </c>
      <c r="X233" t="s">
        <v>7895</v>
      </c>
      <c r="Y233">
        <v>0.32803349060152398</v>
      </c>
      <c r="Z233" t="str">
        <f>HYPERLINK("Melting_Curves/meltCurve_sp_O75356_ENTP5_HUMAN_.pdf", "Melting_Curves/meltCurve_sp_O75356_ENTP5_HUMAN_.pdf")</f>
        <v>Melting_Curves/meltCurve_sp_O75356_ENTP5_HUMAN_.pdf</v>
      </c>
      <c r="AA233" t="s">
        <v>11723</v>
      </c>
      <c r="AB233" t="s">
        <v>15474</v>
      </c>
    </row>
    <row r="234" spans="1:28" x14ac:dyDescent="0.25">
      <c r="A234" t="s">
        <v>238</v>
      </c>
      <c r="B234">
        <v>0.98876768158843997</v>
      </c>
      <c r="C234">
        <v>1.1192407329754399</v>
      </c>
      <c r="D234">
        <v>0.83007786803264405</v>
      </c>
      <c r="E234">
        <v>0.671124714775725</v>
      </c>
      <c r="F234">
        <v>0.74946985617997397</v>
      </c>
      <c r="G234">
        <v>0.50518733156905105</v>
      </c>
      <c r="H234">
        <v>0.380612519082701</v>
      </c>
      <c r="I234">
        <v>0.48608424607219902</v>
      </c>
      <c r="J234">
        <v>0.55651219355199399</v>
      </c>
      <c r="K234">
        <v>0.65261444224375997</v>
      </c>
      <c r="L234">
        <v>953.17742954430798</v>
      </c>
      <c r="M234">
        <v>19.4229893528858</v>
      </c>
      <c r="O234">
        <v>48.563379543869303</v>
      </c>
      <c r="P234">
        <v>-4.7741017487013697E-2</v>
      </c>
      <c r="Q234">
        <v>0.52254923100152895</v>
      </c>
      <c r="R234">
        <v>0.81242981976211204</v>
      </c>
      <c r="S234" t="s">
        <v>4066</v>
      </c>
      <c r="T234" t="s">
        <v>7662</v>
      </c>
      <c r="U234" t="s">
        <v>7662</v>
      </c>
      <c r="V234" t="s">
        <v>7662</v>
      </c>
      <c r="W234">
        <v>7</v>
      </c>
      <c r="X234" t="s">
        <v>7896</v>
      </c>
      <c r="Y234">
        <v>0.67406441749414414</v>
      </c>
      <c r="Z234" t="str">
        <f>HYPERLINK("Melting_Curves/meltCurve_sp_O75368_SH3L1_HUMAN_.pdf", "Melting_Curves/meltCurve_sp_O75368_SH3L1_HUMAN_.pdf")</f>
        <v>Melting_Curves/meltCurve_sp_O75368_SH3L1_HUMAN_.pdf</v>
      </c>
      <c r="AA234" t="s">
        <v>11724</v>
      </c>
      <c r="AB234" t="s">
        <v>15475</v>
      </c>
    </row>
    <row r="235" spans="1:28" x14ac:dyDescent="0.25">
      <c r="A235" t="s">
        <v>239</v>
      </c>
      <c r="B235">
        <v>0.98876768158843997</v>
      </c>
      <c r="C235">
        <v>0.90353336217290803</v>
      </c>
      <c r="D235">
        <v>1.04880032681957</v>
      </c>
      <c r="E235">
        <v>0.97938893768136104</v>
      </c>
      <c r="F235">
        <v>0.67521782922217899</v>
      </c>
      <c r="G235">
        <v>0.25335208836802697</v>
      </c>
      <c r="H235">
        <v>0.126080151165747</v>
      </c>
      <c r="I235">
        <v>9.3566207627949802E-2</v>
      </c>
      <c r="J235">
        <v>8.3810941320474397E-2</v>
      </c>
      <c r="K235">
        <v>6.8396489451810399E-2</v>
      </c>
      <c r="L235">
        <v>1723.7434295477101</v>
      </c>
      <c r="M235">
        <v>31.824450129120802</v>
      </c>
      <c r="N235">
        <v>54.485670670954001</v>
      </c>
      <c r="O235">
        <v>53.951608343859</v>
      </c>
      <c r="P235">
        <v>-0.13484277243262799</v>
      </c>
      <c r="Q235">
        <v>8.5615495738194797E-2</v>
      </c>
      <c r="R235">
        <v>0.99118934757136001</v>
      </c>
      <c r="S235" t="s">
        <v>4067</v>
      </c>
      <c r="T235" t="s">
        <v>7662</v>
      </c>
      <c r="U235" t="s">
        <v>7662</v>
      </c>
      <c r="V235" t="s">
        <v>7662</v>
      </c>
      <c r="W235">
        <v>140</v>
      </c>
      <c r="X235" t="s">
        <v>7897</v>
      </c>
      <c r="Y235">
        <v>0.52269843606578481</v>
      </c>
      <c r="Z235" t="str">
        <f>HYPERLINK("Melting_Curves/meltCurve_sp_O75369_8_FLNB_HUMAN_.pdf", "Melting_Curves/meltCurve_sp_O75369_8_FLNB_HUMAN_.pdf")</f>
        <v>Melting_Curves/meltCurve_sp_O75369_8_FLNB_HUMAN_.pdf</v>
      </c>
      <c r="AA235" t="s">
        <v>11725</v>
      </c>
      <c r="AB235" t="s">
        <v>15476</v>
      </c>
    </row>
    <row r="236" spans="1:28" x14ac:dyDescent="0.25">
      <c r="A236" t="s">
        <v>240</v>
      </c>
      <c r="B236">
        <v>0.98876768158843997</v>
      </c>
      <c r="C236">
        <v>0.98396846174823605</v>
      </c>
      <c r="D236">
        <v>0.93778670716635704</v>
      </c>
      <c r="E236">
        <v>0.58262690329681899</v>
      </c>
      <c r="F236">
        <v>0.61401938952588697</v>
      </c>
      <c r="G236">
        <v>0.47145486968307099</v>
      </c>
      <c r="H236">
        <v>0.34915587401760001</v>
      </c>
      <c r="I236">
        <v>0.45843844468350597</v>
      </c>
      <c r="J236">
        <v>0.46649344713289198</v>
      </c>
      <c r="K236">
        <v>0.60999055671698199</v>
      </c>
      <c r="L236">
        <v>1455.47431198807</v>
      </c>
      <c r="M236">
        <v>30.043988900706601</v>
      </c>
      <c r="N236">
        <v>54.455943925581103</v>
      </c>
      <c r="O236">
        <v>48.231673416708297</v>
      </c>
      <c r="P236">
        <v>-8.0689329352068406E-2</v>
      </c>
      <c r="Q236">
        <v>0.48185898234285202</v>
      </c>
      <c r="R236">
        <v>0.90700500074993595</v>
      </c>
      <c r="S236" t="s">
        <v>4068</v>
      </c>
      <c r="T236" t="s">
        <v>7662</v>
      </c>
      <c r="U236" t="s">
        <v>7662</v>
      </c>
      <c r="V236" t="s">
        <v>7662</v>
      </c>
      <c r="W236">
        <v>6</v>
      </c>
      <c r="X236" t="s">
        <v>7898</v>
      </c>
      <c r="Y236">
        <v>0.63083523804268182</v>
      </c>
      <c r="Z236" t="str">
        <f>HYPERLINK("Melting_Curves/meltCurve_sp_O75376_NCOR1_HUMAN_.pdf", "Melting_Curves/meltCurve_sp_O75376_NCOR1_HUMAN_.pdf")</f>
        <v>Melting_Curves/meltCurve_sp_O75376_NCOR1_HUMAN_.pdf</v>
      </c>
      <c r="AA236" t="s">
        <v>11726</v>
      </c>
      <c r="AB236" t="s">
        <v>15477</v>
      </c>
    </row>
    <row r="237" spans="1:28" x14ac:dyDescent="0.25">
      <c r="A237" t="s">
        <v>241</v>
      </c>
      <c r="B237">
        <v>0.98876768158843997</v>
      </c>
      <c r="C237">
        <v>0.98218503933572598</v>
      </c>
      <c r="D237">
        <v>0.99123455388593196</v>
      </c>
      <c r="E237">
        <v>0.69144689862691</v>
      </c>
      <c r="F237">
        <v>0.56466720963573902</v>
      </c>
      <c r="G237">
        <v>0.38327384286833399</v>
      </c>
      <c r="H237">
        <v>0.26401337473793501</v>
      </c>
      <c r="I237">
        <v>0.32681370107142899</v>
      </c>
      <c r="J237">
        <v>0.322502962794041</v>
      </c>
      <c r="K237">
        <v>0.38259943552755099</v>
      </c>
      <c r="L237">
        <v>1160.14246280525</v>
      </c>
      <c r="M237">
        <v>22.757200997858099</v>
      </c>
      <c r="N237">
        <v>53.411743316023603</v>
      </c>
      <c r="O237">
        <v>50.590376866325798</v>
      </c>
      <c r="P237">
        <v>-7.6175390816533697E-2</v>
      </c>
      <c r="Q237">
        <v>0.32264653466112098</v>
      </c>
      <c r="R237">
        <v>0.981867900638423</v>
      </c>
      <c r="S237" t="s">
        <v>4069</v>
      </c>
      <c r="T237" t="s">
        <v>7662</v>
      </c>
      <c r="U237" t="s">
        <v>7662</v>
      </c>
      <c r="V237" t="s">
        <v>7662</v>
      </c>
      <c r="W237">
        <v>4</v>
      </c>
      <c r="X237" t="s">
        <v>7899</v>
      </c>
      <c r="Y237">
        <v>0.57788911455495362</v>
      </c>
      <c r="Z237" t="str">
        <f>HYPERLINK("Melting_Curves/meltCurve_sp_O75380_NDUS6_HUMAN_.pdf", "Melting_Curves/meltCurve_sp_O75380_NDUS6_HUMAN_.pdf")</f>
        <v>Melting_Curves/meltCurve_sp_O75380_NDUS6_HUMAN_.pdf</v>
      </c>
      <c r="AA237" t="s">
        <v>11727</v>
      </c>
      <c r="AB237" t="s">
        <v>15478</v>
      </c>
    </row>
    <row r="238" spans="1:28" x14ac:dyDescent="0.25">
      <c r="A238" t="s">
        <v>242</v>
      </c>
      <c r="B238">
        <v>0.98876768158843997</v>
      </c>
      <c r="C238">
        <v>1.1179731922542899</v>
      </c>
      <c r="D238">
        <v>0.84794533790562698</v>
      </c>
      <c r="E238">
        <v>0.70352046179227401</v>
      </c>
      <c r="F238">
        <v>0.92590158665704003</v>
      </c>
      <c r="G238">
        <v>0.57037976433126603</v>
      </c>
      <c r="H238">
        <v>0.30601579820605301</v>
      </c>
      <c r="I238">
        <v>0.21039096498669899</v>
      </c>
      <c r="J238">
        <v>0.175505071698906</v>
      </c>
      <c r="K238">
        <v>0.16919339941539299</v>
      </c>
      <c r="L238">
        <v>714.58390614649204</v>
      </c>
      <c r="M238">
        <v>12.382407266970199</v>
      </c>
      <c r="N238">
        <v>57.974492609306601</v>
      </c>
      <c r="O238">
        <v>56.266402265876302</v>
      </c>
      <c r="P238">
        <v>-5.35151421950796E-2</v>
      </c>
      <c r="Q238">
        <v>2.7503516121172699E-2</v>
      </c>
      <c r="R238">
        <v>0.92192674720245205</v>
      </c>
      <c r="S238" t="s">
        <v>4070</v>
      </c>
      <c r="T238" t="s">
        <v>7662</v>
      </c>
      <c r="U238" t="s">
        <v>7662</v>
      </c>
      <c r="V238" t="s">
        <v>7662</v>
      </c>
      <c r="W238">
        <v>10</v>
      </c>
      <c r="X238" t="s">
        <v>7900</v>
      </c>
      <c r="Y238">
        <v>0.61535344387154534</v>
      </c>
      <c r="Z238" t="str">
        <f>HYPERLINK("Melting_Curves/meltCurve_sp_O75396_SC22B_HUMAN_.pdf", "Melting_Curves/meltCurve_sp_O75396_SC22B_HUMAN_.pdf")</f>
        <v>Melting_Curves/meltCurve_sp_O75396_SC22B_HUMAN_.pdf</v>
      </c>
      <c r="AA238" t="s">
        <v>11728</v>
      </c>
      <c r="AB238" t="s">
        <v>15479</v>
      </c>
    </row>
    <row r="239" spans="1:28" x14ac:dyDescent="0.25">
      <c r="A239" t="s">
        <v>243</v>
      </c>
      <c r="B239">
        <v>0.98876768158843997</v>
      </c>
      <c r="C239">
        <v>1.13554066143295</v>
      </c>
      <c r="D239">
        <v>0.77820993076606004</v>
      </c>
      <c r="E239">
        <v>0.52858616545076298</v>
      </c>
      <c r="F239">
        <v>0.59136514944964103</v>
      </c>
      <c r="G239">
        <v>0.38479975713272102</v>
      </c>
      <c r="H239">
        <v>0.30354814851669798</v>
      </c>
      <c r="I239">
        <v>0.437804385649258</v>
      </c>
      <c r="J239">
        <v>0.37466912690827298</v>
      </c>
      <c r="K239">
        <v>0.57545940414642205</v>
      </c>
      <c r="L239">
        <v>1390.6853656365399</v>
      </c>
      <c r="M239">
        <v>29.390506540727301</v>
      </c>
      <c r="N239">
        <v>50.907318553148002</v>
      </c>
      <c r="O239">
        <v>47.100060004436301</v>
      </c>
      <c r="P239">
        <v>-8.78185628034093E-2</v>
      </c>
      <c r="Q239">
        <v>0.43706572751229</v>
      </c>
      <c r="R239">
        <v>0.86822143863801304</v>
      </c>
      <c r="S239" t="s">
        <v>4071</v>
      </c>
      <c r="T239" t="s">
        <v>7662</v>
      </c>
      <c r="U239" t="s">
        <v>7662</v>
      </c>
      <c r="V239" t="s">
        <v>7662</v>
      </c>
      <c r="W239">
        <v>2</v>
      </c>
      <c r="X239" t="s">
        <v>7901</v>
      </c>
      <c r="Y239">
        <v>0.57790149880304442</v>
      </c>
      <c r="Z239" t="str">
        <f>HYPERLINK("Melting_Curves/meltCurve_sp_O75400_2_PR40A_HUMAN_.pdf", "Melting_Curves/meltCurve_sp_O75400_2_PR40A_HUMAN_.pdf")</f>
        <v>Melting_Curves/meltCurve_sp_O75400_2_PR40A_HUMAN_.pdf</v>
      </c>
      <c r="AA239" t="s">
        <v>11729</v>
      </c>
      <c r="AB239" t="s">
        <v>15480</v>
      </c>
    </row>
    <row r="240" spans="1:28" x14ac:dyDescent="0.25">
      <c r="A240" t="s">
        <v>244</v>
      </c>
      <c r="B240">
        <v>0.98876768158843997</v>
      </c>
      <c r="C240">
        <v>0.91525972875555905</v>
      </c>
      <c r="D240">
        <v>0.80735406034386603</v>
      </c>
      <c r="E240">
        <v>0.70036948806948796</v>
      </c>
      <c r="F240">
        <v>0.49927265250365799</v>
      </c>
      <c r="G240">
        <v>0.38481531313016798</v>
      </c>
      <c r="H240">
        <v>0.223789765418414</v>
      </c>
      <c r="I240">
        <v>0.11251289103063</v>
      </c>
      <c r="J240">
        <v>0.21064630309974799</v>
      </c>
      <c r="K240">
        <v>4.7069420517235797E-2</v>
      </c>
      <c r="L240">
        <v>526.03493108044995</v>
      </c>
      <c r="M240">
        <v>9.8189196559678908</v>
      </c>
      <c r="N240">
        <v>53.573605257666301</v>
      </c>
      <c r="O240">
        <v>51.493303803316003</v>
      </c>
      <c r="P240">
        <v>-4.7695719314110901E-2</v>
      </c>
      <c r="Q240">
        <v>0</v>
      </c>
      <c r="R240">
        <v>0.984484207865017</v>
      </c>
      <c r="S240" t="s">
        <v>4072</v>
      </c>
      <c r="T240" t="s">
        <v>7662</v>
      </c>
      <c r="U240" t="s">
        <v>7662</v>
      </c>
      <c r="V240" t="s">
        <v>7662</v>
      </c>
      <c r="W240">
        <v>2</v>
      </c>
      <c r="X240" t="s">
        <v>7902</v>
      </c>
      <c r="Y240">
        <v>0.48485693476832198</v>
      </c>
      <c r="Z240" t="str">
        <f>HYPERLINK("Melting_Curves/meltCurve_sp_O75414_2_NDK6_HUMAN_.pdf", "Melting_Curves/meltCurve_sp_O75414_2_NDK6_HUMAN_.pdf")</f>
        <v>Melting_Curves/meltCurve_sp_O75414_2_NDK6_HUMAN_.pdf</v>
      </c>
      <c r="AA240" t="s">
        <v>11730</v>
      </c>
      <c r="AB240" t="s">
        <v>15481</v>
      </c>
    </row>
    <row r="241" spans="1:28" x14ac:dyDescent="0.25">
      <c r="A241" t="s">
        <v>245</v>
      </c>
      <c r="B241">
        <v>0.98876768158843997</v>
      </c>
      <c r="C241">
        <v>0.88041751508755295</v>
      </c>
      <c r="D241">
        <v>0.96829787912117804</v>
      </c>
      <c r="E241">
        <v>0.78483767555351902</v>
      </c>
      <c r="F241">
        <v>0.59237793369578096</v>
      </c>
      <c r="G241">
        <v>0.30511115446777398</v>
      </c>
      <c r="H241">
        <v>9.3346707982023394E-2</v>
      </c>
      <c r="I241">
        <v>7.4667166110734096E-2</v>
      </c>
      <c r="J241">
        <v>9.5387496086860105E-2</v>
      </c>
      <c r="K241">
        <v>6.7795636304313206E-2</v>
      </c>
      <c r="L241">
        <v>957.90880388363098</v>
      </c>
      <c r="M241">
        <v>17.838981322189198</v>
      </c>
      <c r="N241">
        <v>53.942444259057297</v>
      </c>
      <c r="O241">
        <v>53.036353312670201</v>
      </c>
      <c r="P241">
        <v>-8.0821291507257004E-2</v>
      </c>
      <c r="Q241">
        <v>3.8902982149174301E-2</v>
      </c>
      <c r="R241">
        <v>0.98854742617185198</v>
      </c>
      <c r="S241" t="s">
        <v>4073</v>
      </c>
      <c r="T241" t="s">
        <v>7662</v>
      </c>
      <c r="U241" t="s">
        <v>7662</v>
      </c>
      <c r="V241" t="s">
        <v>7662</v>
      </c>
      <c r="W241">
        <v>8</v>
      </c>
      <c r="X241" t="s">
        <v>7903</v>
      </c>
      <c r="Y241">
        <v>0.49343640757515</v>
      </c>
      <c r="Z241" t="str">
        <f>HYPERLINK("Melting_Curves/meltCurve_sp_O75436_VP26A_HUMAN_.pdf", "Melting_Curves/meltCurve_sp_O75436_VP26A_HUMAN_.pdf")</f>
        <v>Melting_Curves/meltCurve_sp_O75436_VP26A_HUMAN_.pdf</v>
      </c>
      <c r="AA241" t="s">
        <v>11731</v>
      </c>
      <c r="AB241" t="s">
        <v>15482</v>
      </c>
    </row>
    <row r="242" spans="1:28" x14ac:dyDescent="0.25">
      <c r="A242" t="s">
        <v>246</v>
      </c>
      <c r="B242">
        <v>0.98876768158843997</v>
      </c>
      <c r="C242">
        <v>0.87524425971768005</v>
      </c>
      <c r="D242">
        <v>0.56560415238735995</v>
      </c>
      <c r="E242">
        <v>0.21479467676366901</v>
      </c>
      <c r="F242">
        <v>0.102831556219503</v>
      </c>
      <c r="G242">
        <v>5.7719477555356703E-2</v>
      </c>
      <c r="H242">
        <v>3.66709294796198E-2</v>
      </c>
      <c r="I242">
        <v>3.2343986855596203E-2</v>
      </c>
      <c r="J242">
        <v>3.5357944157341198E-2</v>
      </c>
      <c r="K242">
        <v>3.12127429885154E-2</v>
      </c>
      <c r="L242">
        <v>1013.72485720193</v>
      </c>
      <c r="M242">
        <v>21.791127896542299</v>
      </c>
      <c r="N242">
        <v>46.673805891148199</v>
      </c>
      <c r="O242">
        <v>46.133626439187303</v>
      </c>
      <c r="P242">
        <v>-0.114000329842005</v>
      </c>
      <c r="Q242">
        <v>3.4629916584773997E-2</v>
      </c>
      <c r="R242">
        <v>0.99954247575760302</v>
      </c>
      <c r="S242" t="s">
        <v>4074</v>
      </c>
      <c r="T242" t="s">
        <v>7662</v>
      </c>
      <c r="U242" t="s">
        <v>7662</v>
      </c>
      <c r="V242" t="s">
        <v>7662</v>
      </c>
      <c r="W242">
        <v>15</v>
      </c>
      <c r="X242" t="s">
        <v>7904</v>
      </c>
      <c r="Y242">
        <v>0.25634569705978988</v>
      </c>
      <c r="Z242" t="str">
        <f>HYPERLINK("Melting_Curves/meltCurve_sp_O75439_MPPB_HUMAN_.pdf", "Melting_Curves/meltCurve_sp_O75439_MPPB_HUMAN_.pdf")</f>
        <v>Melting_Curves/meltCurve_sp_O75439_MPPB_HUMAN_.pdf</v>
      </c>
      <c r="AA242" t="s">
        <v>11732</v>
      </c>
      <c r="AB242" t="s">
        <v>15483</v>
      </c>
    </row>
    <row r="243" spans="1:28" x14ac:dyDescent="0.25">
      <c r="A243" t="s">
        <v>247</v>
      </c>
      <c r="B243">
        <v>0.98876768158843997</v>
      </c>
      <c r="C243">
        <v>0.90507968503722502</v>
      </c>
      <c r="D243">
        <v>1.0839197468850701</v>
      </c>
      <c r="E243">
        <v>0.52771378124606005</v>
      </c>
      <c r="F243">
        <v>0.24789948642892301</v>
      </c>
      <c r="G243">
        <v>0.20382274657483801</v>
      </c>
      <c r="H243">
        <v>0.108440216783079</v>
      </c>
      <c r="I243">
        <v>0.16572611559300199</v>
      </c>
      <c r="J243">
        <v>0.14017949659995299</v>
      </c>
      <c r="K243">
        <v>0.210016532323373</v>
      </c>
      <c r="L243">
        <v>2676.7788755955398</v>
      </c>
      <c r="M243">
        <v>53.768233346264402</v>
      </c>
      <c r="N243">
        <v>50.179928470152099</v>
      </c>
      <c r="O243">
        <v>49.714927864269498</v>
      </c>
      <c r="P243">
        <v>-0.223607408817355</v>
      </c>
      <c r="Q243">
        <v>0.172997262885588</v>
      </c>
      <c r="R243">
        <v>0.97969738735936696</v>
      </c>
      <c r="S243" t="s">
        <v>4075</v>
      </c>
      <c r="T243" t="s">
        <v>7662</v>
      </c>
      <c r="U243" t="s">
        <v>7662</v>
      </c>
      <c r="V243" t="s">
        <v>7662</v>
      </c>
      <c r="W243">
        <v>5</v>
      </c>
      <c r="X243" t="s">
        <v>7905</v>
      </c>
      <c r="Y243">
        <v>0.44427003033953871</v>
      </c>
      <c r="Z243" t="str">
        <f>HYPERLINK("Melting_Curves/meltCurve_sp_O75452_RDH16_HUMAN_.pdf", "Melting_Curves/meltCurve_sp_O75452_RDH16_HUMAN_.pdf")</f>
        <v>Melting_Curves/meltCurve_sp_O75452_RDH16_HUMAN_.pdf</v>
      </c>
      <c r="AA243" t="s">
        <v>11733</v>
      </c>
      <c r="AB243" t="s">
        <v>15484</v>
      </c>
    </row>
    <row r="244" spans="1:28" x14ac:dyDescent="0.25">
      <c r="A244" t="s">
        <v>248</v>
      </c>
      <c r="B244">
        <v>0.98876768158843997</v>
      </c>
      <c r="C244">
        <v>1.14717748383306</v>
      </c>
      <c r="D244">
        <v>0.89502201058500297</v>
      </c>
      <c r="E244">
        <v>0.75482306758471995</v>
      </c>
      <c r="F244">
        <v>0.80176051349831501</v>
      </c>
      <c r="G244">
        <v>0.59680835551202904</v>
      </c>
      <c r="H244">
        <v>0.58513448993229999</v>
      </c>
      <c r="I244">
        <v>0.47060909893611402</v>
      </c>
      <c r="J244">
        <v>1.2527709312947299</v>
      </c>
      <c r="K244">
        <v>0.72313960288299295</v>
      </c>
      <c r="L244">
        <v>11517.717156630801</v>
      </c>
      <c r="M244">
        <v>250</v>
      </c>
      <c r="O244">
        <v>46.067933047682502</v>
      </c>
      <c r="P244">
        <v>-0.35176204556694701</v>
      </c>
      <c r="Q244">
        <v>0.74072086537969295</v>
      </c>
      <c r="R244">
        <v>0.28684483716507098</v>
      </c>
      <c r="S244" t="s">
        <v>4076</v>
      </c>
      <c r="T244" t="s">
        <v>7662</v>
      </c>
      <c r="U244" t="s">
        <v>7662</v>
      </c>
      <c r="V244" t="s">
        <v>7662</v>
      </c>
      <c r="W244">
        <v>4</v>
      </c>
      <c r="X244" t="s">
        <v>7906</v>
      </c>
      <c r="Y244">
        <v>0.79321014784192168</v>
      </c>
      <c r="Z244" t="str">
        <f>HYPERLINK("Melting_Curves/meltCurve_sp_O75475_PSIP1_HUMAN_.pdf", "Melting_Curves/meltCurve_sp_O75475_PSIP1_HUMAN_.pdf")</f>
        <v>Melting_Curves/meltCurve_sp_O75475_PSIP1_HUMAN_.pdf</v>
      </c>
      <c r="AA244" t="s">
        <v>11734</v>
      </c>
      <c r="AB244" t="s">
        <v>15485</v>
      </c>
    </row>
    <row r="245" spans="1:28" x14ac:dyDescent="0.25">
      <c r="A245" t="s">
        <v>249</v>
      </c>
      <c r="B245">
        <v>0.98876768158843997</v>
      </c>
      <c r="C245">
        <v>1.0229077188107401</v>
      </c>
      <c r="D245">
        <v>0.86915526441549296</v>
      </c>
      <c r="E245">
        <v>0.74086412434049198</v>
      </c>
      <c r="F245">
        <v>0.50408780243950102</v>
      </c>
      <c r="G245">
        <v>0.118242970297983</v>
      </c>
      <c r="H245">
        <v>5.5906588240884902E-2</v>
      </c>
      <c r="I245">
        <v>3.2081180274116203E-2</v>
      </c>
      <c r="J245">
        <v>3.76488070924356E-2</v>
      </c>
      <c r="K245">
        <v>2.3521991356877301E-2</v>
      </c>
      <c r="L245">
        <v>1074.2054353742201</v>
      </c>
      <c r="M245">
        <v>20.446261166456399</v>
      </c>
      <c r="N245">
        <v>52.572047816884599</v>
      </c>
      <c r="O245">
        <v>52.0431646166302</v>
      </c>
      <c r="P245">
        <v>-9.7574321129645203E-2</v>
      </c>
      <c r="Q245">
        <v>6.5812194337744601E-3</v>
      </c>
      <c r="R245">
        <v>0.99219992641888499</v>
      </c>
      <c r="S245" t="s">
        <v>4077</v>
      </c>
      <c r="T245" t="s">
        <v>7662</v>
      </c>
      <c r="U245" t="s">
        <v>7662</v>
      </c>
      <c r="V245" t="s">
        <v>7662</v>
      </c>
      <c r="W245">
        <v>7</v>
      </c>
      <c r="X245" t="s">
        <v>7907</v>
      </c>
      <c r="Y245">
        <v>0.43495218507727751</v>
      </c>
      <c r="Z245" t="str">
        <f>HYPERLINK("Melting_Curves/meltCurve_sp_O75503_CLN5_HUMAN_.pdf", "Melting_Curves/meltCurve_sp_O75503_CLN5_HUMAN_.pdf")</f>
        <v>Melting_Curves/meltCurve_sp_O75503_CLN5_HUMAN_.pdf</v>
      </c>
      <c r="AA245" t="s">
        <v>11735</v>
      </c>
      <c r="AB245" t="s">
        <v>15486</v>
      </c>
    </row>
    <row r="246" spans="1:28" x14ac:dyDescent="0.25">
      <c r="A246" t="s">
        <v>250</v>
      </c>
      <c r="B246">
        <v>0.98876768158843997</v>
      </c>
      <c r="C246">
        <v>0.98288878482706399</v>
      </c>
      <c r="D246">
        <v>0.959577150314882</v>
      </c>
      <c r="E246">
        <v>0.862278414144383</v>
      </c>
      <c r="F246">
        <v>0.72625650369528705</v>
      </c>
      <c r="G246">
        <v>0.42068179106732501</v>
      </c>
      <c r="H246">
        <v>0.37447518571844102</v>
      </c>
      <c r="I246">
        <v>0.338895788646489</v>
      </c>
      <c r="J246">
        <v>0.43177938495767698</v>
      </c>
      <c r="K246">
        <v>0.29457424727887699</v>
      </c>
      <c r="L246">
        <v>1280.0647768445799</v>
      </c>
      <c r="M246">
        <v>24.036407421184499</v>
      </c>
      <c r="N246">
        <v>55.961326268092499</v>
      </c>
      <c r="O246">
        <v>52.890735615578997</v>
      </c>
      <c r="P246">
        <v>-7.4574952778994993E-2</v>
      </c>
      <c r="Q246">
        <v>0.34361869436146703</v>
      </c>
      <c r="R246">
        <v>0.98189695528523302</v>
      </c>
      <c r="S246" t="s">
        <v>4078</v>
      </c>
      <c r="T246" t="s">
        <v>7662</v>
      </c>
      <c r="U246" t="s">
        <v>7662</v>
      </c>
      <c r="V246" t="s">
        <v>7662</v>
      </c>
      <c r="W246">
        <v>2</v>
      </c>
      <c r="X246" t="s">
        <v>7908</v>
      </c>
      <c r="Y246">
        <v>0.64014574597486651</v>
      </c>
      <c r="Z246" t="str">
        <f>HYPERLINK("Melting_Curves/meltCurve_sp_O75506_HSBP1_HUMAN_.pdf", "Melting_Curves/meltCurve_sp_O75506_HSBP1_HUMAN_.pdf")</f>
        <v>Melting_Curves/meltCurve_sp_O75506_HSBP1_HUMAN_.pdf</v>
      </c>
      <c r="AA246" t="s">
        <v>11736</v>
      </c>
      <c r="AB246" t="s">
        <v>15487</v>
      </c>
    </row>
    <row r="247" spans="1:28" x14ac:dyDescent="0.25">
      <c r="A247" t="s">
        <v>251</v>
      </c>
      <c r="B247">
        <v>0.98876768158843997</v>
      </c>
      <c r="C247">
        <v>0.80609426462723599</v>
      </c>
      <c r="D247">
        <v>0.98749849461150396</v>
      </c>
      <c r="E247">
        <v>0.59455480645362002</v>
      </c>
      <c r="F247">
        <v>0.27336165291548198</v>
      </c>
      <c r="G247">
        <v>0.123721083084812</v>
      </c>
      <c r="H247">
        <v>5.8082889723265502E-2</v>
      </c>
      <c r="I247">
        <v>3.7961134015024697E-2</v>
      </c>
      <c r="J247">
        <v>6.5555312133137505E-2</v>
      </c>
      <c r="K247">
        <v>3.5943809880240499E-2</v>
      </c>
      <c r="L247">
        <v>1264.3238787693101</v>
      </c>
      <c r="M247">
        <v>24.964513827058699</v>
      </c>
      <c r="N247">
        <v>50.846312197389999</v>
      </c>
      <c r="O247">
        <v>50.3232415921076</v>
      </c>
      <c r="P247">
        <v>-0.118182154668831</v>
      </c>
      <c r="Q247">
        <v>4.7091052764676899E-2</v>
      </c>
      <c r="R247">
        <v>0.97405136198090103</v>
      </c>
      <c r="S247" t="s">
        <v>4079</v>
      </c>
      <c r="T247" t="s">
        <v>7662</v>
      </c>
      <c r="U247" t="s">
        <v>7662</v>
      </c>
      <c r="V247" t="s">
        <v>7662</v>
      </c>
      <c r="W247">
        <v>20</v>
      </c>
      <c r="X247" t="s">
        <v>7909</v>
      </c>
      <c r="Y247">
        <v>0.39380932616177278</v>
      </c>
      <c r="Z247" t="str">
        <f>HYPERLINK("Melting_Curves/meltCurve_sp_O75521_2_ECI2_HUMAN_.pdf", "Melting_Curves/meltCurve_sp_O75521_2_ECI2_HUMAN_.pdf")</f>
        <v>Melting_Curves/meltCurve_sp_O75521_2_ECI2_HUMAN_.pdf</v>
      </c>
      <c r="AA247" t="s">
        <v>11737</v>
      </c>
      <c r="AB247" t="s">
        <v>15488</v>
      </c>
    </row>
    <row r="248" spans="1:28" x14ac:dyDescent="0.25">
      <c r="A248" t="s">
        <v>252</v>
      </c>
      <c r="B248">
        <v>0.98876768158843997</v>
      </c>
      <c r="C248">
        <v>1.2594769766517</v>
      </c>
      <c r="D248">
        <v>0.90368916339667404</v>
      </c>
      <c r="E248">
        <v>0.82472709547690504</v>
      </c>
      <c r="F248">
        <v>0.81855889807947102</v>
      </c>
      <c r="G248">
        <v>0.45279382615485902</v>
      </c>
      <c r="H248">
        <v>0.34063127050710501</v>
      </c>
      <c r="I248">
        <v>0.41502413581882702</v>
      </c>
      <c r="J248">
        <v>0.45367179563858501</v>
      </c>
      <c r="K248">
        <v>0.58102635336578501</v>
      </c>
      <c r="L248">
        <v>1525.65767580684</v>
      </c>
      <c r="M248">
        <v>28.685083454689099</v>
      </c>
      <c r="N248">
        <v>57.3415467405977</v>
      </c>
      <c r="O248">
        <v>52.929970717231498</v>
      </c>
      <c r="P248">
        <v>-7.6218758760243005E-2</v>
      </c>
      <c r="Q248">
        <v>0.43744626450019802</v>
      </c>
      <c r="R248">
        <v>0.84080319155723204</v>
      </c>
      <c r="S248" t="s">
        <v>4080</v>
      </c>
      <c r="T248" t="s">
        <v>7662</v>
      </c>
      <c r="U248" t="s">
        <v>7662</v>
      </c>
      <c r="V248" t="s">
        <v>7662</v>
      </c>
      <c r="W248">
        <v>5</v>
      </c>
      <c r="X248" t="s">
        <v>7910</v>
      </c>
      <c r="Y248">
        <v>0.68870665471943293</v>
      </c>
      <c r="Z248" t="str">
        <f>HYPERLINK("Melting_Curves/meltCurve_sp_O75531_BAF_HUMAN_.pdf", "Melting_Curves/meltCurve_sp_O75531_BAF_HUMAN_.pdf")</f>
        <v>Melting_Curves/meltCurve_sp_O75531_BAF_HUMAN_.pdf</v>
      </c>
      <c r="AA248" t="s">
        <v>11738</v>
      </c>
      <c r="AB248" t="s">
        <v>15489</v>
      </c>
    </row>
    <row r="249" spans="1:28" x14ac:dyDescent="0.25">
      <c r="A249" t="s">
        <v>253</v>
      </c>
      <c r="B249">
        <v>0.98876768158843997</v>
      </c>
      <c r="C249">
        <v>1.00304202711862</v>
      </c>
      <c r="D249">
        <v>0.94522560771916098</v>
      </c>
      <c r="E249">
        <v>0.68947529311830302</v>
      </c>
      <c r="F249">
        <v>0.55134579619846502</v>
      </c>
      <c r="G249">
        <v>0.39727216394597198</v>
      </c>
      <c r="H249">
        <v>0.30578379307645998</v>
      </c>
      <c r="I249">
        <v>0.35327898303378402</v>
      </c>
      <c r="J249">
        <v>0.45356863835082301</v>
      </c>
      <c r="K249">
        <v>0.49879105015686598</v>
      </c>
      <c r="L249">
        <v>1299.6534277955</v>
      </c>
      <c r="M249">
        <v>25.9620733931982</v>
      </c>
      <c r="N249">
        <v>53.366509749882503</v>
      </c>
      <c r="O249">
        <v>49.7655204528415</v>
      </c>
      <c r="P249">
        <v>-7.8263518578362196E-2</v>
      </c>
      <c r="Q249">
        <v>0.39992778708529098</v>
      </c>
      <c r="R249">
        <v>0.95856646489561903</v>
      </c>
      <c r="S249" t="s">
        <v>4081</v>
      </c>
      <c r="T249" t="s">
        <v>7662</v>
      </c>
      <c r="U249" t="s">
        <v>7662</v>
      </c>
      <c r="V249" t="s">
        <v>7662</v>
      </c>
      <c r="W249">
        <v>22</v>
      </c>
      <c r="X249" t="s">
        <v>7911</v>
      </c>
      <c r="Y249">
        <v>0.60612003747180754</v>
      </c>
      <c r="Z249" t="str">
        <f>HYPERLINK("Melting_Curves/meltCurve_sp_O75533_SF3B1_HUMAN_.pdf", "Melting_Curves/meltCurve_sp_O75533_SF3B1_HUMAN_.pdf")</f>
        <v>Melting_Curves/meltCurve_sp_O75533_SF3B1_HUMAN_.pdf</v>
      </c>
      <c r="AA249" t="s">
        <v>11739</v>
      </c>
      <c r="AB249" t="s">
        <v>15490</v>
      </c>
    </row>
    <row r="250" spans="1:28" x14ac:dyDescent="0.25">
      <c r="A250" t="s">
        <v>254</v>
      </c>
      <c r="B250">
        <v>0.98876768158843997</v>
      </c>
      <c r="C250">
        <v>0.96417157272676302</v>
      </c>
      <c r="D250">
        <v>0.77949496863365197</v>
      </c>
      <c r="E250">
        <v>0.41824899866582599</v>
      </c>
      <c r="F250">
        <v>0.22660861397763901</v>
      </c>
      <c r="G250">
        <v>0.13426200252950099</v>
      </c>
      <c r="H250">
        <v>9.1628781446192006E-2</v>
      </c>
      <c r="I250">
        <v>8.7571147654460196E-2</v>
      </c>
      <c r="J250">
        <v>0.10120777495574999</v>
      </c>
      <c r="K250">
        <v>0.101124437149331</v>
      </c>
      <c r="L250">
        <v>1025.88096723952</v>
      </c>
      <c r="M250">
        <v>21.107945334621</v>
      </c>
      <c r="N250">
        <v>49.070283753799004</v>
      </c>
      <c r="O250">
        <v>48.171746166927598</v>
      </c>
      <c r="P250">
        <v>-9.9548229399004595E-2</v>
      </c>
      <c r="Q250">
        <v>9.1283467166146298E-2</v>
      </c>
      <c r="R250">
        <v>0.99943634004634396</v>
      </c>
      <c r="S250" t="s">
        <v>4082</v>
      </c>
      <c r="T250" t="s">
        <v>7662</v>
      </c>
      <c r="U250" t="s">
        <v>7662</v>
      </c>
      <c r="V250" t="s">
        <v>7662</v>
      </c>
      <c r="W250">
        <v>22</v>
      </c>
      <c r="X250" t="s">
        <v>7912</v>
      </c>
      <c r="Y250">
        <v>0.3632657304558779</v>
      </c>
      <c r="Z250" t="str">
        <f>HYPERLINK("Melting_Curves/meltCurve_sp_O75534_CSDE1_HUMAN_.pdf", "Melting_Curves/meltCurve_sp_O75534_CSDE1_HUMAN_.pdf")</f>
        <v>Melting_Curves/meltCurve_sp_O75534_CSDE1_HUMAN_.pdf</v>
      </c>
      <c r="AA250" t="s">
        <v>11740</v>
      </c>
      <c r="AB250" t="s">
        <v>15491</v>
      </c>
    </row>
    <row r="251" spans="1:28" x14ac:dyDescent="0.25">
      <c r="A251" t="s">
        <v>255</v>
      </c>
      <c r="B251">
        <v>0.98876768158843997</v>
      </c>
      <c r="C251">
        <v>0.84882629603142301</v>
      </c>
      <c r="D251">
        <v>0.64060815056309195</v>
      </c>
      <c r="E251">
        <v>0.424974506508627</v>
      </c>
      <c r="F251">
        <v>0.30374609748043702</v>
      </c>
      <c r="G251">
        <v>0.131395586215968</v>
      </c>
      <c r="H251">
        <v>8.7784699542507102E-2</v>
      </c>
      <c r="I251">
        <v>0.11631126621429499</v>
      </c>
      <c r="J251">
        <v>0.15729733829182599</v>
      </c>
      <c r="K251">
        <v>3.7887366051615599E-2</v>
      </c>
      <c r="L251">
        <v>664.946958966637</v>
      </c>
      <c r="M251">
        <v>13.849073638837</v>
      </c>
      <c r="N251">
        <v>48.561922062904699</v>
      </c>
      <c r="O251">
        <v>47.0459347186099</v>
      </c>
      <c r="P251">
        <v>-6.8277942035697897E-2</v>
      </c>
      <c r="Q251">
        <v>7.2354751264040604E-2</v>
      </c>
      <c r="R251">
        <v>0.98740595018446997</v>
      </c>
      <c r="S251" t="s">
        <v>4083</v>
      </c>
      <c r="T251" t="s">
        <v>7662</v>
      </c>
      <c r="U251" t="s">
        <v>7662</v>
      </c>
      <c r="V251" t="s">
        <v>7662</v>
      </c>
      <c r="W251">
        <v>1</v>
      </c>
      <c r="X251" t="s">
        <v>7913</v>
      </c>
      <c r="Y251">
        <v>0.34801724884065088</v>
      </c>
      <c r="Z251" t="str">
        <f>HYPERLINK("Melting_Curves/meltCurve_sp_O75570_RF1M_HUMAN_.pdf", "Melting_Curves/meltCurve_sp_O75570_RF1M_HUMAN_.pdf")</f>
        <v>Melting_Curves/meltCurve_sp_O75570_RF1M_HUMAN_.pdf</v>
      </c>
      <c r="AA251" t="s">
        <v>11741</v>
      </c>
      <c r="AB251" t="s">
        <v>15492</v>
      </c>
    </row>
    <row r="252" spans="1:28" x14ac:dyDescent="0.25">
      <c r="A252" t="s">
        <v>256</v>
      </c>
      <c r="B252">
        <v>0.98876768158843997</v>
      </c>
      <c r="C252">
        <v>0.89199074532338096</v>
      </c>
      <c r="D252">
        <v>0.88394850439679695</v>
      </c>
      <c r="E252">
        <v>0.63256310142533501</v>
      </c>
      <c r="F252">
        <v>0.58119618914334203</v>
      </c>
      <c r="G252">
        <v>0.33555621264945001</v>
      </c>
      <c r="H252">
        <v>0.17750788781162699</v>
      </c>
      <c r="I252">
        <v>0.102003070153322</v>
      </c>
      <c r="J252">
        <v>6.3558813592850094E-2</v>
      </c>
      <c r="K252">
        <v>4.5275174103309397E-2</v>
      </c>
      <c r="L252">
        <v>622.44053893608498</v>
      </c>
      <c r="M252">
        <v>11.6672648997379</v>
      </c>
      <c r="N252">
        <v>53.349309349528603</v>
      </c>
      <c r="O252">
        <v>51.854344530668001</v>
      </c>
      <c r="P252">
        <v>-5.6265299671532598E-2</v>
      </c>
      <c r="Q252">
        <v>0</v>
      </c>
      <c r="R252">
        <v>0.99082066719538298</v>
      </c>
      <c r="S252" t="s">
        <v>4084</v>
      </c>
      <c r="T252" t="s">
        <v>7662</v>
      </c>
      <c r="U252" t="s">
        <v>7662</v>
      </c>
      <c r="V252" t="s">
        <v>7662</v>
      </c>
      <c r="W252">
        <v>6</v>
      </c>
      <c r="X252" t="s">
        <v>7914</v>
      </c>
      <c r="Y252">
        <v>0.47347304982558908</v>
      </c>
      <c r="Z252" t="str">
        <f>HYPERLINK("Melting_Curves/meltCurve_sp_O75600_KBL_HUMAN_.pdf", "Melting_Curves/meltCurve_sp_O75600_KBL_HUMAN_.pdf")</f>
        <v>Melting_Curves/meltCurve_sp_O75600_KBL_HUMAN_.pdf</v>
      </c>
      <c r="AA252" t="s">
        <v>11742</v>
      </c>
      <c r="AB252" t="s">
        <v>15493</v>
      </c>
    </row>
    <row r="253" spans="1:28" x14ac:dyDescent="0.25">
      <c r="A253" t="s">
        <v>257</v>
      </c>
      <c r="B253">
        <v>0.98876768158843997</v>
      </c>
      <c r="C253">
        <v>0.97812965996670798</v>
      </c>
      <c r="D253">
        <v>0.92807948552023201</v>
      </c>
      <c r="E253">
        <v>0.73518204523198505</v>
      </c>
      <c r="F253">
        <v>0.71588077802884098</v>
      </c>
      <c r="G253">
        <v>0.40860510606745098</v>
      </c>
      <c r="H253">
        <v>0.251639433338186</v>
      </c>
      <c r="I253">
        <v>0.190269088205749</v>
      </c>
      <c r="J253">
        <v>0.19240007356362701</v>
      </c>
      <c r="K253">
        <v>0.20343202862224499</v>
      </c>
      <c r="L253">
        <v>772.60687183970697</v>
      </c>
      <c r="M253">
        <v>14.258331013705</v>
      </c>
      <c r="N253">
        <v>55.393428960617598</v>
      </c>
      <c r="O253">
        <v>53.153879217513499</v>
      </c>
      <c r="P253">
        <v>-5.8113659684902598E-2</v>
      </c>
      <c r="Q253">
        <v>0.133534694448596</v>
      </c>
      <c r="R253">
        <v>0.98699438744762902</v>
      </c>
      <c r="S253" t="s">
        <v>4085</v>
      </c>
      <c r="T253" t="s">
        <v>7662</v>
      </c>
      <c r="U253" t="s">
        <v>7662</v>
      </c>
      <c r="V253" t="s">
        <v>7662</v>
      </c>
      <c r="W253">
        <v>1</v>
      </c>
      <c r="X253" t="s">
        <v>7915</v>
      </c>
      <c r="Y253">
        <v>0.56194033392605469</v>
      </c>
      <c r="Z253" t="str">
        <f>HYPERLINK("Melting_Curves/meltCurve_sp_O75607_NPM3_HUMAN_.pdf", "Melting_Curves/meltCurve_sp_O75607_NPM3_HUMAN_.pdf")</f>
        <v>Melting_Curves/meltCurve_sp_O75607_NPM3_HUMAN_.pdf</v>
      </c>
      <c r="AA253" t="s">
        <v>11743</v>
      </c>
      <c r="AB253" t="s">
        <v>15494</v>
      </c>
    </row>
    <row r="254" spans="1:28" x14ac:dyDescent="0.25">
      <c r="A254" t="s">
        <v>258</v>
      </c>
      <c r="B254">
        <v>0.98876768158843997</v>
      </c>
      <c r="C254">
        <v>1.2213883653392099</v>
      </c>
      <c r="D254">
        <v>0.86846756176385698</v>
      </c>
      <c r="E254">
        <v>0.75263491422448903</v>
      </c>
      <c r="F254">
        <v>0.88085236813947798</v>
      </c>
      <c r="G254">
        <v>0.45232811945254697</v>
      </c>
      <c r="H254">
        <v>9.14213233655954E-2</v>
      </c>
      <c r="I254">
        <v>3.7907837665321097E-2</v>
      </c>
      <c r="J254">
        <v>3.1124346788426099E-2</v>
      </c>
      <c r="K254">
        <v>1.59783063253972E-2</v>
      </c>
      <c r="L254">
        <v>1272.5977413764499</v>
      </c>
      <c r="M254">
        <v>22.618604902404499</v>
      </c>
      <c r="N254">
        <v>56.263317060113302</v>
      </c>
      <c r="O254">
        <v>55.829058355900401</v>
      </c>
      <c r="P254">
        <v>-0.10128710409663</v>
      </c>
      <c r="Q254">
        <v>0</v>
      </c>
      <c r="R254">
        <v>0.94159975699843601</v>
      </c>
      <c r="S254" t="s">
        <v>4086</v>
      </c>
      <c r="T254" t="s">
        <v>7662</v>
      </c>
      <c r="U254" t="s">
        <v>7662</v>
      </c>
      <c r="V254" t="s">
        <v>7662</v>
      </c>
      <c r="W254">
        <v>5</v>
      </c>
      <c r="X254" t="s">
        <v>7916</v>
      </c>
      <c r="Y254">
        <v>0.5528134267876299</v>
      </c>
      <c r="Z254" t="str">
        <f>HYPERLINK("Melting_Curves/meltCurve_sp_O75608_2_LYPA1_HUMAN_.pdf", "Melting_Curves/meltCurve_sp_O75608_2_LYPA1_HUMAN_.pdf")</f>
        <v>Melting_Curves/meltCurve_sp_O75608_2_LYPA1_HUMAN_.pdf</v>
      </c>
      <c r="AA254" t="s">
        <v>11744</v>
      </c>
      <c r="AB254" t="s">
        <v>15495</v>
      </c>
    </row>
    <row r="255" spans="1:28" x14ac:dyDescent="0.25">
      <c r="A255" t="s">
        <v>259</v>
      </c>
      <c r="B255">
        <v>0.98876768158843997</v>
      </c>
      <c r="C255">
        <v>1.03937487475278</v>
      </c>
      <c r="D255">
        <v>0.85313372456894299</v>
      </c>
      <c r="E255">
        <v>0.82843918269898897</v>
      </c>
      <c r="F255">
        <v>0.71691674167390396</v>
      </c>
      <c r="G255">
        <v>0.51771199686188096</v>
      </c>
      <c r="H255">
        <v>0.405127296767815</v>
      </c>
      <c r="I255">
        <v>0.43003466318158001</v>
      </c>
      <c r="J255">
        <v>0.57930071056775601</v>
      </c>
      <c r="K255">
        <v>0.55675188896949201</v>
      </c>
      <c r="L255">
        <v>992.25670410333396</v>
      </c>
      <c r="M255">
        <v>19.30567318169</v>
      </c>
      <c r="N255">
        <v>62.393814757296902</v>
      </c>
      <c r="O255">
        <v>50.855216645604102</v>
      </c>
      <c r="P255">
        <v>-4.9033990851952799E-2</v>
      </c>
      <c r="Q255">
        <v>0.48335581278683099</v>
      </c>
      <c r="R255">
        <v>0.90622348508266604</v>
      </c>
      <c r="S255" t="s">
        <v>4087</v>
      </c>
      <c r="T255" t="s">
        <v>7662</v>
      </c>
      <c r="U255" t="s">
        <v>7662</v>
      </c>
      <c r="V255" t="s">
        <v>7662</v>
      </c>
      <c r="W255">
        <v>2</v>
      </c>
      <c r="X255" t="s">
        <v>7917</v>
      </c>
      <c r="Y255">
        <v>0.68727430916448362</v>
      </c>
      <c r="Z255" t="str">
        <f>HYPERLINK("Melting_Curves/meltCurve_sp_O75629_CREG1_HUMAN_.pdf", "Melting_Curves/meltCurve_sp_O75629_CREG1_HUMAN_.pdf")</f>
        <v>Melting_Curves/meltCurve_sp_O75629_CREG1_HUMAN_.pdf</v>
      </c>
      <c r="AA255" t="s">
        <v>11745</v>
      </c>
      <c r="AB255" t="s">
        <v>15496</v>
      </c>
    </row>
    <row r="256" spans="1:28" x14ac:dyDescent="0.25">
      <c r="A256" t="s">
        <v>260</v>
      </c>
      <c r="B256">
        <v>0.98876768158843997</v>
      </c>
      <c r="C256">
        <v>1.08132000797651</v>
      </c>
      <c r="D256">
        <v>0.96734693162351804</v>
      </c>
      <c r="E256">
        <v>0.64555866610382195</v>
      </c>
      <c r="F256">
        <v>0.387659191539027</v>
      </c>
      <c r="G256">
        <v>0.28765158487009501</v>
      </c>
      <c r="H256">
        <v>0.224485092386492</v>
      </c>
      <c r="I256">
        <v>0.229278259463256</v>
      </c>
      <c r="J256">
        <v>0.31823636877359901</v>
      </c>
      <c r="K256">
        <v>0.28967717110681401</v>
      </c>
      <c r="L256">
        <v>1640.0160987407601</v>
      </c>
      <c r="M256">
        <v>32.694687232324398</v>
      </c>
      <c r="N256">
        <v>51.366366058837997</v>
      </c>
      <c r="O256">
        <v>49.97498731916</v>
      </c>
      <c r="P256">
        <v>-0.119761270028707</v>
      </c>
      <c r="Q256">
        <v>0.26776576854373901</v>
      </c>
      <c r="R256">
        <v>0.98702606043295105</v>
      </c>
      <c r="S256" t="s">
        <v>4088</v>
      </c>
      <c r="T256" t="s">
        <v>7662</v>
      </c>
      <c r="U256" t="s">
        <v>7662</v>
      </c>
      <c r="V256" t="s">
        <v>7662</v>
      </c>
      <c r="W256">
        <v>7</v>
      </c>
      <c r="X256" t="s">
        <v>7918</v>
      </c>
      <c r="Y256">
        <v>0.51960322150230398</v>
      </c>
      <c r="Z256" t="str">
        <f>HYPERLINK("Melting_Curves/meltCurve_sp_O75643_U520_HUMAN_.pdf", "Melting_Curves/meltCurve_sp_O75643_U520_HUMAN_.pdf")</f>
        <v>Melting_Curves/meltCurve_sp_O75643_U520_HUMAN_.pdf</v>
      </c>
      <c r="AA256" t="s">
        <v>11746</v>
      </c>
      <c r="AB256" t="s">
        <v>15497</v>
      </c>
    </row>
    <row r="257" spans="1:28" x14ac:dyDescent="0.25">
      <c r="A257" t="s">
        <v>261</v>
      </c>
      <c r="B257">
        <v>0.98876768158843997</v>
      </c>
      <c r="C257">
        <v>0.84813814263487097</v>
      </c>
      <c r="D257">
        <v>0.71855793629815601</v>
      </c>
      <c r="E257">
        <v>0.466232056235376</v>
      </c>
      <c r="F257">
        <v>0.21040265855613099</v>
      </c>
      <c r="G257">
        <v>0.13392431267420199</v>
      </c>
      <c r="H257">
        <v>9.0980031742358594E-2</v>
      </c>
      <c r="I257">
        <v>8.1162186084963797E-2</v>
      </c>
      <c r="J257">
        <v>6.4829810152628994E-2</v>
      </c>
      <c r="K257">
        <v>6.1396666526868801E-2</v>
      </c>
      <c r="L257">
        <v>740.66684782881202</v>
      </c>
      <c r="M257">
        <v>15.250292385631299</v>
      </c>
      <c r="N257">
        <v>48.895465237992298</v>
      </c>
      <c r="O257">
        <v>47.755255832158603</v>
      </c>
      <c r="P257">
        <v>-7.5960255287511699E-2</v>
      </c>
      <c r="Q257">
        <v>4.8632538618111301E-2</v>
      </c>
      <c r="R257">
        <v>0.99457731089672696</v>
      </c>
      <c r="S257" t="s">
        <v>4089</v>
      </c>
      <c r="T257" t="s">
        <v>7662</v>
      </c>
      <c r="U257" t="s">
        <v>7662</v>
      </c>
      <c r="V257" t="s">
        <v>7662</v>
      </c>
      <c r="W257">
        <v>3</v>
      </c>
      <c r="X257" t="s">
        <v>7919</v>
      </c>
      <c r="Y257">
        <v>0.34345228100876318</v>
      </c>
      <c r="Z257" t="str">
        <f>HYPERLINK("Melting_Curves/meltCurve_sp_O75648_MTU1_HUMAN_.pdf", "Melting_Curves/meltCurve_sp_O75648_MTU1_HUMAN_.pdf")</f>
        <v>Melting_Curves/meltCurve_sp_O75648_MTU1_HUMAN_.pdf</v>
      </c>
      <c r="AA257" t="s">
        <v>11747</v>
      </c>
      <c r="AB257" t="s">
        <v>15498</v>
      </c>
    </row>
    <row r="258" spans="1:28" x14ac:dyDescent="0.25">
      <c r="A258" t="s">
        <v>262</v>
      </c>
      <c r="B258">
        <v>0.98876768158843997</v>
      </c>
      <c r="C258">
        <v>0.99945053684031904</v>
      </c>
      <c r="D258">
        <v>0.83992205986257096</v>
      </c>
      <c r="E258">
        <v>0.66640849832726201</v>
      </c>
      <c r="F258">
        <v>0.268195127209859</v>
      </c>
      <c r="G258">
        <v>9.3454678108384398E-2</v>
      </c>
      <c r="H258">
        <v>5.0067788284211698E-2</v>
      </c>
      <c r="I258">
        <v>4.53508733765325E-2</v>
      </c>
      <c r="J258">
        <v>4.57401827508611E-2</v>
      </c>
      <c r="K258">
        <v>3.5926688117105698E-2</v>
      </c>
      <c r="L258">
        <v>1165.9119698506099</v>
      </c>
      <c r="M258">
        <v>22.930094636606999</v>
      </c>
      <c r="N258">
        <v>50.985984458275198</v>
      </c>
      <c r="O258">
        <v>50.464380047206603</v>
      </c>
      <c r="P258">
        <v>-0.110140798193409</v>
      </c>
      <c r="Q258">
        <v>3.04302028960679E-2</v>
      </c>
      <c r="R258">
        <v>0.99257137361749304</v>
      </c>
      <c r="S258" t="s">
        <v>4090</v>
      </c>
      <c r="T258" t="s">
        <v>7662</v>
      </c>
      <c r="U258" t="s">
        <v>7662</v>
      </c>
      <c r="V258" t="s">
        <v>7662</v>
      </c>
      <c r="W258">
        <v>5</v>
      </c>
      <c r="X258" t="s">
        <v>7920</v>
      </c>
      <c r="Y258">
        <v>0.39133325226004723</v>
      </c>
      <c r="Z258" t="str">
        <f>HYPERLINK("Melting_Curves/meltCurve_sp_O75663_TIPRL_HUMAN_.pdf", "Melting_Curves/meltCurve_sp_O75663_TIPRL_HUMAN_.pdf")</f>
        <v>Melting_Curves/meltCurve_sp_O75663_TIPRL_HUMAN_.pdf</v>
      </c>
      <c r="AA258" t="s">
        <v>11748</v>
      </c>
      <c r="AB258" t="s">
        <v>15499</v>
      </c>
    </row>
    <row r="259" spans="1:28" x14ac:dyDescent="0.25">
      <c r="A259" t="s">
        <v>263</v>
      </c>
      <c r="B259">
        <v>0.98876768158843997</v>
      </c>
      <c r="C259">
        <v>0.98887162331204503</v>
      </c>
      <c r="D259">
        <v>0.88103280282405605</v>
      </c>
      <c r="E259">
        <v>0.72216930269172996</v>
      </c>
      <c r="F259">
        <v>0.27755387487510702</v>
      </c>
      <c r="G259">
        <v>7.4199043210547294E-2</v>
      </c>
      <c r="H259">
        <v>4.1309862965387599E-2</v>
      </c>
      <c r="I259">
        <v>3.1921080703947897E-2</v>
      </c>
      <c r="J259">
        <v>3.3669471444816301E-2</v>
      </c>
      <c r="K259">
        <v>3.8636193026969301E-2</v>
      </c>
      <c r="L259">
        <v>1522.1279974741601</v>
      </c>
      <c r="M259">
        <v>29.686307938456501</v>
      </c>
      <c r="N259">
        <v>51.383398662823303</v>
      </c>
      <c r="O259">
        <v>51.0427594074648</v>
      </c>
      <c r="P259">
        <v>-0.14093739123118099</v>
      </c>
      <c r="Q259">
        <v>3.0693276853794998E-2</v>
      </c>
      <c r="R259">
        <v>0.99440398133241903</v>
      </c>
      <c r="S259" t="s">
        <v>4091</v>
      </c>
      <c r="T259" t="s">
        <v>7662</v>
      </c>
      <c r="U259" t="s">
        <v>7662</v>
      </c>
      <c r="V259" t="s">
        <v>7662</v>
      </c>
      <c r="W259">
        <v>9</v>
      </c>
      <c r="X259" t="s">
        <v>7921</v>
      </c>
      <c r="Y259">
        <v>0.40120193907414631</v>
      </c>
      <c r="Z259" t="str">
        <f>HYPERLINK("Melting_Curves/meltCurve_sp_O75688_PPM1B_HUMAN_.pdf", "Melting_Curves/meltCurve_sp_O75688_PPM1B_HUMAN_.pdf")</f>
        <v>Melting_Curves/meltCurve_sp_O75688_PPM1B_HUMAN_.pdf</v>
      </c>
      <c r="AA259" t="s">
        <v>11749</v>
      </c>
      <c r="AB259" t="s">
        <v>15500</v>
      </c>
    </row>
    <row r="260" spans="1:28" x14ac:dyDescent="0.25">
      <c r="A260" t="s">
        <v>264</v>
      </c>
      <c r="B260">
        <v>0.98876768158843997</v>
      </c>
      <c r="C260">
        <v>1.41959829334692</v>
      </c>
      <c r="D260">
        <v>0.98251912697603205</v>
      </c>
      <c r="E260">
        <v>0.97304668512642201</v>
      </c>
      <c r="F260">
        <v>0.64412038782381698</v>
      </c>
      <c r="G260">
        <v>0.23482857476244801</v>
      </c>
      <c r="H260">
        <v>8.1203987100680997E-2</v>
      </c>
      <c r="I260">
        <v>6.9101251523641702E-2</v>
      </c>
      <c r="J260">
        <v>0.15757293173526901</v>
      </c>
      <c r="K260">
        <v>0.14795800808996001</v>
      </c>
      <c r="L260">
        <v>1990.90173775928</v>
      </c>
      <c r="M260">
        <v>37.0978002929441</v>
      </c>
      <c r="N260">
        <v>54.051384942441999</v>
      </c>
      <c r="O260">
        <v>53.511078204967902</v>
      </c>
      <c r="P260">
        <v>-0.153191502233083</v>
      </c>
      <c r="Q260">
        <v>0.11612884214623</v>
      </c>
      <c r="R260">
        <v>0.91516877821989795</v>
      </c>
      <c r="S260" t="s">
        <v>4092</v>
      </c>
      <c r="T260" t="s">
        <v>7662</v>
      </c>
      <c r="U260" t="s">
        <v>7662</v>
      </c>
      <c r="V260" t="s">
        <v>7662</v>
      </c>
      <c r="W260">
        <v>2</v>
      </c>
      <c r="X260" t="s">
        <v>7922</v>
      </c>
      <c r="Y260">
        <v>0.52257545436879149</v>
      </c>
      <c r="Z260" t="str">
        <f>HYPERLINK("Melting_Curves/meltCurve_sp_O75695_XRP2_HUMAN_.pdf", "Melting_Curves/meltCurve_sp_O75695_XRP2_HUMAN_.pdf")</f>
        <v>Melting_Curves/meltCurve_sp_O75695_XRP2_HUMAN_.pdf</v>
      </c>
      <c r="AA260" t="s">
        <v>11750</v>
      </c>
      <c r="AB260" t="s">
        <v>15501</v>
      </c>
    </row>
    <row r="261" spans="1:28" x14ac:dyDescent="0.25">
      <c r="A261" t="s">
        <v>265</v>
      </c>
      <c r="B261">
        <v>0.98876768158843997</v>
      </c>
      <c r="C261">
        <v>1.09039646931872</v>
      </c>
      <c r="D261">
        <v>0.87400668124734104</v>
      </c>
      <c r="E261">
        <v>0.69540177814842896</v>
      </c>
      <c r="F261">
        <v>0.71266865971662696</v>
      </c>
      <c r="G261">
        <v>0.42452178545893898</v>
      </c>
      <c r="H261">
        <v>0.297969385093798</v>
      </c>
      <c r="I261">
        <v>0.305020498894088</v>
      </c>
      <c r="J261">
        <v>0.421179113260431</v>
      </c>
      <c r="K261">
        <v>0.43598967262447402</v>
      </c>
      <c r="L261">
        <v>894.21286327585096</v>
      </c>
      <c r="M261">
        <v>17.358231176580901</v>
      </c>
      <c r="N261">
        <v>55.387299542287103</v>
      </c>
      <c r="O261">
        <v>50.846075265039701</v>
      </c>
      <c r="P261">
        <v>-5.5357226426423801E-2</v>
      </c>
      <c r="Q261">
        <v>0.35142297706439501</v>
      </c>
      <c r="R261">
        <v>0.92545025273453796</v>
      </c>
      <c r="S261" t="s">
        <v>4093</v>
      </c>
      <c r="T261" t="s">
        <v>7662</v>
      </c>
      <c r="U261" t="s">
        <v>7662</v>
      </c>
      <c r="V261" t="s">
        <v>7662</v>
      </c>
      <c r="W261">
        <v>9</v>
      </c>
      <c r="X261" t="s">
        <v>7923</v>
      </c>
      <c r="Y261">
        <v>0.61194187031698677</v>
      </c>
      <c r="Z261" t="str">
        <f>HYPERLINK("Melting_Curves/meltCurve_sp_O75764_TCEA3_HUMAN_.pdf", "Melting_Curves/meltCurve_sp_O75764_TCEA3_HUMAN_.pdf")</f>
        <v>Melting_Curves/meltCurve_sp_O75764_TCEA3_HUMAN_.pdf</v>
      </c>
      <c r="AA261" t="s">
        <v>11751</v>
      </c>
      <c r="AB261" t="s">
        <v>15502</v>
      </c>
    </row>
    <row r="262" spans="1:28" x14ac:dyDescent="0.25">
      <c r="A262" t="s">
        <v>266</v>
      </c>
      <c r="B262">
        <v>0.98876768158843997</v>
      </c>
      <c r="C262">
        <v>0.98136097494537899</v>
      </c>
      <c r="D262">
        <v>1.03167225335692</v>
      </c>
      <c r="E262">
        <v>0.96749869512494302</v>
      </c>
      <c r="F262">
        <v>0.67772210685892098</v>
      </c>
      <c r="G262">
        <v>0.49649308475757797</v>
      </c>
      <c r="H262">
        <v>0.36088249214417101</v>
      </c>
      <c r="I262">
        <v>0.269737498634471</v>
      </c>
      <c r="J262">
        <v>0.208643020131383</v>
      </c>
      <c r="K262">
        <v>0.31437601030879098</v>
      </c>
      <c r="L262">
        <v>1180.4485317128999</v>
      </c>
      <c r="M262">
        <v>21.659060589789298</v>
      </c>
      <c r="N262">
        <v>56.427372409391502</v>
      </c>
      <c r="O262">
        <v>54.0431620816573</v>
      </c>
      <c r="P262">
        <v>-7.4017596159936402E-2</v>
      </c>
      <c r="Q262">
        <v>0.26127002046589298</v>
      </c>
      <c r="R262">
        <v>0.98177928204204601</v>
      </c>
      <c r="S262" t="s">
        <v>4094</v>
      </c>
      <c r="T262" t="s">
        <v>7662</v>
      </c>
      <c r="U262" t="s">
        <v>7662</v>
      </c>
      <c r="V262" t="s">
        <v>7662</v>
      </c>
      <c r="W262">
        <v>1</v>
      </c>
      <c r="X262" t="s">
        <v>7924</v>
      </c>
      <c r="Y262">
        <v>0.62711346190611694</v>
      </c>
      <c r="Z262" t="str">
        <f>HYPERLINK("Melting_Curves/meltCurve_sp_O75818_2_RPP40_HUMAN_.pdf", "Melting_Curves/meltCurve_sp_O75818_2_RPP40_HUMAN_.pdf")</f>
        <v>Melting_Curves/meltCurve_sp_O75818_2_RPP40_HUMAN_.pdf</v>
      </c>
      <c r="AA262" t="s">
        <v>11752</v>
      </c>
      <c r="AB262" t="s">
        <v>15503</v>
      </c>
    </row>
    <row r="263" spans="1:28" x14ac:dyDescent="0.25">
      <c r="A263" t="s">
        <v>267</v>
      </c>
      <c r="B263">
        <v>0.98876768158843997</v>
      </c>
      <c r="C263">
        <v>0.84738740300063098</v>
      </c>
      <c r="D263">
        <v>0.85785166518452005</v>
      </c>
      <c r="E263">
        <v>0.62226432953940702</v>
      </c>
      <c r="F263">
        <v>0.67172103260219296</v>
      </c>
      <c r="G263">
        <v>0.44594839102794798</v>
      </c>
      <c r="H263">
        <v>0.28623676652705299</v>
      </c>
      <c r="I263">
        <v>0.27713059007027502</v>
      </c>
      <c r="J263">
        <v>0.32172802155307301</v>
      </c>
      <c r="K263">
        <v>0.37757432001957703</v>
      </c>
      <c r="L263">
        <v>542.28707169119605</v>
      </c>
      <c r="M263">
        <v>10.5772678452773</v>
      </c>
      <c r="N263">
        <v>54.977794725178804</v>
      </c>
      <c r="O263">
        <v>49.538323386394801</v>
      </c>
      <c r="P263">
        <v>-3.9780886063996199E-2</v>
      </c>
      <c r="Q263">
        <v>0.25504181908342399</v>
      </c>
      <c r="R263">
        <v>0.93925527947779697</v>
      </c>
      <c r="S263" t="s">
        <v>4095</v>
      </c>
      <c r="T263" t="s">
        <v>7662</v>
      </c>
      <c r="U263" t="s">
        <v>7662</v>
      </c>
      <c r="V263" t="s">
        <v>7662</v>
      </c>
      <c r="W263">
        <v>6</v>
      </c>
      <c r="X263" t="s">
        <v>7925</v>
      </c>
      <c r="Y263">
        <v>0.56312351950992268</v>
      </c>
      <c r="Z263" t="str">
        <f>HYPERLINK("Melting_Curves/meltCurve_sp_O75821_EIF3G_HUMAN_.pdf", "Melting_Curves/meltCurve_sp_O75821_EIF3G_HUMAN_.pdf")</f>
        <v>Melting_Curves/meltCurve_sp_O75821_EIF3G_HUMAN_.pdf</v>
      </c>
      <c r="AA263" t="s">
        <v>11753</v>
      </c>
      <c r="AB263" t="s">
        <v>15504</v>
      </c>
    </row>
    <row r="264" spans="1:28" x14ac:dyDescent="0.25">
      <c r="A264" t="s">
        <v>268</v>
      </c>
      <c r="B264">
        <v>0.98876768158843997</v>
      </c>
      <c r="C264">
        <v>0.93484163101659201</v>
      </c>
      <c r="D264">
        <v>0.91397490863815001</v>
      </c>
      <c r="E264">
        <v>0.69494840745861497</v>
      </c>
      <c r="F264">
        <v>0.61084285580390696</v>
      </c>
      <c r="G264">
        <v>0.39226726968550502</v>
      </c>
      <c r="H264">
        <v>0.28096300403105501</v>
      </c>
      <c r="I264">
        <v>0.30125262946111198</v>
      </c>
      <c r="J264">
        <v>0.39989927469699998</v>
      </c>
      <c r="K264">
        <v>0.40902346747463902</v>
      </c>
      <c r="L264">
        <v>915.50317642364996</v>
      </c>
      <c r="M264">
        <v>18.014326851978002</v>
      </c>
      <c r="N264">
        <v>54.166375451412897</v>
      </c>
      <c r="O264">
        <v>50.206967945592403</v>
      </c>
      <c r="P264">
        <v>-5.9594893170091902E-2</v>
      </c>
      <c r="Q264">
        <v>0.33565477962857798</v>
      </c>
      <c r="R264">
        <v>0.96419609341594004</v>
      </c>
      <c r="S264" t="s">
        <v>4096</v>
      </c>
      <c r="T264" t="s">
        <v>7662</v>
      </c>
      <c r="U264" t="s">
        <v>7662</v>
      </c>
      <c r="V264" t="s">
        <v>7662</v>
      </c>
      <c r="W264">
        <v>8</v>
      </c>
      <c r="X264" t="s">
        <v>7926</v>
      </c>
      <c r="Y264">
        <v>0.5864814252118945</v>
      </c>
      <c r="Z264" t="str">
        <f>HYPERLINK("Melting_Curves/meltCurve_sp_O75822_EIF3J_HUMAN_.pdf", "Melting_Curves/meltCurve_sp_O75822_EIF3J_HUMAN_.pdf")</f>
        <v>Melting_Curves/meltCurve_sp_O75822_EIF3J_HUMAN_.pdf</v>
      </c>
      <c r="AA264" t="s">
        <v>11754</v>
      </c>
      <c r="AB264" t="s">
        <v>15505</v>
      </c>
    </row>
    <row r="265" spans="1:28" x14ac:dyDescent="0.25">
      <c r="A265" t="s">
        <v>269</v>
      </c>
      <c r="B265">
        <v>0.98876768158843997</v>
      </c>
      <c r="C265">
        <v>0.63562555789235897</v>
      </c>
      <c r="D265">
        <v>1.08824210018553</v>
      </c>
      <c r="E265">
        <v>0.69126448340397495</v>
      </c>
      <c r="F265">
        <v>9.7544418476364303E-2</v>
      </c>
      <c r="G265">
        <v>5.5392889010905E-2</v>
      </c>
      <c r="H265">
        <v>2.8702391181144499E-2</v>
      </c>
      <c r="I265">
        <v>2.5994587850660299E-2</v>
      </c>
      <c r="J265">
        <v>2.4712581075542601E-2</v>
      </c>
      <c r="K265">
        <v>2.6619332803535199E-2</v>
      </c>
      <c r="L265">
        <v>3064.8877383845002</v>
      </c>
      <c r="M265">
        <v>60.530104651495797</v>
      </c>
      <c r="N265">
        <v>50.6907718195055</v>
      </c>
      <c r="O265">
        <v>50.578919075472498</v>
      </c>
      <c r="P265">
        <v>-0.28940015819758502</v>
      </c>
      <c r="Q265">
        <v>3.2709830641357497E-2</v>
      </c>
      <c r="R265">
        <v>0.91749575683034401</v>
      </c>
      <c r="S265" t="s">
        <v>4097</v>
      </c>
      <c r="T265" t="s">
        <v>7662</v>
      </c>
      <c r="U265" t="s">
        <v>7662</v>
      </c>
      <c r="V265" t="s">
        <v>7662</v>
      </c>
      <c r="W265">
        <v>33</v>
      </c>
      <c r="X265" t="s">
        <v>7927</v>
      </c>
      <c r="Y265">
        <v>0.37705688085005462</v>
      </c>
      <c r="Z265" t="str">
        <f>HYPERLINK("Melting_Curves/meltCurve_sp_O75874_IDHC_HUMAN_.pdf", "Melting_Curves/meltCurve_sp_O75874_IDHC_HUMAN_.pdf")</f>
        <v>Melting_Curves/meltCurve_sp_O75874_IDHC_HUMAN_.pdf</v>
      </c>
      <c r="AA265" t="s">
        <v>11755</v>
      </c>
      <c r="AB265" t="s">
        <v>15506</v>
      </c>
    </row>
    <row r="266" spans="1:28" x14ac:dyDescent="0.25">
      <c r="A266" t="s">
        <v>270</v>
      </c>
      <c r="B266">
        <v>0.98876768158843997</v>
      </c>
      <c r="C266">
        <v>1.1168371556374099</v>
      </c>
      <c r="D266">
        <v>0.88879269564351704</v>
      </c>
      <c r="E266">
        <v>0.83564958231711195</v>
      </c>
      <c r="F266">
        <v>0.57352595866730505</v>
      </c>
      <c r="G266">
        <v>0.40303629037195998</v>
      </c>
      <c r="H266">
        <v>0.28195693328042398</v>
      </c>
      <c r="I266">
        <v>0.308733191598974</v>
      </c>
      <c r="J266">
        <v>0.17737707019398</v>
      </c>
      <c r="K266">
        <v>0.19461690241795099</v>
      </c>
      <c r="L266">
        <v>903.58199875870696</v>
      </c>
      <c r="M266">
        <v>16.989494025312901</v>
      </c>
      <c r="N266">
        <v>54.822868662214503</v>
      </c>
      <c r="O266">
        <v>52.464301115769899</v>
      </c>
      <c r="P266">
        <v>-6.4847200829099005E-2</v>
      </c>
      <c r="Q266">
        <v>0.199045642561515</v>
      </c>
      <c r="R266">
        <v>0.97299190388442403</v>
      </c>
      <c r="S266" t="s">
        <v>4098</v>
      </c>
      <c r="T266" t="s">
        <v>7662</v>
      </c>
      <c r="U266" t="s">
        <v>7662</v>
      </c>
      <c r="V266" t="s">
        <v>7662</v>
      </c>
      <c r="W266">
        <v>2</v>
      </c>
      <c r="X266" t="s">
        <v>7928</v>
      </c>
      <c r="Y266">
        <v>0.56534811809701213</v>
      </c>
      <c r="Z266" t="str">
        <f>HYPERLINK("Melting_Curves/meltCurve_sp_O75882_3_ATRN_HUMAN_.pdf", "Melting_Curves/meltCurve_sp_O75882_3_ATRN_HUMAN_.pdf")</f>
        <v>Melting_Curves/meltCurve_sp_O75882_3_ATRN_HUMAN_.pdf</v>
      </c>
      <c r="AA266" t="s">
        <v>11756</v>
      </c>
      <c r="AB266" t="s">
        <v>15507</v>
      </c>
    </row>
    <row r="267" spans="1:28" x14ac:dyDescent="0.25">
      <c r="A267" t="s">
        <v>271</v>
      </c>
      <c r="B267">
        <v>0.98876768158843997</v>
      </c>
      <c r="C267">
        <v>1.0160411569098</v>
      </c>
      <c r="D267">
        <v>0.825276369412967</v>
      </c>
      <c r="E267">
        <v>0.68304633687086402</v>
      </c>
      <c r="F267">
        <v>0.57252587610449102</v>
      </c>
      <c r="G267">
        <v>0.181425963261172</v>
      </c>
      <c r="H267">
        <v>5.5093596790269199E-2</v>
      </c>
      <c r="I267">
        <v>5.2675604519366599E-2</v>
      </c>
      <c r="J267">
        <v>5.9018931360315899E-2</v>
      </c>
      <c r="K267">
        <v>4.0439904744427803E-2</v>
      </c>
      <c r="L267">
        <v>832.92039027595001</v>
      </c>
      <c r="M267">
        <v>15.7977344202198</v>
      </c>
      <c r="N267">
        <v>52.7240490047215</v>
      </c>
      <c r="O267">
        <v>51.900898456269402</v>
      </c>
      <c r="P267">
        <v>-7.6101944103058705E-2</v>
      </c>
      <c r="Q267">
        <v>0</v>
      </c>
      <c r="R267">
        <v>0.98405732480211505</v>
      </c>
      <c r="S267" t="s">
        <v>4099</v>
      </c>
      <c r="T267" t="s">
        <v>7662</v>
      </c>
      <c r="U267" t="s">
        <v>7662</v>
      </c>
      <c r="V267" t="s">
        <v>7662</v>
      </c>
      <c r="W267">
        <v>7</v>
      </c>
      <c r="X267" t="s">
        <v>7929</v>
      </c>
      <c r="Y267">
        <v>0.44431154362435182</v>
      </c>
      <c r="Z267" t="str">
        <f>HYPERLINK("Melting_Curves/meltCurve_sp_O75884_RBBP9_HUMAN_.pdf", "Melting_Curves/meltCurve_sp_O75884_RBBP9_HUMAN_.pdf")</f>
        <v>Melting_Curves/meltCurve_sp_O75884_RBBP9_HUMAN_.pdf</v>
      </c>
      <c r="AA267" t="s">
        <v>11757</v>
      </c>
      <c r="AB267" t="s">
        <v>15508</v>
      </c>
    </row>
    <row r="268" spans="1:28" x14ac:dyDescent="0.25">
      <c r="A268" t="s">
        <v>272</v>
      </c>
      <c r="B268">
        <v>0.98876768158843997</v>
      </c>
      <c r="C268">
        <v>0.99982719340648796</v>
      </c>
      <c r="D268">
        <v>0.84723180006084697</v>
      </c>
      <c r="E268">
        <v>0.64525935546552005</v>
      </c>
      <c r="F268">
        <v>0.69468399960601801</v>
      </c>
      <c r="G268">
        <v>0.36001578727496902</v>
      </c>
      <c r="H268">
        <v>0.16584435278984699</v>
      </c>
      <c r="I268">
        <v>0.14085502255502999</v>
      </c>
      <c r="J268">
        <v>0.14904780811126001</v>
      </c>
      <c r="K268">
        <v>0.14636980261732799</v>
      </c>
      <c r="L268">
        <v>651.19525279541597</v>
      </c>
      <c r="M268">
        <v>12.1128681967103</v>
      </c>
      <c r="N268">
        <v>54.247811944168397</v>
      </c>
      <c r="O268">
        <v>52.358260447948403</v>
      </c>
      <c r="P268">
        <v>-5.48684065021341E-2</v>
      </c>
      <c r="Q268">
        <v>5.1538736334539599E-2</v>
      </c>
      <c r="R268">
        <v>0.97066454261968305</v>
      </c>
      <c r="S268" t="s">
        <v>4100</v>
      </c>
      <c r="T268" t="s">
        <v>7662</v>
      </c>
      <c r="U268" t="s">
        <v>7662</v>
      </c>
      <c r="V268" t="s">
        <v>7662</v>
      </c>
      <c r="W268">
        <v>7</v>
      </c>
      <c r="X268" t="s">
        <v>7930</v>
      </c>
      <c r="Y268">
        <v>0.51168430030102618</v>
      </c>
      <c r="Z268" t="str">
        <f>HYPERLINK("Melting_Curves/meltCurve_sp_O75886_STAM2_HUMAN_.pdf", "Melting_Curves/meltCurve_sp_O75886_STAM2_HUMAN_.pdf")</f>
        <v>Melting_Curves/meltCurve_sp_O75886_STAM2_HUMAN_.pdf</v>
      </c>
      <c r="AA268" t="s">
        <v>11758</v>
      </c>
      <c r="AB268" t="s">
        <v>15509</v>
      </c>
    </row>
    <row r="269" spans="1:28" x14ac:dyDescent="0.25">
      <c r="A269" t="s">
        <v>273</v>
      </c>
      <c r="B269">
        <v>0.98876768158843997</v>
      </c>
      <c r="C269">
        <v>0.756433794382526</v>
      </c>
      <c r="D269">
        <v>0.95253120793514201</v>
      </c>
      <c r="E269">
        <v>0.27529609273526401</v>
      </c>
      <c r="F269">
        <v>0.10824153769106699</v>
      </c>
      <c r="G269">
        <v>5.1876051005752502E-2</v>
      </c>
      <c r="H269">
        <v>3.2474115752055999E-2</v>
      </c>
      <c r="I269">
        <v>3.00692592068207E-2</v>
      </c>
      <c r="J269">
        <v>3.8203583299434803E-2</v>
      </c>
      <c r="K269">
        <v>3.0642571961111399E-2</v>
      </c>
      <c r="L269">
        <v>1961.64330449107</v>
      </c>
      <c r="M269">
        <v>40.277326410978702</v>
      </c>
      <c r="N269">
        <v>48.805689906532301</v>
      </c>
      <c r="O269">
        <v>48.583823950464797</v>
      </c>
      <c r="P269">
        <v>-0.19886981749219401</v>
      </c>
      <c r="Q269">
        <v>4.04690341247715E-2</v>
      </c>
      <c r="R269">
        <v>0.95941836520691803</v>
      </c>
      <c r="S269" t="s">
        <v>4101</v>
      </c>
      <c r="T269" t="s">
        <v>7662</v>
      </c>
      <c r="U269" t="s">
        <v>7662</v>
      </c>
      <c r="V269" t="s">
        <v>7662</v>
      </c>
      <c r="W269">
        <v>53</v>
      </c>
      <c r="X269" t="s">
        <v>7931</v>
      </c>
      <c r="Y269">
        <v>0.32203219704810748</v>
      </c>
      <c r="Z269" t="str">
        <f>HYPERLINK("Melting_Curves/meltCurve_sp_O75891_AL1L1_HUMAN_.pdf", "Melting_Curves/meltCurve_sp_O75891_AL1L1_HUMAN_.pdf")</f>
        <v>Melting_Curves/meltCurve_sp_O75891_AL1L1_HUMAN_.pdf</v>
      </c>
      <c r="AA269" t="s">
        <v>11759</v>
      </c>
      <c r="AB269" t="s">
        <v>15510</v>
      </c>
    </row>
    <row r="270" spans="1:28" x14ac:dyDescent="0.25">
      <c r="A270" t="s">
        <v>274</v>
      </c>
      <c r="B270">
        <v>0.98876768158843997</v>
      </c>
      <c r="C270">
        <v>0.883704500408103</v>
      </c>
      <c r="D270">
        <v>1.00008783764802</v>
      </c>
      <c r="E270">
        <v>0.88294615492865802</v>
      </c>
      <c r="F270">
        <v>0.56810281707218102</v>
      </c>
      <c r="G270">
        <v>0.31014219864831499</v>
      </c>
      <c r="H270">
        <v>9.3509334416845502E-2</v>
      </c>
      <c r="I270">
        <v>6.6315856442622695E-2</v>
      </c>
      <c r="J270">
        <v>2.76613271302492E-2</v>
      </c>
      <c r="K270">
        <v>9.5897315628186194E-2</v>
      </c>
      <c r="L270">
        <v>1169.2790213378501</v>
      </c>
      <c r="M270">
        <v>21.702441536588399</v>
      </c>
      <c r="N270">
        <v>54.121225487836398</v>
      </c>
      <c r="O270">
        <v>53.426572743036203</v>
      </c>
      <c r="P270">
        <v>-9.6832072903581104E-2</v>
      </c>
      <c r="Q270">
        <v>4.6506572879960198E-2</v>
      </c>
      <c r="R270">
        <v>0.98645962245110996</v>
      </c>
      <c r="S270" t="s">
        <v>4102</v>
      </c>
      <c r="T270" t="s">
        <v>7662</v>
      </c>
      <c r="U270" t="s">
        <v>7662</v>
      </c>
      <c r="V270" t="s">
        <v>7662</v>
      </c>
      <c r="W270">
        <v>1</v>
      </c>
      <c r="X270" t="s">
        <v>7932</v>
      </c>
      <c r="Y270">
        <v>0.49891625353269059</v>
      </c>
      <c r="Z270" t="str">
        <f>HYPERLINK("Melting_Curves/meltCurve_sp_O75896_TUSC2_HUMAN_.pdf", "Melting_Curves/meltCurve_sp_O75896_TUSC2_HUMAN_.pdf")</f>
        <v>Melting_Curves/meltCurve_sp_O75896_TUSC2_HUMAN_.pdf</v>
      </c>
      <c r="AA270" t="s">
        <v>11760</v>
      </c>
      <c r="AB270" t="s">
        <v>15511</v>
      </c>
    </row>
    <row r="271" spans="1:28" x14ac:dyDescent="0.25">
      <c r="A271" t="s">
        <v>275</v>
      </c>
      <c r="B271">
        <v>0.98876768158843997</v>
      </c>
      <c r="C271">
        <v>0.85467950247018099</v>
      </c>
      <c r="D271">
        <v>0.84335118838802503</v>
      </c>
      <c r="E271">
        <v>0.59169447064366998</v>
      </c>
      <c r="F271">
        <v>0.80173572682507999</v>
      </c>
      <c r="G271">
        <v>0.11462781590566599</v>
      </c>
      <c r="H271">
        <v>0</v>
      </c>
      <c r="I271">
        <v>6.64861261426197E-2</v>
      </c>
      <c r="J271">
        <v>0</v>
      </c>
      <c r="K271">
        <v>0</v>
      </c>
      <c r="L271">
        <v>895.05770188908798</v>
      </c>
      <c r="M271">
        <v>16.8261216712189</v>
      </c>
      <c r="N271">
        <v>53.194536908495998</v>
      </c>
      <c r="O271">
        <v>52.460212655129098</v>
      </c>
      <c r="P271">
        <v>-8.0190317562480004E-2</v>
      </c>
      <c r="Q271">
        <v>0</v>
      </c>
      <c r="R271">
        <v>0.90126050242293398</v>
      </c>
      <c r="S271" t="s">
        <v>4103</v>
      </c>
      <c r="T271" t="s">
        <v>7662</v>
      </c>
      <c r="U271" t="s">
        <v>7662</v>
      </c>
      <c r="V271" t="s">
        <v>7662</v>
      </c>
      <c r="W271">
        <v>2</v>
      </c>
      <c r="X271" t="s">
        <v>7933</v>
      </c>
      <c r="Y271">
        <v>0.45791575396282658</v>
      </c>
      <c r="Z271" t="str">
        <f>HYPERLINK("Melting_Curves/meltCurve_sp_O75909_CCNK_HUMAN_.pdf", "Melting_Curves/meltCurve_sp_O75909_CCNK_HUMAN_.pdf")</f>
        <v>Melting_Curves/meltCurve_sp_O75909_CCNK_HUMAN_.pdf</v>
      </c>
      <c r="AA271" t="s">
        <v>11761</v>
      </c>
      <c r="AB271" t="s">
        <v>15512</v>
      </c>
    </row>
    <row r="272" spans="1:28" x14ac:dyDescent="0.25">
      <c r="A272" t="s">
        <v>276</v>
      </c>
      <c r="B272">
        <v>0.98876768158843997</v>
      </c>
      <c r="C272">
        <v>0.97198861203796405</v>
      </c>
      <c r="D272">
        <v>0.985413026908454</v>
      </c>
      <c r="E272">
        <v>0.80525790606587799</v>
      </c>
      <c r="F272">
        <v>0.42096097857721598</v>
      </c>
      <c r="G272">
        <v>0.24575728136738101</v>
      </c>
      <c r="H272">
        <v>0.15160023152055399</v>
      </c>
      <c r="I272">
        <v>0.14962354784621401</v>
      </c>
      <c r="J272">
        <v>0.16857059929432899</v>
      </c>
      <c r="K272">
        <v>0.21722200251377</v>
      </c>
      <c r="L272">
        <v>1701.4789180300399</v>
      </c>
      <c r="M272">
        <v>32.901537902060802</v>
      </c>
      <c r="N272">
        <v>52.406170547603203</v>
      </c>
      <c r="O272">
        <v>51.524323959606598</v>
      </c>
      <c r="P272">
        <v>-0.13151800604403799</v>
      </c>
      <c r="Q272">
        <v>0.17616633629353501</v>
      </c>
      <c r="R272">
        <v>0.99575313178654001</v>
      </c>
      <c r="S272" t="s">
        <v>4104</v>
      </c>
      <c r="T272" t="s">
        <v>7662</v>
      </c>
      <c r="U272" t="s">
        <v>7662</v>
      </c>
      <c r="V272" t="s">
        <v>7662</v>
      </c>
      <c r="W272">
        <v>7</v>
      </c>
      <c r="X272" t="s">
        <v>7934</v>
      </c>
      <c r="Y272">
        <v>0.50221155157442243</v>
      </c>
      <c r="Z272" t="str">
        <f>HYPERLINK("Melting_Curves/meltCurve_sp_O75934_SPF27_HUMAN_.pdf", "Melting_Curves/meltCurve_sp_O75934_SPF27_HUMAN_.pdf")</f>
        <v>Melting_Curves/meltCurve_sp_O75934_SPF27_HUMAN_.pdf</v>
      </c>
      <c r="AA272" t="s">
        <v>11762</v>
      </c>
      <c r="AB272" t="s">
        <v>15513</v>
      </c>
    </row>
    <row r="273" spans="1:28" x14ac:dyDescent="0.25">
      <c r="A273" t="s">
        <v>277</v>
      </c>
      <c r="B273">
        <v>0.98876768158843997</v>
      </c>
      <c r="C273">
        <v>0.886091008764332</v>
      </c>
      <c r="D273">
        <v>1.01237611801072</v>
      </c>
      <c r="E273">
        <v>0.43725253309237599</v>
      </c>
      <c r="F273">
        <v>0.14640802378699699</v>
      </c>
      <c r="G273">
        <v>9.2828315213463297E-2</v>
      </c>
      <c r="H273">
        <v>5.5253975465721902E-2</v>
      </c>
      <c r="I273">
        <v>4.3135171600220297E-2</v>
      </c>
      <c r="J273">
        <v>4.3262670525645197E-2</v>
      </c>
      <c r="K273">
        <v>3.9214007717766397E-2</v>
      </c>
      <c r="L273">
        <v>2086.1164067876498</v>
      </c>
      <c r="M273">
        <v>42.057746720419303</v>
      </c>
      <c r="N273">
        <v>49.747012365224101</v>
      </c>
      <c r="O273">
        <v>49.4895074124017</v>
      </c>
      <c r="P273">
        <v>-0.200141162826174</v>
      </c>
      <c r="Q273">
        <v>5.7974412608414301E-2</v>
      </c>
      <c r="R273">
        <v>0.98903958578590701</v>
      </c>
      <c r="S273" t="s">
        <v>4105</v>
      </c>
      <c r="T273" t="s">
        <v>7662</v>
      </c>
      <c r="U273" t="s">
        <v>7662</v>
      </c>
      <c r="V273" t="s">
        <v>7662</v>
      </c>
      <c r="W273">
        <v>4</v>
      </c>
      <c r="X273" t="s">
        <v>7935</v>
      </c>
      <c r="Y273">
        <v>0.36238198637558178</v>
      </c>
      <c r="Z273" t="str">
        <f>HYPERLINK("Melting_Curves/meltCurve_sp_O75935_3_DCTN3_HUMAN_.pdf", "Melting_Curves/meltCurve_sp_O75935_3_DCTN3_HUMAN_.pdf")</f>
        <v>Melting_Curves/meltCurve_sp_O75935_3_DCTN3_HUMAN_.pdf</v>
      </c>
      <c r="AA273" t="s">
        <v>11763</v>
      </c>
      <c r="AB273" t="s">
        <v>15514</v>
      </c>
    </row>
    <row r="274" spans="1:28" x14ac:dyDescent="0.25">
      <c r="A274" t="s">
        <v>278</v>
      </c>
      <c r="B274">
        <v>0.98876768158843997</v>
      </c>
      <c r="C274">
        <v>0.88101833291307896</v>
      </c>
      <c r="D274">
        <v>0.62817720678266498</v>
      </c>
      <c r="E274">
        <v>0.212101986673674</v>
      </c>
      <c r="F274">
        <v>0.117381799125122</v>
      </c>
      <c r="G274">
        <v>5.5848645676187497E-2</v>
      </c>
      <c r="H274">
        <v>3.7600548108051801E-2</v>
      </c>
      <c r="I274">
        <v>3.1754856426781698E-2</v>
      </c>
      <c r="J274">
        <v>4.3469586682492997E-2</v>
      </c>
      <c r="K274">
        <v>3.4254797445636198E-2</v>
      </c>
      <c r="L274">
        <v>1051.4893022066001</v>
      </c>
      <c r="M274">
        <v>22.4343125556552</v>
      </c>
      <c r="N274">
        <v>47.0269084116469</v>
      </c>
      <c r="O274">
        <v>46.502052287161</v>
      </c>
      <c r="P274">
        <v>-0.11625421336439</v>
      </c>
      <c r="Q274">
        <v>3.6128669359478602E-2</v>
      </c>
      <c r="R274">
        <v>0.99937637457458794</v>
      </c>
      <c r="S274" t="s">
        <v>4106</v>
      </c>
      <c r="T274" t="s">
        <v>7662</v>
      </c>
      <c r="U274" t="s">
        <v>7662</v>
      </c>
      <c r="V274" t="s">
        <v>7662</v>
      </c>
      <c r="W274">
        <v>9</v>
      </c>
      <c r="X274" t="s">
        <v>7936</v>
      </c>
      <c r="Y274">
        <v>0.2678280239825041</v>
      </c>
      <c r="Z274" t="str">
        <f>HYPERLINK("Melting_Curves/meltCurve_sp_O75936_BODG_HUMAN_.pdf", "Melting_Curves/meltCurve_sp_O75936_BODG_HUMAN_.pdf")</f>
        <v>Melting_Curves/meltCurve_sp_O75936_BODG_HUMAN_.pdf</v>
      </c>
      <c r="AA274" t="s">
        <v>11764</v>
      </c>
      <c r="AB274" t="s">
        <v>15515</v>
      </c>
    </row>
    <row r="275" spans="1:28" x14ac:dyDescent="0.25">
      <c r="A275" t="s">
        <v>279</v>
      </c>
      <c r="B275">
        <v>0.98876768158843997</v>
      </c>
      <c r="C275">
        <v>0.99850623405697803</v>
      </c>
      <c r="D275">
        <v>0.88593127528452498</v>
      </c>
      <c r="E275">
        <v>0.75296647328295596</v>
      </c>
      <c r="F275">
        <v>0.77057105098763101</v>
      </c>
      <c r="G275">
        <v>0.53713164792747403</v>
      </c>
      <c r="H275">
        <v>0.40032825772250602</v>
      </c>
      <c r="I275">
        <v>0.445646860712898</v>
      </c>
      <c r="J275">
        <v>0.55967406809509701</v>
      </c>
      <c r="K275">
        <v>0.60452599343777502</v>
      </c>
      <c r="L275">
        <v>845.53310107183802</v>
      </c>
      <c r="M275">
        <v>16.604698763388399</v>
      </c>
      <c r="N275">
        <v>69.968371911256298</v>
      </c>
      <c r="O275">
        <v>50.199956751742697</v>
      </c>
      <c r="P275">
        <v>-4.17993749442244E-2</v>
      </c>
      <c r="Q275">
        <v>0.49455654893327</v>
      </c>
      <c r="R275">
        <v>0.88546827691666097</v>
      </c>
      <c r="S275" t="s">
        <v>4107</v>
      </c>
      <c r="T275" t="s">
        <v>7662</v>
      </c>
      <c r="U275" t="s">
        <v>7662</v>
      </c>
      <c r="V275" t="s">
        <v>7662</v>
      </c>
      <c r="W275">
        <v>9</v>
      </c>
      <c r="X275" t="s">
        <v>7937</v>
      </c>
      <c r="Y275">
        <v>0.68840199586518647</v>
      </c>
      <c r="Z275" t="str">
        <f>HYPERLINK("Melting_Curves/meltCurve_sp_O75937_DNJC8_HUMAN_.pdf", "Melting_Curves/meltCurve_sp_O75937_DNJC8_HUMAN_.pdf")</f>
        <v>Melting_Curves/meltCurve_sp_O75937_DNJC8_HUMAN_.pdf</v>
      </c>
      <c r="AA275" t="s">
        <v>11765</v>
      </c>
      <c r="AB275" t="s">
        <v>15516</v>
      </c>
    </row>
    <row r="276" spans="1:28" x14ac:dyDescent="0.25">
      <c r="A276" t="s">
        <v>280</v>
      </c>
      <c r="B276">
        <v>0.98876768158843997</v>
      </c>
      <c r="C276">
        <v>1.0763252613819001</v>
      </c>
      <c r="D276">
        <v>0.86489311448683104</v>
      </c>
      <c r="E276">
        <v>0.76467878790636201</v>
      </c>
      <c r="F276">
        <v>0.77848797730721198</v>
      </c>
      <c r="G276">
        <v>0.61516514723243598</v>
      </c>
      <c r="H276">
        <v>0.48479429914400501</v>
      </c>
      <c r="I276">
        <v>0.52176257329602604</v>
      </c>
      <c r="J276">
        <v>0.67856678084227295</v>
      </c>
      <c r="K276">
        <v>0.65028234670601404</v>
      </c>
      <c r="L276">
        <v>875.87324887784803</v>
      </c>
      <c r="M276">
        <v>17.531394139705601</v>
      </c>
      <c r="O276">
        <v>49.323823012741101</v>
      </c>
      <c r="P276">
        <v>-3.6921503390641999E-2</v>
      </c>
      <c r="Q276">
        <v>0.58451447226901099</v>
      </c>
      <c r="R276">
        <v>0.84507796594067996</v>
      </c>
      <c r="S276" t="s">
        <v>4108</v>
      </c>
      <c r="T276" t="s">
        <v>7662</v>
      </c>
      <c r="U276" t="s">
        <v>7662</v>
      </c>
      <c r="V276" t="s">
        <v>7662</v>
      </c>
      <c r="W276">
        <v>1</v>
      </c>
      <c r="X276" t="s">
        <v>7938</v>
      </c>
      <c r="Y276">
        <v>0.72991203317809383</v>
      </c>
      <c r="Z276" t="str">
        <f>HYPERLINK("Melting_Curves/meltCurve_sp_O75940_SPF30_HUMAN_.pdf", "Melting_Curves/meltCurve_sp_O75940_SPF30_HUMAN_.pdf")</f>
        <v>Melting_Curves/meltCurve_sp_O75940_SPF30_HUMAN_.pdf</v>
      </c>
      <c r="AA276" t="s">
        <v>11766</v>
      </c>
      <c r="AB276" t="s">
        <v>15517</v>
      </c>
    </row>
    <row r="277" spans="1:28" x14ac:dyDescent="0.25">
      <c r="A277" t="s">
        <v>281</v>
      </c>
      <c r="B277">
        <v>0.98876768158843997</v>
      </c>
      <c r="C277">
        <v>0.90707386890674002</v>
      </c>
      <c r="D277">
        <v>0.87991659262021105</v>
      </c>
      <c r="E277">
        <v>0.651713157450171</v>
      </c>
      <c r="F277">
        <v>0.46849397981041702</v>
      </c>
      <c r="G277">
        <v>0.27408388578176901</v>
      </c>
      <c r="H277">
        <v>0.180378808329029</v>
      </c>
      <c r="I277">
        <v>0.150926496468784</v>
      </c>
      <c r="J277">
        <v>0.14367507954056699</v>
      </c>
      <c r="K277">
        <v>0.121948067074999</v>
      </c>
      <c r="L277">
        <v>733.99628630890595</v>
      </c>
      <c r="M277">
        <v>14.2366577330704</v>
      </c>
      <c r="N277">
        <v>52.374211719597099</v>
      </c>
      <c r="O277">
        <v>50.571543550544703</v>
      </c>
      <c r="P277">
        <v>-6.3375431229397206E-2</v>
      </c>
      <c r="Q277">
        <v>9.9621201463098205E-2</v>
      </c>
      <c r="R277">
        <v>0.99763360530604195</v>
      </c>
      <c r="S277" t="s">
        <v>4109</v>
      </c>
      <c r="T277" t="s">
        <v>7662</v>
      </c>
      <c r="U277" t="s">
        <v>7662</v>
      </c>
      <c r="V277" t="s">
        <v>7662</v>
      </c>
      <c r="W277">
        <v>18</v>
      </c>
      <c r="X277" t="s">
        <v>7939</v>
      </c>
      <c r="Y277">
        <v>0.46863758965282809</v>
      </c>
      <c r="Z277" t="str">
        <f>HYPERLINK("Melting_Curves/meltCurve_sp_O75970_3_MPDZ_HUMAN_.pdf", "Melting_Curves/meltCurve_sp_O75970_3_MPDZ_HUMAN_.pdf")</f>
        <v>Melting_Curves/meltCurve_sp_O75970_3_MPDZ_HUMAN_.pdf</v>
      </c>
      <c r="AA277" t="s">
        <v>11767</v>
      </c>
      <c r="AB277" t="s">
        <v>15518</v>
      </c>
    </row>
    <row r="278" spans="1:28" x14ac:dyDescent="0.25">
      <c r="A278" t="s">
        <v>282</v>
      </c>
      <c r="B278">
        <v>0.98876768158843997</v>
      </c>
      <c r="C278">
        <v>0.96030469657248696</v>
      </c>
      <c r="D278">
        <v>0.86592067148666196</v>
      </c>
      <c r="E278">
        <v>0.68128627835105005</v>
      </c>
      <c r="F278">
        <v>0.55832227996981598</v>
      </c>
      <c r="G278">
        <v>0.379580954393545</v>
      </c>
      <c r="H278">
        <v>0.293909137351271</v>
      </c>
      <c r="I278">
        <v>0.309403603237976</v>
      </c>
      <c r="J278">
        <v>0.40907562805699099</v>
      </c>
      <c r="K278">
        <v>0.345257463838339</v>
      </c>
      <c r="L278">
        <v>856.30668825021098</v>
      </c>
      <c r="M278">
        <v>17.030083294279901</v>
      </c>
      <c r="N278">
        <v>53.569429641014999</v>
      </c>
      <c r="O278">
        <v>49.604045860316099</v>
      </c>
      <c r="P278">
        <v>-5.8010088061365699E-2</v>
      </c>
      <c r="Q278">
        <v>0.32417044244048698</v>
      </c>
      <c r="R278">
        <v>0.98083073268189103</v>
      </c>
      <c r="S278" t="s">
        <v>4110</v>
      </c>
      <c r="T278" t="s">
        <v>7662</v>
      </c>
      <c r="U278" t="s">
        <v>7662</v>
      </c>
      <c r="V278" t="s">
        <v>7662</v>
      </c>
      <c r="W278">
        <v>4</v>
      </c>
      <c r="X278" t="s">
        <v>7940</v>
      </c>
      <c r="Y278">
        <v>0.56852647828903691</v>
      </c>
      <c r="Z278" t="str">
        <f>HYPERLINK("Melting_Curves/meltCurve_sp_O75976_CBPD_HUMAN_.pdf", "Melting_Curves/meltCurve_sp_O75976_CBPD_HUMAN_.pdf")</f>
        <v>Melting_Curves/meltCurve_sp_O75976_CBPD_HUMAN_.pdf</v>
      </c>
      <c r="AA278" t="s">
        <v>11768</v>
      </c>
      <c r="AB278" t="s">
        <v>15519</v>
      </c>
    </row>
    <row r="279" spans="1:28" x14ac:dyDescent="0.25">
      <c r="A279" t="s">
        <v>283</v>
      </c>
      <c r="B279">
        <v>0.98876768158843997</v>
      </c>
      <c r="C279">
        <v>1.00343782627623</v>
      </c>
      <c r="D279">
        <v>0.87967384105345503</v>
      </c>
      <c r="E279">
        <v>0.70778888176387</v>
      </c>
      <c r="F279">
        <v>0.63581871166544501</v>
      </c>
      <c r="G279">
        <v>0.29476179054777502</v>
      </c>
      <c r="H279">
        <v>0.10009318027571699</v>
      </c>
      <c r="I279">
        <v>8.7820866062584102E-2</v>
      </c>
      <c r="J279">
        <v>8.9368089831872097E-2</v>
      </c>
      <c r="K279">
        <v>7.8844712811371606E-2</v>
      </c>
      <c r="L279">
        <v>803.09733147423697</v>
      </c>
      <c r="M279">
        <v>14.9723581102552</v>
      </c>
      <c r="N279">
        <v>53.792327138938603</v>
      </c>
      <c r="O279">
        <v>52.709089142730299</v>
      </c>
      <c r="P279">
        <v>-6.9534641984656601E-2</v>
      </c>
      <c r="Q279">
        <v>2.0933192746280901E-2</v>
      </c>
      <c r="R279">
        <v>0.98829930443916603</v>
      </c>
      <c r="S279" t="s">
        <v>4111</v>
      </c>
      <c r="T279" t="s">
        <v>7662</v>
      </c>
      <c r="U279" t="s">
        <v>7662</v>
      </c>
      <c r="V279" t="s">
        <v>7662</v>
      </c>
      <c r="W279">
        <v>8</v>
      </c>
      <c r="X279" t="s">
        <v>7941</v>
      </c>
      <c r="Y279">
        <v>0.48655274445904811</v>
      </c>
      <c r="Z279" t="str">
        <f>HYPERLINK("Melting_Curves/meltCurve_sp_O76003_GLRX3_HUMAN_.pdf", "Melting_Curves/meltCurve_sp_O76003_GLRX3_HUMAN_.pdf")</f>
        <v>Melting_Curves/meltCurve_sp_O76003_GLRX3_HUMAN_.pdf</v>
      </c>
      <c r="AA279" t="s">
        <v>11769</v>
      </c>
      <c r="AB279" t="s">
        <v>15520</v>
      </c>
    </row>
    <row r="280" spans="1:28" x14ac:dyDescent="0.25">
      <c r="A280" t="s">
        <v>284</v>
      </c>
      <c r="B280">
        <v>0.98876768158843997</v>
      </c>
      <c r="C280">
        <v>0.86938151949324705</v>
      </c>
      <c r="D280">
        <v>0.552769300376032</v>
      </c>
      <c r="E280">
        <v>0.34367912881774298</v>
      </c>
      <c r="F280">
        <v>0.26014206235573301</v>
      </c>
      <c r="G280">
        <v>0.10540154425899199</v>
      </c>
      <c r="H280">
        <v>6.8775090259284105E-2</v>
      </c>
      <c r="I280">
        <v>6.4640915564038906E-2</v>
      </c>
      <c r="J280">
        <v>9.0023584816660604E-2</v>
      </c>
      <c r="K280">
        <v>8.3262946510920699E-2</v>
      </c>
      <c r="L280">
        <v>744.05181945282095</v>
      </c>
      <c r="M280">
        <v>15.821145100141599</v>
      </c>
      <c r="N280">
        <v>47.478760897804399</v>
      </c>
      <c r="O280">
        <v>46.2968473437234</v>
      </c>
      <c r="P280">
        <v>-7.9493732789911606E-2</v>
      </c>
      <c r="Q280">
        <v>6.9597925874574904E-2</v>
      </c>
      <c r="R280">
        <v>0.98884158449457504</v>
      </c>
      <c r="S280" t="s">
        <v>4112</v>
      </c>
      <c r="T280" t="s">
        <v>7662</v>
      </c>
      <c r="U280" t="s">
        <v>7662</v>
      </c>
      <c r="V280" t="s">
        <v>7662</v>
      </c>
      <c r="W280">
        <v>6</v>
      </c>
      <c r="X280" t="s">
        <v>7942</v>
      </c>
      <c r="Y280">
        <v>0.3101782510655256</v>
      </c>
      <c r="Z280" t="str">
        <f>HYPERLINK("Melting_Curves/meltCurve_sp_O76031_CLPX_HUMAN_.pdf", "Melting_Curves/meltCurve_sp_O76031_CLPX_HUMAN_.pdf")</f>
        <v>Melting_Curves/meltCurve_sp_O76031_CLPX_HUMAN_.pdf</v>
      </c>
      <c r="AA280" t="s">
        <v>11770</v>
      </c>
      <c r="AB280" t="s">
        <v>15521</v>
      </c>
    </row>
    <row r="281" spans="1:28" x14ac:dyDescent="0.25">
      <c r="A281" t="s">
        <v>285</v>
      </c>
      <c r="B281">
        <v>0.98876768158843997</v>
      </c>
      <c r="C281">
        <v>1.02503753191507</v>
      </c>
      <c r="D281">
        <v>0.81934180726072903</v>
      </c>
      <c r="E281">
        <v>0.75266848683999799</v>
      </c>
      <c r="F281">
        <v>0.53574466920048103</v>
      </c>
      <c r="G281">
        <v>9.8622842894380502E-2</v>
      </c>
      <c r="H281">
        <v>5.2608340681758702E-2</v>
      </c>
      <c r="I281">
        <v>4.9813641330857597E-2</v>
      </c>
      <c r="J281">
        <v>4.90470558543427E-2</v>
      </c>
      <c r="K281">
        <v>4.3367063331591203E-2</v>
      </c>
      <c r="L281">
        <v>1079.41338813484</v>
      </c>
      <c r="M281">
        <v>20.527250132914698</v>
      </c>
      <c r="N281">
        <v>52.663362811839399</v>
      </c>
      <c r="O281">
        <v>52.092996339639903</v>
      </c>
      <c r="P281">
        <v>-9.7022415884941607E-2</v>
      </c>
      <c r="Q281">
        <v>1.5155098784893101E-2</v>
      </c>
      <c r="R281">
        <v>0.98063830443736599</v>
      </c>
      <c r="S281" t="s">
        <v>4113</v>
      </c>
      <c r="T281" t="s">
        <v>7662</v>
      </c>
      <c r="U281" t="s">
        <v>7662</v>
      </c>
      <c r="V281" t="s">
        <v>7662</v>
      </c>
      <c r="W281">
        <v>16</v>
      </c>
      <c r="X281" t="s">
        <v>7943</v>
      </c>
      <c r="Y281">
        <v>0.44125941943499453</v>
      </c>
      <c r="Z281" t="str">
        <f>HYPERLINK("Melting_Curves/meltCurve_sp_O76054_S14L2_HUMAN_.pdf", "Melting_Curves/meltCurve_sp_O76054_S14L2_HUMAN_.pdf")</f>
        <v>Melting_Curves/meltCurve_sp_O76054_S14L2_HUMAN_.pdf</v>
      </c>
      <c r="AA281" t="s">
        <v>11771</v>
      </c>
      <c r="AB281" t="s">
        <v>15522</v>
      </c>
    </row>
    <row r="282" spans="1:28" x14ac:dyDescent="0.25">
      <c r="A282" t="s">
        <v>286</v>
      </c>
      <c r="B282">
        <v>0.98876768158843997</v>
      </c>
      <c r="C282">
        <v>0.95685713027147901</v>
      </c>
      <c r="D282">
        <v>0.85137782698764297</v>
      </c>
      <c r="E282">
        <v>0.72587381089146696</v>
      </c>
      <c r="F282">
        <v>0.71289003701992304</v>
      </c>
      <c r="G282">
        <v>0.36778145593249001</v>
      </c>
      <c r="H282">
        <v>0.23520255839925699</v>
      </c>
      <c r="I282">
        <v>0.14187772180630701</v>
      </c>
      <c r="J282">
        <v>8.7774223450022004E-2</v>
      </c>
      <c r="K282">
        <v>6.9582552599275899E-2</v>
      </c>
      <c r="L282">
        <v>657.50814763865696</v>
      </c>
      <c r="M282">
        <v>11.9509697441353</v>
      </c>
      <c r="N282">
        <v>55.0171376569335</v>
      </c>
      <c r="O282">
        <v>53.544583348949402</v>
      </c>
      <c r="P282">
        <v>-5.5812821917998197E-2</v>
      </c>
      <c r="Q282">
        <v>0</v>
      </c>
      <c r="R282">
        <v>0.98601243538760197</v>
      </c>
      <c r="S282" t="s">
        <v>4114</v>
      </c>
      <c r="T282" t="s">
        <v>7662</v>
      </c>
      <c r="U282" t="s">
        <v>7662</v>
      </c>
      <c r="V282" t="s">
        <v>7662</v>
      </c>
      <c r="W282">
        <v>2</v>
      </c>
      <c r="X282" t="s">
        <v>7944</v>
      </c>
      <c r="Y282">
        <v>0.52403905048988697</v>
      </c>
      <c r="Z282" t="str">
        <f>HYPERLINK("Melting_Curves/meltCurve_sp_O76071_CIAO1_HUMAN_.pdf", "Melting_Curves/meltCurve_sp_O76071_CIAO1_HUMAN_.pdf")</f>
        <v>Melting_Curves/meltCurve_sp_O76071_CIAO1_HUMAN_.pdf</v>
      </c>
      <c r="AA282" t="s">
        <v>11772</v>
      </c>
      <c r="AB282" t="s">
        <v>15523</v>
      </c>
    </row>
    <row r="283" spans="1:28" x14ac:dyDescent="0.25">
      <c r="A283" t="s">
        <v>287</v>
      </c>
      <c r="B283">
        <v>0.98876768158843997</v>
      </c>
      <c r="C283">
        <v>0.88478722318779601</v>
      </c>
      <c r="D283">
        <v>0.871198348814052</v>
      </c>
      <c r="E283">
        <v>0.29432265890227699</v>
      </c>
      <c r="F283">
        <v>0.179877377204607</v>
      </c>
      <c r="G283">
        <v>0.107818821246336</v>
      </c>
      <c r="H283">
        <v>8.6617358390095697E-2</v>
      </c>
      <c r="I283">
        <v>9.4810874207007706E-2</v>
      </c>
      <c r="J283">
        <v>0.105098503573383</v>
      </c>
      <c r="K283">
        <v>0.13226607839442001</v>
      </c>
      <c r="L283">
        <v>1572.9806982424</v>
      </c>
      <c r="M283">
        <v>32.6519224317449</v>
      </c>
      <c r="N283">
        <v>48.532197205953402</v>
      </c>
      <c r="O283">
        <v>47.994598171431399</v>
      </c>
      <c r="P283">
        <v>-0.15188095591575501</v>
      </c>
      <c r="Q283">
        <v>0.107013552255212</v>
      </c>
      <c r="R283">
        <v>0.98966948233277396</v>
      </c>
      <c r="S283" t="s">
        <v>4115</v>
      </c>
      <c r="T283" t="s">
        <v>7662</v>
      </c>
      <c r="U283" t="s">
        <v>7662</v>
      </c>
      <c r="V283" t="s">
        <v>7662</v>
      </c>
      <c r="W283">
        <v>7</v>
      </c>
      <c r="X283" t="s">
        <v>7945</v>
      </c>
      <c r="Y283">
        <v>0.35484553364027749</v>
      </c>
      <c r="Z283" t="str">
        <f>HYPERLINK("Melting_Curves/meltCurve_sp_O76094_SRP72_HUMAN_.pdf", "Melting_Curves/meltCurve_sp_O76094_SRP72_HUMAN_.pdf")</f>
        <v>Melting_Curves/meltCurve_sp_O76094_SRP72_HUMAN_.pdf</v>
      </c>
      <c r="AA283" t="s">
        <v>11773</v>
      </c>
      <c r="AB283" t="s">
        <v>15524</v>
      </c>
    </row>
    <row r="284" spans="1:28" x14ac:dyDescent="0.25">
      <c r="A284" t="s">
        <v>288</v>
      </c>
      <c r="B284">
        <v>0.98876768158843997</v>
      </c>
      <c r="C284">
        <v>1.1463371946196399</v>
      </c>
      <c r="D284">
        <v>0.882958268785481</v>
      </c>
      <c r="E284">
        <v>0.82436157518811404</v>
      </c>
      <c r="F284">
        <v>0.94552384336208295</v>
      </c>
      <c r="G284">
        <v>0.57905953806495203</v>
      </c>
      <c r="H284">
        <v>0.27448316207159401</v>
      </c>
      <c r="I284">
        <v>0.17409085646181499</v>
      </c>
      <c r="J284">
        <v>0.133867455075108</v>
      </c>
      <c r="K284">
        <v>0.13050613281981499</v>
      </c>
      <c r="L284">
        <v>1283.2376100029801</v>
      </c>
      <c r="M284">
        <v>22.3769733441592</v>
      </c>
      <c r="N284">
        <v>57.928340681998002</v>
      </c>
      <c r="O284">
        <v>56.894248191719797</v>
      </c>
      <c r="P284">
        <v>-8.8430374429079597E-2</v>
      </c>
      <c r="Q284">
        <v>0.10066931954324</v>
      </c>
      <c r="R284">
        <v>0.95766426506886204</v>
      </c>
      <c r="S284" t="s">
        <v>4116</v>
      </c>
      <c r="T284" t="s">
        <v>7662</v>
      </c>
      <c r="U284" t="s">
        <v>7662</v>
      </c>
      <c r="V284" t="s">
        <v>7662</v>
      </c>
      <c r="W284">
        <v>19</v>
      </c>
      <c r="X284" t="s">
        <v>7946</v>
      </c>
      <c r="Y284">
        <v>0.63005196086638904</v>
      </c>
      <c r="Z284" t="str">
        <f>HYPERLINK("Melting_Curves/meltCurve_sp_O94760_DDAH1_HUMAN_.pdf", "Melting_Curves/meltCurve_sp_O94760_DDAH1_HUMAN_.pdf")</f>
        <v>Melting_Curves/meltCurve_sp_O94760_DDAH1_HUMAN_.pdf</v>
      </c>
      <c r="AA284" t="s">
        <v>11774</v>
      </c>
      <c r="AB284" t="s">
        <v>15525</v>
      </c>
    </row>
    <row r="285" spans="1:28" x14ac:dyDescent="0.25">
      <c r="A285" t="s">
        <v>289</v>
      </c>
      <c r="B285">
        <v>0.98876768158843997</v>
      </c>
      <c r="C285">
        <v>0.95696846258110702</v>
      </c>
      <c r="D285">
        <v>0.91987433013799602</v>
      </c>
      <c r="E285">
        <v>0.85304670319615605</v>
      </c>
      <c r="F285">
        <v>0.58637522273238796</v>
      </c>
      <c r="G285">
        <v>0.36206272300658798</v>
      </c>
      <c r="H285">
        <v>0.22017706668569101</v>
      </c>
      <c r="I285">
        <v>0.15010413485233601</v>
      </c>
      <c r="J285">
        <v>0.352513817647301</v>
      </c>
      <c r="K285">
        <v>0.289589180438384</v>
      </c>
      <c r="L285">
        <v>1326.6974846838</v>
      </c>
      <c r="M285">
        <v>25.2260949872325</v>
      </c>
      <c r="N285">
        <v>54.069861826840999</v>
      </c>
      <c r="O285">
        <v>52.265081666228198</v>
      </c>
      <c r="P285">
        <v>-9.0613527288028503E-2</v>
      </c>
      <c r="Q285">
        <v>0.249053182084123</v>
      </c>
      <c r="R285">
        <v>0.96819456851226504</v>
      </c>
      <c r="S285" t="s">
        <v>4117</v>
      </c>
      <c r="T285" t="s">
        <v>7662</v>
      </c>
      <c r="U285" t="s">
        <v>7662</v>
      </c>
      <c r="V285" t="s">
        <v>7662</v>
      </c>
      <c r="W285">
        <v>1</v>
      </c>
      <c r="X285" t="s">
        <v>7947</v>
      </c>
      <c r="Y285">
        <v>0.57103274741449395</v>
      </c>
      <c r="Z285" t="str">
        <f>HYPERLINK("Melting_Curves/meltCurve_sp_O94763_RMP_HUMAN_.pdf", "Melting_Curves/meltCurve_sp_O94763_RMP_HUMAN_.pdf")</f>
        <v>Melting_Curves/meltCurve_sp_O94763_RMP_HUMAN_.pdf</v>
      </c>
      <c r="AA285" t="s">
        <v>11775</v>
      </c>
      <c r="AB285" t="s">
        <v>15526</v>
      </c>
    </row>
    <row r="286" spans="1:28" x14ac:dyDescent="0.25">
      <c r="A286" t="s">
        <v>290</v>
      </c>
      <c r="B286">
        <v>0.98876768158843997</v>
      </c>
      <c r="C286">
        <v>0.79350351637042205</v>
      </c>
      <c r="D286">
        <v>0.927913927365836</v>
      </c>
      <c r="E286">
        <v>0.56277269562751897</v>
      </c>
      <c r="F286">
        <v>0.300796760754795</v>
      </c>
      <c r="G286">
        <v>0.165174205920878</v>
      </c>
      <c r="H286">
        <v>9.9654347633334306E-2</v>
      </c>
      <c r="I286">
        <v>6.1433672479449399E-2</v>
      </c>
      <c r="J286">
        <v>6.5603190920330998E-2</v>
      </c>
      <c r="K286">
        <v>4.9682448668458098E-2</v>
      </c>
      <c r="L286">
        <v>867.63057702878905</v>
      </c>
      <c r="M286">
        <v>17.212180543685399</v>
      </c>
      <c r="N286">
        <v>50.681471635592999</v>
      </c>
      <c r="O286">
        <v>49.7422861701911</v>
      </c>
      <c r="P286">
        <v>-8.2674613604235905E-2</v>
      </c>
      <c r="Q286">
        <v>4.4355475152101802E-2</v>
      </c>
      <c r="R286">
        <v>0.97395708275683202</v>
      </c>
      <c r="S286" t="s">
        <v>4118</v>
      </c>
      <c r="T286" t="s">
        <v>7662</v>
      </c>
      <c r="U286" t="s">
        <v>7662</v>
      </c>
      <c r="V286" t="s">
        <v>7662</v>
      </c>
      <c r="W286">
        <v>9</v>
      </c>
      <c r="X286" t="s">
        <v>7948</v>
      </c>
      <c r="Y286">
        <v>0.39350899304133341</v>
      </c>
      <c r="Z286" t="str">
        <f>HYPERLINK("Melting_Curves/meltCurve_sp_O94776_MTA2_HUMAN_.pdf", "Melting_Curves/meltCurve_sp_O94776_MTA2_HUMAN_.pdf")</f>
        <v>Melting_Curves/meltCurve_sp_O94776_MTA2_HUMAN_.pdf</v>
      </c>
      <c r="AA286" t="s">
        <v>11776</v>
      </c>
      <c r="AB286" t="s">
        <v>15527</v>
      </c>
    </row>
    <row r="287" spans="1:28" x14ac:dyDescent="0.25">
      <c r="A287" t="s">
        <v>291</v>
      </c>
      <c r="B287">
        <v>0.98876768158843997</v>
      </c>
      <c r="C287">
        <v>0.81965876375297997</v>
      </c>
      <c r="D287">
        <v>0.79794675850179297</v>
      </c>
      <c r="E287">
        <v>0.43667516340458101</v>
      </c>
      <c r="F287">
        <v>0.116626099111462</v>
      </c>
      <c r="G287">
        <v>5.9910789465563101E-2</v>
      </c>
      <c r="H287">
        <v>2.3787967017306101E-2</v>
      </c>
      <c r="I287">
        <v>2.0861751782045201E-2</v>
      </c>
      <c r="J287">
        <v>3.44177490774542E-2</v>
      </c>
      <c r="K287">
        <v>1.9402523346812899E-2</v>
      </c>
      <c r="L287">
        <v>926.847874077087</v>
      </c>
      <c r="M287">
        <v>18.997053615461699</v>
      </c>
      <c r="N287">
        <v>48.819659998232602</v>
      </c>
      <c r="O287">
        <v>48.258050351602499</v>
      </c>
      <c r="P287">
        <v>-9.7834779453301504E-2</v>
      </c>
      <c r="Q287">
        <v>5.9243323689550003E-3</v>
      </c>
      <c r="R287">
        <v>0.98455838625171099</v>
      </c>
      <c r="S287" t="s">
        <v>4119</v>
      </c>
      <c r="T287" t="s">
        <v>7662</v>
      </c>
      <c r="U287" t="s">
        <v>7662</v>
      </c>
      <c r="V287" t="s">
        <v>7662</v>
      </c>
      <c r="W287">
        <v>5</v>
      </c>
      <c r="X287" t="s">
        <v>7949</v>
      </c>
      <c r="Y287">
        <v>0.31265832921017539</v>
      </c>
      <c r="Z287" t="str">
        <f>HYPERLINK("Melting_Curves/meltCurve_sp_O94788_4_AL1A2_HUMAN_.pdf", "Melting_Curves/meltCurve_sp_O94788_4_AL1A2_HUMAN_.pdf")</f>
        <v>Melting_Curves/meltCurve_sp_O94788_4_AL1A2_HUMAN_.pdf</v>
      </c>
      <c r="AA287" t="s">
        <v>11777</v>
      </c>
      <c r="AB287" t="s">
        <v>15528</v>
      </c>
    </row>
    <row r="288" spans="1:28" x14ac:dyDescent="0.25">
      <c r="A288" t="s">
        <v>292</v>
      </c>
      <c r="B288">
        <v>0.98876768158843997</v>
      </c>
      <c r="C288">
        <v>1.2356145639424601</v>
      </c>
      <c r="D288">
        <v>1.3108300828679</v>
      </c>
      <c r="E288">
        <v>1.5620060969730101</v>
      </c>
      <c r="F288">
        <v>0.69513002658725698</v>
      </c>
      <c r="G288">
        <v>0.55231324885131505</v>
      </c>
      <c r="H288">
        <v>0.35375487484957302</v>
      </c>
      <c r="I288">
        <v>0.32044564187671298</v>
      </c>
      <c r="J288">
        <v>0.14701575997118199</v>
      </c>
      <c r="K288">
        <v>0.16078893189110799</v>
      </c>
      <c r="L288">
        <v>1567.1185206549601</v>
      </c>
      <c r="M288">
        <v>27.754065233159601</v>
      </c>
      <c r="N288">
        <v>57.577983069646201</v>
      </c>
      <c r="O288">
        <v>56.173750229653102</v>
      </c>
      <c r="P288">
        <v>-9.7867867578092099E-2</v>
      </c>
      <c r="Q288">
        <v>0.207675264351558</v>
      </c>
      <c r="R288">
        <v>0.76726136300782499</v>
      </c>
      <c r="S288" t="s">
        <v>4120</v>
      </c>
      <c r="T288" t="s">
        <v>7662</v>
      </c>
      <c r="U288" t="s">
        <v>7662</v>
      </c>
      <c r="V288" t="s">
        <v>7662</v>
      </c>
      <c r="W288">
        <v>3</v>
      </c>
      <c r="X288" t="s">
        <v>7950</v>
      </c>
      <c r="Y288">
        <v>0.64857931231188148</v>
      </c>
      <c r="Z288" t="str">
        <f>HYPERLINK("Melting_Curves/meltCurve_sp_O94804_STK10_HUMAN_.pdf", "Melting_Curves/meltCurve_sp_O94804_STK10_HUMAN_.pdf")</f>
        <v>Melting_Curves/meltCurve_sp_O94804_STK10_HUMAN_.pdf</v>
      </c>
      <c r="AA288" t="s">
        <v>11778</v>
      </c>
      <c r="AB288" t="s">
        <v>15529</v>
      </c>
    </row>
    <row r="289" spans="1:28" x14ac:dyDescent="0.25">
      <c r="A289" t="s">
        <v>293</v>
      </c>
      <c r="B289">
        <v>0.98876768158843997</v>
      </c>
      <c r="C289">
        <v>1.2237428925723299</v>
      </c>
      <c r="D289">
        <v>0.86510571811139403</v>
      </c>
      <c r="E289">
        <v>0.774331961646476</v>
      </c>
      <c r="F289">
        <v>1.0138080433724199</v>
      </c>
      <c r="G289">
        <v>0.67754627815916202</v>
      </c>
      <c r="H289">
        <v>0.607327495471225</v>
      </c>
      <c r="I289">
        <v>0.70460301307444795</v>
      </c>
      <c r="J289">
        <v>0.973942032437075</v>
      </c>
      <c r="K289">
        <v>0.99895662749775305</v>
      </c>
      <c r="L289">
        <v>11448.0498216959</v>
      </c>
      <c r="M289">
        <v>250</v>
      </c>
      <c r="O289">
        <v>45.789268688955197</v>
      </c>
      <c r="P289">
        <v>-0.243640325226749</v>
      </c>
      <c r="Q289">
        <v>0.82150220238201799</v>
      </c>
      <c r="R289">
        <v>0.31649530947072901</v>
      </c>
      <c r="S289" t="s">
        <v>4121</v>
      </c>
      <c r="T289" t="s">
        <v>7662</v>
      </c>
      <c r="U289" t="s">
        <v>7662</v>
      </c>
      <c r="V289" t="s">
        <v>7662</v>
      </c>
      <c r="W289">
        <v>2</v>
      </c>
      <c r="X289" t="s">
        <v>7951</v>
      </c>
      <c r="Y289">
        <v>0.85597970782077892</v>
      </c>
      <c r="Z289" t="str">
        <f>HYPERLINK("Melting_Curves/meltCurve_sp_O94811_TPPP_HUMAN_.pdf", "Melting_Curves/meltCurve_sp_O94811_TPPP_HUMAN_.pdf")</f>
        <v>Melting_Curves/meltCurve_sp_O94811_TPPP_HUMAN_.pdf</v>
      </c>
      <c r="AA289" t="s">
        <v>11779</v>
      </c>
      <c r="AB289" t="s">
        <v>15530</v>
      </c>
    </row>
    <row r="290" spans="1:28" x14ac:dyDescent="0.25">
      <c r="A290" t="s">
        <v>294</v>
      </c>
      <c r="B290">
        <v>0.98876768158843997</v>
      </c>
      <c r="C290">
        <v>0.90169678218467797</v>
      </c>
      <c r="D290">
        <v>0.87473137645322296</v>
      </c>
      <c r="E290">
        <v>0.69051769107966898</v>
      </c>
      <c r="F290">
        <v>0.48021712730996902</v>
      </c>
      <c r="G290">
        <v>0.121621459428832</v>
      </c>
      <c r="H290">
        <v>5.1155646609890797E-2</v>
      </c>
      <c r="I290">
        <v>4.3209758633406099E-2</v>
      </c>
      <c r="J290">
        <v>4.6719317842572598E-2</v>
      </c>
      <c r="K290">
        <v>2.97451519345533E-2</v>
      </c>
      <c r="L290">
        <v>909.05272479579696</v>
      </c>
      <c r="M290">
        <v>17.4360054585363</v>
      </c>
      <c r="N290">
        <v>52.142561359216003</v>
      </c>
      <c r="O290">
        <v>51.465222252544301</v>
      </c>
      <c r="P290">
        <v>-8.4617357067736002E-2</v>
      </c>
      <c r="Q290">
        <v>1.0079931836893799E-3</v>
      </c>
      <c r="R290">
        <v>0.989823788726098</v>
      </c>
      <c r="S290" t="s">
        <v>4122</v>
      </c>
      <c r="T290" t="s">
        <v>7662</v>
      </c>
      <c r="U290" t="s">
        <v>7662</v>
      </c>
      <c r="V290" t="s">
        <v>7662</v>
      </c>
      <c r="W290">
        <v>1</v>
      </c>
      <c r="X290" t="s">
        <v>7952</v>
      </c>
      <c r="Y290">
        <v>0.42265331647270671</v>
      </c>
      <c r="Z290" t="str">
        <f>HYPERLINK("Melting_Curves/meltCurve_sp_O94817_ATG12_HUMAN_.pdf", "Melting_Curves/meltCurve_sp_O94817_ATG12_HUMAN_.pdf")</f>
        <v>Melting_Curves/meltCurve_sp_O94817_ATG12_HUMAN_.pdf</v>
      </c>
      <c r="AA290" t="s">
        <v>11780</v>
      </c>
      <c r="AB290" t="s">
        <v>15531</v>
      </c>
    </row>
    <row r="291" spans="1:28" x14ac:dyDescent="0.25">
      <c r="A291" t="s">
        <v>295</v>
      </c>
      <c r="B291">
        <v>0.98876768158843997</v>
      </c>
      <c r="C291">
        <v>1.0179409332777301</v>
      </c>
      <c r="D291">
        <v>0.85705819080303103</v>
      </c>
      <c r="E291">
        <v>0.71957061421828195</v>
      </c>
      <c r="F291">
        <v>0.51914525208068596</v>
      </c>
      <c r="G291">
        <v>0.21427596963355999</v>
      </c>
      <c r="H291">
        <v>0.115886282860642</v>
      </c>
      <c r="I291">
        <v>8.0880096348751498E-2</v>
      </c>
      <c r="J291">
        <v>0.116201908929899</v>
      </c>
      <c r="K291">
        <v>0.116320307711344</v>
      </c>
      <c r="L291">
        <v>930.525231825736</v>
      </c>
      <c r="M291">
        <v>17.805530597942401</v>
      </c>
      <c r="N291">
        <v>52.734335729867702</v>
      </c>
      <c r="O291">
        <v>51.614637144890999</v>
      </c>
      <c r="P291">
        <v>-7.9870936566098796E-2</v>
      </c>
      <c r="Q291">
        <v>7.3928835117466604E-2</v>
      </c>
      <c r="R291">
        <v>0.99163440919753398</v>
      </c>
      <c r="S291" t="s">
        <v>4123</v>
      </c>
      <c r="T291" t="s">
        <v>7662</v>
      </c>
      <c r="U291" t="s">
        <v>7662</v>
      </c>
      <c r="V291" t="s">
        <v>7662</v>
      </c>
      <c r="W291">
        <v>10</v>
      </c>
      <c r="X291" t="s">
        <v>7953</v>
      </c>
      <c r="Y291">
        <v>0.46803257758956812</v>
      </c>
      <c r="Z291" t="str">
        <f>HYPERLINK("Melting_Curves/meltCurve_sp_O94819_KBTBB_HUMAN_.pdf", "Melting_Curves/meltCurve_sp_O94819_KBTBB_HUMAN_.pdf")</f>
        <v>Melting_Curves/meltCurve_sp_O94819_KBTBB_HUMAN_.pdf</v>
      </c>
      <c r="AA291" t="s">
        <v>11781</v>
      </c>
      <c r="AB291" t="s">
        <v>15532</v>
      </c>
    </row>
    <row r="292" spans="1:28" x14ac:dyDescent="0.25">
      <c r="A292" t="s">
        <v>296</v>
      </c>
      <c r="B292">
        <v>0.98876768158843997</v>
      </c>
      <c r="C292">
        <v>1.0315870673668901</v>
      </c>
      <c r="D292">
        <v>0.91747894090904303</v>
      </c>
      <c r="E292">
        <v>0.79317538007400401</v>
      </c>
      <c r="F292">
        <v>0.16209822130552501</v>
      </c>
      <c r="G292">
        <v>9.7070744881102095E-2</v>
      </c>
      <c r="H292">
        <v>5.1351731649409101E-2</v>
      </c>
      <c r="I292">
        <v>4.2186228938980497E-2</v>
      </c>
      <c r="J292">
        <v>4.6979465498023697E-2</v>
      </c>
      <c r="K292">
        <v>3.4499343023398098E-2</v>
      </c>
      <c r="L292">
        <v>2867.1721215880998</v>
      </c>
      <c r="M292">
        <v>56.087739998982002</v>
      </c>
      <c r="N292">
        <v>51.221838944024498</v>
      </c>
      <c r="O292">
        <v>51.0545446133208</v>
      </c>
      <c r="P292">
        <v>-0.260076479875892</v>
      </c>
      <c r="Q292">
        <v>5.3049403305502299E-2</v>
      </c>
      <c r="R292">
        <v>0.99458565621820505</v>
      </c>
      <c r="S292" t="s">
        <v>4124</v>
      </c>
      <c r="T292" t="s">
        <v>7662</v>
      </c>
      <c r="U292" t="s">
        <v>7662</v>
      </c>
      <c r="V292" t="s">
        <v>7662</v>
      </c>
      <c r="W292">
        <v>6</v>
      </c>
      <c r="X292" t="s">
        <v>7954</v>
      </c>
      <c r="Y292">
        <v>0.40572870826796381</v>
      </c>
      <c r="Z292" t="str">
        <f>HYPERLINK("Melting_Curves/meltCurve_sp_O94826_TOM70_HUMAN_.pdf", "Melting_Curves/meltCurve_sp_O94826_TOM70_HUMAN_.pdf")</f>
        <v>Melting_Curves/meltCurve_sp_O94826_TOM70_HUMAN_.pdf</v>
      </c>
      <c r="AA292" t="s">
        <v>11782</v>
      </c>
      <c r="AB292" t="s">
        <v>15533</v>
      </c>
    </row>
    <row r="293" spans="1:28" x14ac:dyDescent="0.25">
      <c r="A293" t="s">
        <v>297</v>
      </c>
      <c r="B293">
        <v>0.98876768158843997</v>
      </c>
      <c r="C293">
        <v>0.79589968377097098</v>
      </c>
      <c r="D293">
        <v>0.834538906193521</v>
      </c>
      <c r="E293">
        <v>0.47898211078231101</v>
      </c>
      <c r="F293">
        <v>0.31141682888215499</v>
      </c>
      <c r="G293">
        <v>0.14972741155019401</v>
      </c>
      <c r="H293">
        <v>8.6931237999046104E-2</v>
      </c>
      <c r="I293">
        <v>8.1701451204412606E-2</v>
      </c>
      <c r="J293">
        <v>9.2403568934664101E-2</v>
      </c>
      <c r="K293">
        <v>7.0576850832880206E-2</v>
      </c>
      <c r="L293">
        <v>720.05427543808196</v>
      </c>
      <c r="M293">
        <v>14.5577807840003</v>
      </c>
      <c r="N293">
        <v>49.812837128231997</v>
      </c>
      <c r="O293">
        <v>48.556602618253898</v>
      </c>
      <c r="P293">
        <v>-7.13068173552934E-2</v>
      </c>
      <c r="Q293">
        <v>4.8749616022386699E-2</v>
      </c>
      <c r="R293">
        <v>0.98333166682097295</v>
      </c>
      <c r="S293" t="s">
        <v>4125</v>
      </c>
      <c r="T293" t="s">
        <v>7662</v>
      </c>
      <c r="U293" t="s">
        <v>7662</v>
      </c>
      <c r="V293" t="s">
        <v>7662</v>
      </c>
      <c r="W293">
        <v>2</v>
      </c>
      <c r="X293" t="s">
        <v>7955</v>
      </c>
      <c r="Y293">
        <v>0.37315322269584261</v>
      </c>
      <c r="Z293" t="str">
        <f>HYPERLINK("Melting_Curves/meltCurve_sp_O94829_IPO13_HUMAN_.pdf", "Melting_Curves/meltCurve_sp_O94829_IPO13_HUMAN_.pdf")</f>
        <v>Melting_Curves/meltCurve_sp_O94829_IPO13_HUMAN_.pdf</v>
      </c>
      <c r="AA293" t="s">
        <v>11783</v>
      </c>
      <c r="AB293" t="s">
        <v>15534</v>
      </c>
    </row>
    <row r="294" spans="1:28" x14ac:dyDescent="0.25">
      <c r="A294" t="s">
        <v>298</v>
      </c>
      <c r="B294">
        <v>0.98876768158843997</v>
      </c>
      <c r="C294">
        <v>0.84366126287427801</v>
      </c>
      <c r="D294">
        <v>0.83204675744103496</v>
      </c>
      <c r="E294">
        <v>0.60955639541860496</v>
      </c>
      <c r="F294">
        <v>0.15384868374027999</v>
      </c>
      <c r="G294">
        <v>8.0806289500569506E-2</v>
      </c>
      <c r="H294">
        <v>4.6892684097928003E-2</v>
      </c>
      <c r="I294">
        <v>1.9616262426355901E-2</v>
      </c>
      <c r="J294">
        <v>2.4069020152373902E-2</v>
      </c>
      <c r="K294">
        <v>2.47670381132628E-2</v>
      </c>
      <c r="L294">
        <v>1028.17838970604</v>
      </c>
      <c r="M294">
        <v>20.538795119519701</v>
      </c>
      <c r="N294">
        <v>50.105133299653403</v>
      </c>
      <c r="O294">
        <v>49.593014590136299</v>
      </c>
      <c r="P294">
        <v>-0.102597235162688</v>
      </c>
      <c r="Q294">
        <v>9.1035560706646708E-3</v>
      </c>
      <c r="R294">
        <v>0.97565001322829104</v>
      </c>
      <c r="S294" t="s">
        <v>4126</v>
      </c>
      <c r="T294" t="s">
        <v>7662</v>
      </c>
      <c r="U294" t="s">
        <v>7662</v>
      </c>
      <c r="V294" t="s">
        <v>7662</v>
      </c>
      <c r="W294">
        <v>1</v>
      </c>
      <c r="X294" t="s">
        <v>7956</v>
      </c>
      <c r="Y294">
        <v>0.35448859736315808</v>
      </c>
      <c r="Z294" t="str">
        <f>HYPERLINK("Melting_Curves/meltCurve_sp_O94851_5_MICA2_HUMAN_.pdf", "Melting_Curves/meltCurve_sp_O94851_5_MICA2_HUMAN_.pdf")</f>
        <v>Melting_Curves/meltCurve_sp_O94851_5_MICA2_HUMAN_.pdf</v>
      </c>
      <c r="AA294" t="s">
        <v>11784</v>
      </c>
      <c r="AB294" t="s">
        <v>15535</v>
      </c>
    </row>
    <row r="295" spans="1:28" x14ac:dyDescent="0.25">
      <c r="A295" t="s">
        <v>299</v>
      </c>
      <c r="B295">
        <v>0.98876768158843997</v>
      </c>
      <c r="C295">
        <v>0.85020996182402597</v>
      </c>
      <c r="D295">
        <v>0.95365021064087996</v>
      </c>
      <c r="E295">
        <v>0.71527603506336801</v>
      </c>
      <c r="F295">
        <v>0.17228242063481899</v>
      </c>
      <c r="G295">
        <v>7.7538122032094495E-2</v>
      </c>
      <c r="H295">
        <v>3.91920948638175E-2</v>
      </c>
      <c r="I295">
        <v>3.6964555328101202E-2</v>
      </c>
      <c r="J295">
        <v>4.3064064319412003E-2</v>
      </c>
      <c r="K295">
        <v>3.6329235300050298E-2</v>
      </c>
      <c r="L295">
        <v>2319.9382237540799</v>
      </c>
      <c r="M295">
        <v>45.566719976163498</v>
      </c>
      <c r="N295">
        <v>51.015851370833602</v>
      </c>
      <c r="O295">
        <v>50.815226807137698</v>
      </c>
      <c r="P295">
        <v>-0.21434013905915</v>
      </c>
      <c r="Q295">
        <v>4.3887349641095599E-2</v>
      </c>
      <c r="R295">
        <v>0.98471355993129395</v>
      </c>
      <c r="S295" t="s">
        <v>4127</v>
      </c>
      <c r="T295" t="s">
        <v>7662</v>
      </c>
      <c r="U295" t="s">
        <v>7662</v>
      </c>
      <c r="V295" t="s">
        <v>7662</v>
      </c>
      <c r="W295">
        <v>19</v>
      </c>
      <c r="X295" t="s">
        <v>7957</v>
      </c>
      <c r="Y295">
        <v>0.39427728273489809</v>
      </c>
      <c r="Z295" t="str">
        <f>HYPERLINK("Melting_Curves/meltCurve_sp_O94855_SC24D_HUMAN_.pdf", "Melting_Curves/meltCurve_sp_O94855_SC24D_HUMAN_.pdf")</f>
        <v>Melting_Curves/meltCurve_sp_O94855_SC24D_HUMAN_.pdf</v>
      </c>
      <c r="AA295" t="s">
        <v>11785</v>
      </c>
      <c r="AB295" t="s">
        <v>15536</v>
      </c>
    </row>
    <row r="296" spans="1:28" x14ac:dyDescent="0.25">
      <c r="A296" t="s">
        <v>300</v>
      </c>
      <c r="B296">
        <v>0.98876768158843997</v>
      </c>
      <c r="C296">
        <v>0.89554939364288699</v>
      </c>
      <c r="D296">
        <v>0.83762487065953495</v>
      </c>
      <c r="E296">
        <v>0.51452479516247396</v>
      </c>
      <c r="F296">
        <v>0.205801378678098</v>
      </c>
      <c r="G296">
        <v>0.115129992337017</v>
      </c>
      <c r="H296">
        <v>7.60274317910202E-2</v>
      </c>
      <c r="I296">
        <v>7.36723815349212E-2</v>
      </c>
      <c r="J296">
        <v>8.8302712220889701E-2</v>
      </c>
      <c r="K296">
        <v>8.07594539907424E-2</v>
      </c>
      <c r="L296">
        <v>1033.82191208627</v>
      </c>
      <c r="M296">
        <v>20.924970594831901</v>
      </c>
      <c r="N296">
        <v>49.747236740210099</v>
      </c>
      <c r="O296">
        <v>48.9615379028061</v>
      </c>
      <c r="P296">
        <v>-9.9706330859038295E-2</v>
      </c>
      <c r="Q296">
        <v>6.6829237490225901E-2</v>
      </c>
      <c r="R296">
        <v>0.993660466658566</v>
      </c>
      <c r="S296" t="s">
        <v>4128</v>
      </c>
      <c r="T296" t="s">
        <v>7662</v>
      </c>
      <c r="U296" t="s">
        <v>7662</v>
      </c>
      <c r="V296" t="s">
        <v>7662</v>
      </c>
      <c r="W296">
        <v>14</v>
      </c>
      <c r="X296" t="s">
        <v>7958</v>
      </c>
      <c r="Y296">
        <v>0.37131386953822493</v>
      </c>
      <c r="Z296" t="str">
        <f>HYPERLINK("Melting_Curves/meltCurve_sp_O94874_UFL1_HUMAN_.pdf", "Melting_Curves/meltCurve_sp_O94874_UFL1_HUMAN_.pdf")</f>
        <v>Melting_Curves/meltCurve_sp_O94874_UFL1_HUMAN_.pdf</v>
      </c>
      <c r="AA296" t="s">
        <v>11786</v>
      </c>
      <c r="AB296" t="s">
        <v>15537</v>
      </c>
    </row>
    <row r="297" spans="1:28" x14ac:dyDescent="0.25">
      <c r="A297" t="s">
        <v>301</v>
      </c>
      <c r="B297">
        <v>0.98876768158843997</v>
      </c>
      <c r="C297">
        <v>1.05848855304158</v>
      </c>
      <c r="D297">
        <v>0.83297052500758795</v>
      </c>
      <c r="E297">
        <v>0.64440155327771798</v>
      </c>
      <c r="F297">
        <v>0.76773513242164604</v>
      </c>
      <c r="G297">
        <v>0.54764363787416304</v>
      </c>
      <c r="H297">
        <v>0.42329329703692697</v>
      </c>
      <c r="I297">
        <v>0.49260412915100998</v>
      </c>
      <c r="J297">
        <v>0.58124840124472199</v>
      </c>
      <c r="K297">
        <v>0.66650023356940102</v>
      </c>
      <c r="L297">
        <v>911.60633092179</v>
      </c>
      <c r="M297">
        <v>18.8570206952501</v>
      </c>
      <c r="O297">
        <v>47.809242762769998</v>
      </c>
      <c r="P297">
        <v>-4.4338621046954803E-2</v>
      </c>
      <c r="Q297">
        <v>0.55036188221096005</v>
      </c>
      <c r="R297">
        <v>0.81485704730112596</v>
      </c>
      <c r="S297" t="s">
        <v>4129</v>
      </c>
      <c r="T297" t="s">
        <v>7662</v>
      </c>
      <c r="U297" t="s">
        <v>7662</v>
      </c>
      <c r="V297" t="s">
        <v>7662</v>
      </c>
      <c r="W297">
        <v>24</v>
      </c>
      <c r="X297" t="s">
        <v>7959</v>
      </c>
      <c r="Y297">
        <v>0.68258520949503454</v>
      </c>
      <c r="Z297" t="str">
        <f>HYPERLINK("Melting_Curves/meltCurve_sp_O94875_12_SRBS2_HUMAN_.pdf", "Melting_Curves/meltCurve_sp_O94875_12_SRBS2_HUMAN_.pdf")</f>
        <v>Melting_Curves/meltCurve_sp_O94875_12_SRBS2_HUMAN_.pdf</v>
      </c>
      <c r="AA297" t="s">
        <v>11787</v>
      </c>
      <c r="AB297" t="s">
        <v>15538</v>
      </c>
    </row>
    <row r="298" spans="1:28" x14ac:dyDescent="0.25">
      <c r="A298" t="s">
        <v>302</v>
      </c>
      <c r="B298">
        <v>0.98876768158843997</v>
      </c>
      <c r="C298">
        <v>0.99463850535106901</v>
      </c>
      <c r="D298">
        <v>0.84804630293247096</v>
      </c>
      <c r="E298">
        <v>0.48575107087905001</v>
      </c>
      <c r="F298">
        <v>0.23072061088855</v>
      </c>
      <c r="G298">
        <v>0.11482593410119001</v>
      </c>
      <c r="H298">
        <v>5.7154687178508197E-2</v>
      </c>
      <c r="I298">
        <v>7.2022895869700496E-2</v>
      </c>
      <c r="J298">
        <v>8.1093779935741406E-2</v>
      </c>
      <c r="K298">
        <v>6.2033667589185597E-2</v>
      </c>
      <c r="L298">
        <v>1126.57081586905</v>
      </c>
      <c r="M298">
        <v>22.754592526621298</v>
      </c>
      <c r="N298">
        <v>49.808641961171901</v>
      </c>
      <c r="O298">
        <v>49.131994116174397</v>
      </c>
      <c r="P298">
        <v>-0.108392834184141</v>
      </c>
      <c r="Q298">
        <v>6.3846172410891702E-2</v>
      </c>
      <c r="R298">
        <v>0.99906201340893896</v>
      </c>
      <c r="S298" t="s">
        <v>4130</v>
      </c>
      <c r="T298" t="s">
        <v>7662</v>
      </c>
      <c r="U298" t="s">
        <v>7662</v>
      </c>
      <c r="V298" t="s">
        <v>7662</v>
      </c>
      <c r="W298">
        <v>3</v>
      </c>
      <c r="X298" t="s">
        <v>7960</v>
      </c>
      <c r="Y298">
        <v>0.37067516297885572</v>
      </c>
      <c r="Z298" t="str">
        <f>HYPERLINK("Melting_Curves/meltCurve_sp_O94887_FARP2_HUMAN_.pdf", "Melting_Curves/meltCurve_sp_O94887_FARP2_HUMAN_.pdf")</f>
        <v>Melting_Curves/meltCurve_sp_O94887_FARP2_HUMAN_.pdf</v>
      </c>
      <c r="AA298" t="s">
        <v>11788</v>
      </c>
      <c r="AB298" t="s">
        <v>15539</v>
      </c>
    </row>
    <row r="299" spans="1:28" x14ac:dyDescent="0.25">
      <c r="A299" t="s">
        <v>303</v>
      </c>
      <c r="B299">
        <v>0.98876768158843997</v>
      </c>
      <c r="C299">
        <v>0.99753003713754995</v>
      </c>
      <c r="D299">
        <v>0.94798787142636698</v>
      </c>
      <c r="E299">
        <v>0.69860758187408001</v>
      </c>
      <c r="F299">
        <v>0.71482279030109996</v>
      </c>
      <c r="G299">
        <v>0.41848327499882798</v>
      </c>
      <c r="H299">
        <v>0.27439659786411302</v>
      </c>
      <c r="I299">
        <v>0.208555000251744</v>
      </c>
      <c r="J299">
        <v>0.220283768320506</v>
      </c>
      <c r="K299">
        <v>0.167560688273518</v>
      </c>
      <c r="L299">
        <v>709.75637123825402</v>
      </c>
      <c r="M299">
        <v>13.060449427705001</v>
      </c>
      <c r="N299">
        <v>55.540500448192198</v>
      </c>
      <c r="O299">
        <v>53.117246411326299</v>
      </c>
      <c r="P299">
        <v>-5.3941362902576298E-2</v>
      </c>
      <c r="Q299">
        <v>0.122627562980048</v>
      </c>
      <c r="R299">
        <v>0.98373701488050402</v>
      </c>
      <c r="S299" t="s">
        <v>4131</v>
      </c>
      <c r="T299" t="s">
        <v>7662</v>
      </c>
      <c r="U299" t="s">
        <v>7662</v>
      </c>
      <c r="V299" t="s">
        <v>7662</v>
      </c>
      <c r="W299">
        <v>4</v>
      </c>
      <c r="X299" t="s">
        <v>7961</v>
      </c>
      <c r="Y299">
        <v>0.56262675897888526</v>
      </c>
      <c r="Z299" t="str">
        <f>HYPERLINK("Melting_Curves/meltCurve_sp_O94888_UBXN7_HUMAN_.pdf", "Melting_Curves/meltCurve_sp_O94888_UBXN7_HUMAN_.pdf")</f>
        <v>Melting_Curves/meltCurve_sp_O94888_UBXN7_HUMAN_.pdf</v>
      </c>
      <c r="AA299" t="s">
        <v>11789</v>
      </c>
      <c r="AB299" t="s">
        <v>15540</v>
      </c>
    </row>
    <row r="300" spans="1:28" x14ac:dyDescent="0.25">
      <c r="A300" t="s">
        <v>304</v>
      </c>
      <c r="B300">
        <v>0.98876768158843997</v>
      </c>
      <c r="C300">
        <v>1.0089031364996399</v>
      </c>
      <c r="D300">
        <v>0.85709762234852105</v>
      </c>
      <c r="E300">
        <v>0.77987432343131102</v>
      </c>
      <c r="F300">
        <v>0.48168775752563803</v>
      </c>
      <c r="G300">
        <v>0.15888278272120299</v>
      </c>
      <c r="H300">
        <v>8.9002888761458607E-2</v>
      </c>
      <c r="I300">
        <v>7.67384828561785E-2</v>
      </c>
      <c r="J300">
        <v>8.4629128574658097E-2</v>
      </c>
      <c r="K300">
        <v>7.5268851631021996E-2</v>
      </c>
      <c r="L300">
        <v>1145.95021649965</v>
      </c>
      <c r="M300">
        <v>21.889323969614001</v>
      </c>
      <c r="N300">
        <v>52.655768467770002</v>
      </c>
      <c r="O300">
        <v>51.920945157346402</v>
      </c>
      <c r="P300">
        <v>-9.9148229516273306E-2</v>
      </c>
      <c r="Q300">
        <v>5.9312513602048103E-2</v>
      </c>
      <c r="R300">
        <v>0.99134877565022295</v>
      </c>
      <c r="S300" t="s">
        <v>4132</v>
      </c>
      <c r="T300" t="s">
        <v>7662</v>
      </c>
      <c r="U300" t="s">
        <v>7662</v>
      </c>
      <c r="V300" t="s">
        <v>7662</v>
      </c>
      <c r="W300">
        <v>12</v>
      </c>
      <c r="X300" t="s">
        <v>7962</v>
      </c>
      <c r="Y300">
        <v>0.45767463151530569</v>
      </c>
      <c r="Z300" t="str">
        <f>HYPERLINK("Melting_Curves/meltCurve_sp_O94903_PROSC_HUMAN_.pdf", "Melting_Curves/meltCurve_sp_O94903_PROSC_HUMAN_.pdf")</f>
        <v>Melting_Curves/meltCurve_sp_O94903_PROSC_HUMAN_.pdf</v>
      </c>
      <c r="AA300" t="s">
        <v>11790</v>
      </c>
      <c r="AB300" t="s">
        <v>15541</v>
      </c>
    </row>
    <row r="301" spans="1:28" x14ac:dyDescent="0.25">
      <c r="A301" t="s">
        <v>305</v>
      </c>
      <c r="B301">
        <v>0.98876768158843997</v>
      </c>
      <c r="C301">
        <v>0.96583345304409396</v>
      </c>
      <c r="D301">
        <v>0.880697189349817</v>
      </c>
      <c r="E301">
        <v>0.63233590470309098</v>
      </c>
      <c r="F301">
        <v>0.50719549713914802</v>
      </c>
      <c r="G301">
        <v>0.38471303032751503</v>
      </c>
      <c r="H301">
        <v>0.223082112083929</v>
      </c>
      <c r="I301">
        <v>0.166452990310408</v>
      </c>
      <c r="J301">
        <v>0.181612230216571</v>
      </c>
      <c r="K301">
        <v>0.16223561818516499</v>
      </c>
      <c r="L301">
        <v>669.99596751091201</v>
      </c>
      <c r="M301">
        <v>12.893949317467399</v>
      </c>
      <c r="N301">
        <v>53.153847820537401</v>
      </c>
      <c r="O301">
        <v>50.759783897180299</v>
      </c>
      <c r="P301">
        <v>-5.5542938197698503E-2</v>
      </c>
      <c r="Q301">
        <v>0.12553296083292401</v>
      </c>
      <c r="R301">
        <v>0.99437793985009904</v>
      </c>
      <c r="S301" t="s">
        <v>4133</v>
      </c>
      <c r="T301" t="s">
        <v>7662</v>
      </c>
      <c r="U301" t="s">
        <v>7662</v>
      </c>
      <c r="V301" t="s">
        <v>7662</v>
      </c>
      <c r="W301">
        <v>2</v>
      </c>
      <c r="X301" t="s">
        <v>7963</v>
      </c>
      <c r="Y301">
        <v>0.49859880097757259</v>
      </c>
      <c r="Z301" t="str">
        <f>HYPERLINK("Melting_Curves/meltCurve_sp_O94929_2_ABLM3_HUMAN_.pdf", "Melting_Curves/meltCurve_sp_O94929_2_ABLM3_HUMAN_.pdf")</f>
        <v>Melting_Curves/meltCurve_sp_O94929_2_ABLM3_HUMAN_.pdf</v>
      </c>
      <c r="AA301" t="s">
        <v>11791</v>
      </c>
      <c r="AB301" t="s">
        <v>15542</v>
      </c>
    </row>
    <row r="302" spans="1:28" x14ac:dyDescent="0.25">
      <c r="A302" t="s">
        <v>306</v>
      </c>
      <c r="B302">
        <v>0.98876768158843997</v>
      </c>
      <c r="C302">
        <v>1.07172472955122</v>
      </c>
      <c r="D302">
        <v>1.03753301239886</v>
      </c>
      <c r="E302">
        <v>0.68421983747650605</v>
      </c>
      <c r="F302">
        <v>0.31478878961166501</v>
      </c>
      <c r="G302">
        <v>0.15333045703312401</v>
      </c>
      <c r="H302">
        <v>0.12511171758020101</v>
      </c>
      <c r="I302">
        <v>5.1120931976272002E-2</v>
      </c>
      <c r="J302">
        <v>8.2741679489581998E-2</v>
      </c>
      <c r="K302">
        <v>5.7670873993335599E-2</v>
      </c>
      <c r="L302">
        <v>1604.49992516099</v>
      </c>
      <c r="M302">
        <v>31.369752293460401</v>
      </c>
      <c r="N302">
        <v>51.451798236627603</v>
      </c>
      <c r="O302">
        <v>50.941487758123898</v>
      </c>
      <c r="P302">
        <v>-0.14093545028433399</v>
      </c>
      <c r="Q302">
        <v>8.4542061069900198E-2</v>
      </c>
      <c r="R302">
        <v>0.99178063830799801</v>
      </c>
      <c r="S302" t="s">
        <v>4134</v>
      </c>
      <c r="T302" t="s">
        <v>7662</v>
      </c>
      <c r="U302" t="s">
        <v>7662</v>
      </c>
      <c r="V302" t="s">
        <v>7662</v>
      </c>
      <c r="W302">
        <v>4</v>
      </c>
      <c r="X302" t="s">
        <v>7964</v>
      </c>
      <c r="Y302">
        <v>0.43000242987464732</v>
      </c>
      <c r="Z302" t="str">
        <f>HYPERLINK("Melting_Curves/meltCurve_sp_O94966_7_UBP19_HUMAN_.pdf", "Melting_Curves/meltCurve_sp_O94966_7_UBP19_HUMAN_.pdf")</f>
        <v>Melting_Curves/meltCurve_sp_O94966_7_UBP19_HUMAN_.pdf</v>
      </c>
      <c r="AA302" t="s">
        <v>11792</v>
      </c>
      <c r="AB302" t="s">
        <v>15543</v>
      </c>
    </row>
    <row r="303" spans="1:28" x14ac:dyDescent="0.25">
      <c r="A303" t="s">
        <v>307</v>
      </c>
      <c r="B303">
        <v>0.98876768158843997</v>
      </c>
      <c r="C303">
        <v>0.91952267936300003</v>
      </c>
      <c r="D303">
        <v>0.95845491845488495</v>
      </c>
      <c r="E303">
        <v>0.55310063387601804</v>
      </c>
      <c r="F303">
        <v>0.24350011711483199</v>
      </c>
      <c r="G303">
        <v>0.14833641637720499</v>
      </c>
      <c r="H303">
        <v>0</v>
      </c>
      <c r="I303">
        <v>7.5296886391179305E-2</v>
      </c>
      <c r="J303">
        <v>6.5085535964958405E-2</v>
      </c>
      <c r="K303">
        <v>7.9327129884022102E-2</v>
      </c>
      <c r="L303">
        <v>1341.74461045065</v>
      </c>
      <c r="M303">
        <v>26.705491431808699</v>
      </c>
      <c r="N303">
        <v>50.491922141356397</v>
      </c>
      <c r="O303">
        <v>49.963090793977798</v>
      </c>
      <c r="P303">
        <v>-0.12536298940551499</v>
      </c>
      <c r="Q303">
        <v>6.1847290489807499E-2</v>
      </c>
      <c r="R303">
        <v>0.99082817999069495</v>
      </c>
      <c r="S303" t="s">
        <v>4135</v>
      </c>
      <c r="T303" t="s">
        <v>7662</v>
      </c>
      <c r="U303" t="s">
        <v>7662</v>
      </c>
      <c r="V303" t="s">
        <v>7662</v>
      </c>
      <c r="W303">
        <v>26</v>
      </c>
      <c r="X303" t="s">
        <v>7965</v>
      </c>
      <c r="Y303">
        <v>0.38950532249600861</v>
      </c>
      <c r="Z303" t="str">
        <f>HYPERLINK("Melting_Curves/meltCurve_sp_O94973_2_AP2A2_HUMAN_.pdf", "Melting_Curves/meltCurve_sp_O94973_2_AP2A2_HUMAN_.pdf")</f>
        <v>Melting_Curves/meltCurve_sp_O94973_2_AP2A2_HUMAN_.pdf</v>
      </c>
      <c r="AA303" t="s">
        <v>11793</v>
      </c>
      <c r="AB303" t="s">
        <v>15544</v>
      </c>
    </row>
    <row r="304" spans="1:28" x14ac:dyDescent="0.25">
      <c r="A304" t="s">
        <v>308</v>
      </c>
      <c r="B304">
        <v>0.98876768158843997</v>
      </c>
      <c r="C304">
        <v>0.88829716558142202</v>
      </c>
      <c r="D304">
        <v>0.99924561882087304</v>
      </c>
      <c r="E304">
        <v>0.71759507237969999</v>
      </c>
      <c r="F304">
        <v>0.28910805911196502</v>
      </c>
      <c r="G304">
        <v>0.140145461526271</v>
      </c>
      <c r="H304">
        <v>8.2182366974347901E-2</v>
      </c>
      <c r="I304">
        <v>5.9052418247870199E-2</v>
      </c>
      <c r="J304">
        <v>6.3075219581248204E-2</v>
      </c>
      <c r="K304">
        <v>4.9372463852061697E-2</v>
      </c>
      <c r="L304">
        <v>1673.0409033158601</v>
      </c>
      <c r="M304">
        <v>32.654322941092197</v>
      </c>
      <c r="N304">
        <v>51.4679239733454</v>
      </c>
      <c r="O304">
        <v>51.043895222989498</v>
      </c>
      <c r="P304">
        <v>-0.14894302507531701</v>
      </c>
      <c r="Q304">
        <v>6.8717879503944507E-2</v>
      </c>
      <c r="R304">
        <v>0.99044367106403197</v>
      </c>
      <c r="S304" t="s">
        <v>4136</v>
      </c>
      <c r="T304" t="s">
        <v>7662</v>
      </c>
      <c r="U304" t="s">
        <v>7662</v>
      </c>
      <c r="V304" t="s">
        <v>7662</v>
      </c>
      <c r="W304">
        <v>26</v>
      </c>
      <c r="X304" t="s">
        <v>7966</v>
      </c>
      <c r="Y304">
        <v>0.42243971283736742</v>
      </c>
      <c r="Z304" t="str">
        <f>HYPERLINK("Melting_Curves/meltCurve_sp_O94973_AP2A2_HUMAN_.pdf", "Melting_Curves/meltCurve_sp_O94973_AP2A2_HUMAN_.pdf")</f>
        <v>Melting_Curves/meltCurve_sp_O94973_AP2A2_HUMAN_.pdf</v>
      </c>
      <c r="AA304" t="s">
        <v>11793</v>
      </c>
      <c r="AB304" t="s">
        <v>15545</v>
      </c>
    </row>
    <row r="305" spans="1:28" x14ac:dyDescent="0.25">
      <c r="A305" t="s">
        <v>309</v>
      </c>
      <c r="B305">
        <v>0.98876768158843997</v>
      </c>
      <c r="C305">
        <v>1.05065590124877</v>
      </c>
      <c r="D305">
        <v>1.0138980922638401</v>
      </c>
      <c r="E305">
        <v>0.81620017619858298</v>
      </c>
      <c r="F305">
        <v>0.61885526031321403</v>
      </c>
      <c r="G305">
        <v>0.22916295011160101</v>
      </c>
      <c r="H305">
        <v>0.122881063358559</v>
      </c>
      <c r="I305">
        <v>0.10286954372783</v>
      </c>
      <c r="J305">
        <v>0.11730647852432</v>
      </c>
      <c r="K305">
        <v>0.12233482426688699</v>
      </c>
      <c r="L305">
        <v>1354.79379962351</v>
      </c>
      <c r="M305">
        <v>25.405176646150299</v>
      </c>
      <c r="N305">
        <v>53.805852590382301</v>
      </c>
      <c r="O305">
        <v>53.000327701138303</v>
      </c>
      <c r="P305">
        <v>-0.107722211318264</v>
      </c>
      <c r="Q305">
        <v>0.101089877039843</v>
      </c>
      <c r="R305">
        <v>0.99500117611087602</v>
      </c>
      <c r="S305" t="s">
        <v>4137</v>
      </c>
      <c r="T305" t="s">
        <v>7662</v>
      </c>
      <c r="U305" t="s">
        <v>7662</v>
      </c>
      <c r="V305" t="s">
        <v>7662</v>
      </c>
      <c r="W305">
        <v>28</v>
      </c>
      <c r="X305" t="s">
        <v>7967</v>
      </c>
      <c r="Y305">
        <v>0.50847872202561817</v>
      </c>
      <c r="Z305" t="str">
        <f>HYPERLINK("Melting_Curves/meltCurve_sp_O94979_3_SC31A_HUMAN_.pdf", "Melting_Curves/meltCurve_sp_O94979_3_SC31A_HUMAN_.pdf")</f>
        <v>Melting_Curves/meltCurve_sp_O94979_3_SC31A_HUMAN_.pdf</v>
      </c>
      <c r="AA305" t="s">
        <v>11794</v>
      </c>
      <c r="AB305" t="s">
        <v>15546</v>
      </c>
    </row>
    <row r="306" spans="1:28" x14ac:dyDescent="0.25">
      <c r="A306" t="s">
        <v>310</v>
      </c>
      <c r="B306">
        <v>0.98876768158843997</v>
      </c>
      <c r="C306">
        <v>1.00855769486288</v>
      </c>
      <c r="D306">
        <v>1.01999534193562</v>
      </c>
      <c r="E306">
        <v>0.82803015979849104</v>
      </c>
      <c r="F306">
        <v>0.64199331551765404</v>
      </c>
      <c r="G306">
        <v>0.476033502835011</v>
      </c>
      <c r="H306">
        <v>0.43063118840713999</v>
      </c>
      <c r="I306">
        <v>0.51631280862013196</v>
      </c>
      <c r="J306">
        <v>0.60393967894248102</v>
      </c>
      <c r="K306">
        <v>0.74110452979703301</v>
      </c>
      <c r="L306">
        <v>2089.7940669736299</v>
      </c>
      <c r="M306">
        <v>41.244111296845297</v>
      </c>
      <c r="O306">
        <v>50.550226894012098</v>
      </c>
      <c r="P306">
        <v>-9.0521198740452904E-2</v>
      </c>
      <c r="Q306">
        <v>0.55621700987228795</v>
      </c>
      <c r="R306">
        <v>0.86423990410107898</v>
      </c>
      <c r="S306" t="s">
        <v>4138</v>
      </c>
      <c r="T306" t="s">
        <v>7662</v>
      </c>
      <c r="U306" t="s">
        <v>7662</v>
      </c>
      <c r="V306" t="s">
        <v>7662</v>
      </c>
      <c r="W306">
        <v>7</v>
      </c>
      <c r="X306" t="s">
        <v>7968</v>
      </c>
      <c r="Y306">
        <v>0.71550101813798173</v>
      </c>
      <c r="Z306" t="str">
        <f>HYPERLINK("Melting_Curves/meltCurve_sp_O94992_HEXI1_HUMAN_.pdf", "Melting_Curves/meltCurve_sp_O94992_HEXI1_HUMAN_.pdf")</f>
        <v>Melting_Curves/meltCurve_sp_O94992_HEXI1_HUMAN_.pdf</v>
      </c>
      <c r="AA306" t="s">
        <v>11795</v>
      </c>
      <c r="AB306" t="s">
        <v>15547</v>
      </c>
    </row>
    <row r="307" spans="1:28" x14ac:dyDescent="0.25">
      <c r="A307" t="s">
        <v>311</v>
      </c>
      <c r="B307">
        <v>0.98876768158843997</v>
      </c>
      <c r="C307">
        <v>1.09138155169199</v>
      </c>
      <c r="D307">
        <v>0.81947787700029795</v>
      </c>
      <c r="E307">
        <v>0.56293511346890701</v>
      </c>
      <c r="F307">
        <v>0.398828824650933</v>
      </c>
      <c r="G307">
        <v>0.16529008663699801</v>
      </c>
      <c r="H307">
        <v>0.103445467284338</v>
      </c>
      <c r="I307">
        <v>0.10679922258216</v>
      </c>
      <c r="J307">
        <v>0.116566289368356</v>
      </c>
      <c r="K307">
        <v>0.13635214731350701</v>
      </c>
      <c r="L307">
        <v>959.92066728030602</v>
      </c>
      <c r="M307">
        <v>19.0692979636781</v>
      </c>
      <c r="N307">
        <v>50.947906770985199</v>
      </c>
      <c r="O307">
        <v>49.7947631230182</v>
      </c>
      <c r="P307">
        <v>-8.5980399566146004E-2</v>
      </c>
      <c r="Q307">
        <v>0.10196895306946201</v>
      </c>
      <c r="R307">
        <v>0.98330966356244198</v>
      </c>
      <c r="S307" t="s">
        <v>4139</v>
      </c>
      <c r="T307" t="s">
        <v>7662</v>
      </c>
      <c r="U307" t="s">
        <v>7662</v>
      </c>
      <c r="V307" t="s">
        <v>7662</v>
      </c>
      <c r="W307">
        <v>7</v>
      </c>
      <c r="X307" t="s">
        <v>7969</v>
      </c>
      <c r="Y307">
        <v>0.42512548741239758</v>
      </c>
      <c r="Z307" t="str">
        <f>HYPERLINK("Melting_Curves/meltCurve_sp_O95081_AGFG2_HUMAN_.pdf", "Melting_Curves/meltCurve_sp_O95081_AGFG2_HUMAN_.pdf")</f>
        <v>Melting_Curves/meltCurve_sp_O95081_AGFG2_HUMAN_.pdf</v>
      </c>
      <c r="AA307" t="s">
        <v>11796</v>
      </c>
      <c r="AB307" t="s">
        <v>15548</v>
      </c>
    </row>
    <row r="308" spans="1:28" x14ac:dyDescent="0.25">
      <c r="A308" t="s">
        <v>312</v>
      </c>
      <c r="B308">
        <v>0.98876768158843997</v>
      </c>
      <c r="C308">
        <v>0.99053876151456799</v>
      </c>
      <c r="D308">
        <v>0.822290243767271</v>
      </c>
      <c r="E308">
        <v>0.68882337406626803</v>
      </c>
      <c r="F308">
        <v>0.7810683790038</v>
      </c>
      <c r="G308">
        <v>0.66490829242995397</v>
      </c>
      <c r="H308">
        <v>0.58379166405260996</v>
      </c>
      <c r="I308">
        <v>0.54843344174250097</v>
      </c>
      <c r="J308">
        <v>0.87438030331156402</v>
      </c>
      <c r="K308">
        <v>0.926452012827088</v>
      </c>
      <c r="L308">
        <v>3249.1662062942301</v>
      </c>
      <c r="M308">
        <v>71.235236393838406</v>
      </c>
      <c r="O308">
        <v>45.575875495820299</v>
      </c>
      <c r="P308">
        <v>-0.107864426884972</v>
      </c>
      <c r="Q308">
        <v>0.72395600336350296</v>
      </c>
      <c r="R308">
        <v>0.47579458529223001</v>
      </c>
      <c r="S308" t="s">
        <v>4140</v>
      </c>
      <c r="T308" t="s">
        <v>7662</v>
      </c>
      <c r="U308" t="s">
        <v>7662</v>
      </c>
      <c r="V308" t="s">
        <v>7662</v>
      </c>
      <c r="W308">
        <v>3</v>
      </c>
      <c r="X308" t="s">
        <v>7970</v>
      </c>
      <c r="Y308">
        <v>0.77586568894953289</v>
      </c>
      <c r="Z308" t="str">
        <f>HYPERLINK("Melting_Curves/meltCurve_sp_O95104_3_SFR15_HUMAN_.pdf", "Melting_Curves/meltCurve_sp_O95104_3_SFR15_HUMAN_.pdf")</f>
        <v>Melting_Curves/meltCurve_sp_O95104_3_SFR15_HUMAN_.pdf</v>
      </c>
      <c r="AA308" t="s">
        <v>11797</v>
      </c>
      <c r="AB308" t="s">
        <v>15549</v>
      </c>
    </row>
    <row r="309" spans="1:28" x14ac:dyDescent="0.25">
      <c r="A309" t="s">
        <v>313</v>
      </c>
      <c r="B309">
        <v>0.98876768158843997</v>
      </c>
      <c r="C309">
        <v>0.96564825957518996</v>
      </c>
      <c r="D309">
        <v>0.81582110785830697</v>
      </c>
      <c r="E309">
        <v>0.45789310464142302</v>
      </c>
      <c r="F309">
        <v>0.108374379726322</v>
      </c>
      <c r="G309">
        <v>6.3489109236744001E-2</v>
      </c>
      <c r="H309">
        <v>3.5339363621523401E-2</v>
      </c>
      <c r="I309">
        <v>2.46000579640758E-2</v>
      </c>
      <c r="J309">
        <v>2.7370097608017899E-2</v>
      </c>
      <c r="K309">
        <v>2.33934158530303E-2</v>
      </c>
      <c r="L309">
        <v>1184.5805160489299</v>
      </c>
      <c r="M309">
        <v>24.091574333235499</v>
      </c>
      <c r="N309">
        <v>49.2512537825097</v>
      </c>
      <c r="O309">
        <v>48.8349042070829</v>
      </c>
      <c r="P309">
        <v>-0.12092814178125399</v>
      </c>
      <c r="Q309">
        <v>1.9504548781157999E-2</v>
      </c>
      <c r="R309">
        <v>0.99596137382827299</v>
      </c>
      <c r="S309" t="s">
        <v>4141</v>
      </c>
      <c r="T309" t="s">
        <v>7662</v>
      </c>
      <c r="U309" t="s">
        <v>7662</v>
      </c>
      <c r="V309" t="s">
        <v>7662</v>
      </c>
      <c r="W309">
        <v>17</v>
      </c>
      <c r="X309" t="s">
        <v>7971</v>
      </c>
      <c r="Y309">
        <v>0.32859108282551369</v>
      </c>
      <c r="Z309" t="str">
        <f>HYPERLINK("Melting_Curves/meltCurve_sp_O95154_ARK73_HUMAN_.pdf", "Melting_Curves/meltCurve_sp_O95154_ARK73_HUMAN_.pdf")</f>
        <v>Melting_Curves/meltCurve_sp_O95154_ARK73_HUMAN_.pdf</v>
      </c>
      <c r="AA309" t="s">
        <v>11798</v>
      </c>
      <c r="AB309" t="s">
        <v>15550</v>
      </c>
    </row>
    <row r="310" spans="1:28" x14ac:dyDescent="0.25">
      <c r="A310" t="s">
        <v>314</v>
      </c>
      <c r="B310">
        <v>0.98876768158843997</v>
      </c>
      <c r="C310">
        <v>0.85367902295207099</v>
      </c>
      <c r="D310">
        <v>0.95044548134279805</v>
      </c>
      <c r="E310">
        <v>0.73023452380670795</v>
      </c>
      <c r="F310">
        <v>0.46209900477167598</v>
      </c>
      <c r="G310">
        <v>0.180302919647819</v>
      </c>
      <c r="H310">
        <v>0.102595244608905</v>
      </c>
      <c r="I310">
        <v>3.3412193179602201E-2</v>
      </c>
      <c r="J310">
        <v>8.2535592107861405E-2</v>
      </c>
      <c r="K310">
        <v>7.0007540642239699E-2</v>
      </c>
      <c r="L310">
        <v>1039.2091226072801</v>
      </c>
      <c r="M310">
        <v>19.899666621055399</v>
      </c>
      <c r="N310">
        <v>52.481123946188198</v>
      </c>
      <c r="O310">
        <v>51.703663407147602</v>
      </c>
      <c r="P310">
        <v>-9.1727952377502101E-2</v>
      </c>
      <c r="Q310">
        <v>4.6715247523536799E-2</v>
      </c>
      <c r="R310">
        <v>0.98540178693963199</v>
      </c>
      <c r="S310" t="s">
        <v>4142</v>
      </c>
      <c r="T310" t="s">
        <v>7662</v>
      </c>
      <c r="U310" t="s">
        <v>7662</v>
      </c>
      <c r="V310" t="s">
        <v>7662</v>
      </c>
      <c r="W310">
        <v>4</v>
      </c>
      <c r="X310" t="s">
        <v>7972</v>
      </c>
      <c r="Y310">
        <v>0.44839429863774921</v>
      </c>
      <c r="Z310" t="str">
        <f>HYPERLINK("Melting_Curves/meltCurve_sp_O95155_3_UBE4B_HUMAN_.pdf", "Melting_Curves/meltCurve_sp_O95155_3_UBE4B_HUMAN_.pdf")</f>
        <v>Melting_Curves/meltCurve_sp_O95155_3_UBE4B_HUMAN_.pdf</v>
      </c>
      <c r="AA310" t="s">
        <v>11799</v>
      </c>
      <c r="AB310" t="s">
        <v>15551</v>
      </c>
    </row>
    <row r="311" spans="1:28" x14ac:dyDescent="0.25">
      <c r="A311" t="s">
        <v>315</v>
      </c>
      <c r="B311">
        <v>0.98876768158843997</v>
      </c>
      <c r="C311">
        <v>0.92783224285716503</v>
      </c>
      <c r="D311">
        <v>1.0523525790508399</v>
      </c>
      <c r="E311">
        <v>0.82369352011630803</v>
      </c>
      <c r="F311">
        <v>0.37174902063804499</v>
      </c>
      <c r="G311">
        <v>0.14287669544977499</v>
      </c>
      <c r="H311">
        <v>7.8276464636879303E-2</v>
      </c>
      <c r="I311">
        <v>6.3282677211592503E-2</v>
      </c>
      <c r="J311">
        <v>6.9092960022401201E-2</v>
      </c>
      <c r="K311">
        <v>6.3967444689829706E-2</v>
      </c>
      <c r="L311">
        <v>1892.97253114245</v>
      </c>
      <c r="M311">
        <v>36.420767410838103</v>
      </c>
      <c r="N311">
        <v>52.204502816046997</v>
      </c>
      <c r="O311">
        <v>51.819125990228102</v>
      </c>
      <c r="P311">
        <v>-0.16271663518007401</v>
      </c>
      <c r="Q311">
        <v>7.3955771882737303E-2</v>
      </c>
      <c r="R311">
        <v>0.99391695170504801</v>
      </c>
      <c r="S311" t="s">
        <v>4143</v>
      </c>
      <c r="T311" t="s">
        <v>7662</v>
      </c>
      <c r="U311" t="s">
        <v>7662</v>
      </c>
      <c r="V311" t="s">
        <v>7662</v>
      </c>
      <c r="W311">
        <v>9</v>
      </c>
      <c r="X311" t="s">
        <v>7973</v>
      </c>
      <c r="Y311">
        <v>0.44761914613377152</v>
      </c>
      <c r="Z311" t="str">
        <f>HYPERLINK("Melting_Curves/meltCurve_sp_O95163_ELP1_HUMAN_.pdf", "Melting_Curves/meltCurve_sp_O95163_ELP1_HUMAN_.pdf")</f>
        <v>Melting_Curves/meltCurve_sp_O95163_ELP1_HUMAN_.pdf</v>
      </c>
      <c r="AA311" t="s">
        <v>11800</v>
      </c>
      <c r="AB311" t="s">
        <v>15552</v>
      </c>
    </row>
    <row r="312" spans="1:28" x14ac:dyDescent="0.25">
      <c r="A312" t="s">
        <v>316</v>
      </c>
      <c r="B312">
        <v>0.98876768158843997</v>
      </c>
      <c r="C312">
        <v>1.2118579573124799</v>
      </c>
      <c r="D312">
        <v>0.73217657611251696</v>
      </c>
      <c r="E312">
        <v>0.73644872393399197</v>
      </c>
      <c r="F312">
        <v>0.78981094792375595</v>
      </c>
      <c r="G312">
        <v>0.609121630288459</v>
      </c>
      <c r="H312">
        <v>0.48427349162252198</v>
      </c>
      <c r="I312">
        <v>0.44557864153870003</v>
      </c>
      <c r="J312">
        <v>0.41758970894803299</v>
      </c>
      <c r="K312">
        <v>0.86835361221085905</v>
      </c>
      <c r="L312">
        <v>830.578708253027</v>
      </c>
      <c r="M312">
        <v>16.870441482601699</v>
      </c>
      <c r="O312">
        <v>48.556635518174097</v>
      </c>
      <c r="P312">
        <v>-3.7816568800346902E-2</v>
      </c>
      <c r="Q312">
        <v>0.56465199094971896</v>
      </c>
      <c r="R312">
        <v>0.57822946969392497</v>
      </c>
      <c r="S312" t="s">
        <v>4144</v>
      </c>
      <c r="T312" t="s">
        <v>7662</v>
      </c>
      <c r="U312" t="s">
        <v>7662</v>
      </c>
      <c r="V312" t="s">
        <v>7662</v>
      </c>
      <c r="W312">
        <v>2</v>
      </c>
      <c r="X312" t="s">
        <v>7974</v>
      </c>
      <c r="Y312">
        <v>0.70715785375087203</v>
      </c>
      <c r="Z312" t="str">
        <f>HYPERLINK("Melting_Curves/meltCurve_sp_O95202_LETM1_HUMAN_.pdf", "Melting_Curves/meltCurve_sp_O95202_LETM1_HUMAN_.pdf")</f>
        <v>Melting_Curves/meltCurve_sp_O95202_LETM1_HUMAN_.pdf</v>
      </c>
      <c r="AA312" t="s">
        <v>11801</v>
      </c>
      <c r="AB312" t="s">
        <v>15553</v>
      </c>
    </row>
    <row r="313" spans="1:28" x14ac:dyDescent="0.25">
      <c r="A313" t="s">
        <v>317</v>
      </c>
      <c r="B313">
        <v>0.98876768158843997</v>
      </c>
      <c r="C313">
        <v>0.99917100409362902</v>
      </c>
      <c r="D313">
        <v>0.85703214142950002</v>
      </c>
      <c r="E313">
        <v>0.63947852787218795</v>
      </c>
      <c r="F313">
        <v>0.57974420806536098</v>
      </c>
      <c r="G313">
        <v>0.38095147424273201</v>
      </c>
      <c r="H313">
        <v>0.27438022171835402</v>
      </c>
      <c r="I313">
        <v>0.32677733974518902</v>
      </c>
      <c r="J313">
        <v>0.37182661681591</v>
      </c>
      <c r="K313">
        <v>0.38881786600560098</v>
      </c>
      <c r="L313">
        <v>867.50839711887795</v>
      </c>
      <c r="M313">
        <v>17.347950329641701</v>
      </c>
      <c r="N313">
        <v>53.338808055426</v>
      </c>
      <c r="O313">
        <v>49.356100762193897</v>
      </c>
      <c r="P313">
        <v>-5.8802268746719399E-2</v>
      </c>
      <c r="Q313">
        <v>0.330852281670031</v>
      </c>
      <c r="R313">
        <v>0.97333423261613705</v>
      </c>
      <c r="S313" t="s">
        <v>4145</v>
      </c>
      <c r="T313" t="s">
        <v>7662</v>
      </c>
      <c r="U313" t="s">
        <v>7662</v>
      </c>
      <c r="V313" t="s">
        <v>7662</v>
      </c>
      <c r="W313">
        <v>4</v>
      </c>
      <c r="X313" t="s">
        <v>7975</v>
      </c>
      <c r="Y313">
        <v>0.56627740245195224</v>
      </c>
      <c r="Z313" t="str">
        <f>HYPERLINK("Melting_Curves/meltCurve_sp_O95210_STBD1_HUMAN_.pdf", "Melting_Curves/meltCurve_sp_O95210_STBD1_HUMAN_.pdf")</f>
        <v>Melting_Curves/meltCurve_sp_O95210_STBD1_HUMAN_.pdf</v>
      </c>
      <c r="AA313" t="s">
        <v>11802</v>
      </c>
      <c r="AB313" t="s">
        <v>15554</v>
      </c>
    </row>
    <row r="314" spans="1:28" x14ac:dyDescent="0.25">
      <c r="A314" t="s">
        <v>318</v>
      </c>
      <c r="B314">
        <v>0.98876768158843997</v>
      </c>
      <c r="C314">
        <v>1.12151246726561</v>
      </c>
      <c r="D314">
        <v>0.869402764558456</v>
      </c>
      <c r="E314">
        <v>0.77274529751746601</v>
      </c>
      <c r="F314">
        <v>0.99873575436559403</v>
      </c>
      <c r="G314">
        <v>0.75654892817382502</v>
      </c>
      <c r="H314">
        <v>0.60718871701169497</v>
      </c>
      <c r="I314">
        <v>0.78484387485469898</v>
      </c>
      <c r="J314">
        <v>0.945847414820012</v>
      </c>
      <c r="K314">
        <v>1.1826791200142099</v>
      </c>
      <c r="L314">
        <v>11352.7737865775</v>
      </c>
      <c r="M314">
        <v>250</v>
      </c>
      <c r="O314">
        <v>45.408176195862701</v>
      </c>
      <c r="P314">
        <v>-0.187075347118247</v>
      </c>
      <c r="Q314">
        <v>0.86408395606823396</v>
      </c>
      <c r="R314">
        <v>0.18203942005877899</v>
      </c>
      <c r="S314" t="s">
        <v>4146</v>
      </c>
      <c r="T314" t="s">
        <v>7662</v>
      </c>
      <c r="U314" t="s">
        <v>7662</v>
      </c>
      <c r="V314" t="s">
        <v>7662</v>
      </c>
      <c r="W314">
        <v>10</v>
      </c>
      <c r="X314" t="s">
        <v>7976</v>
      </c>
      <c r="Y314">
        <v>0.88860994285552308</v>
      </c>
      <c r="Z314" t="str">
        <f>HYPERLINK("Melting_Curves/meltCurve_sp_O95218_2_ZRAB2_HUMAN_.pdf", "Melting_Curves/meltCurve_sp_O95218_2_ZRAB2_HUMAN_.pdf")</f>
        <v>Melting_Curves/meltCurve_sp_O95218_2_ZRAB2_HUMAN_.pdf</v>
      </c>
      <c r="AA314" t="s">
        <v>11803</v>
      </c>
      <c r="AB314" t="s">
        <v>15555</v>
      </c>
    </row>
    <row r="315" spans="1:28" x14ac:dyDescent="0.25">
      <c r="A315" t="s">
        <v>319</v>
      </c>
      <c r="B315">
        <v>0.98876768158843997</v>
      </c>
      <c r="C315">
        <v>0.84289492271009703</v>
      </c>
      <c r="D315">
        <v>0.59222055046722599</v>
      </c>
      <c r="E315">
        <v>0.31707086446032401</v>
      </c>
      <c r="F315">
        <v>0.17954408961021501</v>
      </c>
      <c r="G315">
        <v>8.2976193650043301E-2</v>
      </c>
      <c r="H315">
        <v>9.4106648162375697E-2</v>
      </c>
      <c r="I315">
        <v>6.5534946670341404E-2</v>
      </c>
      <c r="J315">
        <v>6.79386640978068E-2</v>
      </c>
      <c r="K315">
        <v>7.2410269023970103E-2</v>
      </c>
      <c r="L315">
        <v>818.66681467188198</v>
      </c>
      <c r="M315">
        <v>17.463595244642601</v>
      </c>
      <c r="N315">
        <v>47.251897182218201</v>
      </c>
      <c r="O315">
        <v>46.276726710681302</v>
      </c>
      <c r="P315">
        <v>-8.8267129865943206E-2</v>
      </c>
      <c r="Q315">
        <v>6.4456449803665994E-2</v>
      </c>
      <c r="R315">
        <v>0.99778265945158995</v>
      </c>
      <c r="S315" t="s">
        <v>4147</v>
      </c>
      <c r="T315" t="s">
        <v>7662</v>
      </c>
      <c r="U315" t="s">
        <v>7662</v>
      </c>
      <c r="V315" t="s">
        <v>7662</v>
      </c>
      <c r="W315">
        <v>5</v>
      </c>
      <c r="X315" t="s">
        <v>7977</v>
      </c>
      <c r="Y315">
        <v>0.29751027104983169</v>
      </c>
      <c r="Z315" t="str">
        <f>HYPERLINK("Melting_Curves/meltCurve_sp_O95219_SNX4_HUMAN_.pdf", "Melting_Curves/meltCurve_sp_O95219_SNX4_HUMAN_.pdf")</f>
        <v>Melting_Curves/meltCurve_sp_O95219_SNX4_HUMAN_.pdf</v>
      </c>
      <c r="AA315" t="s">
        <v>11804</v>
      </c>
      <c r="AB315" t="s">
        <v>15556</v>
      </c>
    </row>
    <row r="316" spans="1:28" x14ac:dyDescent="0.25">
      <c r="A316" t="s">
        <v>320</v>
      </c>
      <c r="B316">
        <v>0.98876768158843997</v>
      </c>
      <c r="C316">
        <v>0.87047920194109796</v>
      </c>
      <c r="D316">
        <v>0.93662063733177403</v>
      </c>
      <c r="E316">
        <v>0.71524382052584601</v>
      </c>
      <c r="F316">
        <v>0.63987821610809703</v>
      </c>
      <c r="G316">
        <v>0.43661454104616298</v>
      </c>
      <c r="H316">
        <v>0.286164444469446</v>
      </c>
      <c r="I316">
        <v>0.29750387168359699</v>
      </c>
      <c r="J316">
        <v>0.33254298103197699</v>
      </c>
      <c r="K316">
        <v>0.33871594986575498</v>
      </c>
      <c r="L316">
        <v>738.84291399528502</v>
      </c>
      <c r="M316">
        <v>14.2087939040479</v>
      </c>
      <c r="N316">
        <v>55.129380727752597</v>
      </c>
      <c r="O316">
        <v>51.001520182719098</v>
      </c>
      <c r="P316">
        <v>-5.0372111341715799E-2</v>
      </c>
      <c r="Q316">
        <v>0.276860948187862</v>
      </c>
      <c r="R316">
        <v>0.96948535654147905</v>
      </c>
      <c r="S316" t="s">
        <v>4148</v>
      </c>
      <c r="T316" t="s">
        <v>7662</v>
      </c>
      <c r="U316" t="s">
        <v>7662</v>
      </c>
      <c r="V316" t="s">
        <v>7662</v>
      </c>
      <c r="W316">
        <v>2</v>
      </c>
      <c r="X316" t="s">
        <v>7978</v>
      </c>
      <c r="Y316">
        <v>0.58362826518335886</v>
      </c>
      <c r="Z316" t="str">
        <f>HYPERLINK("Melting_Curves/meltCurve_sp_O95232_LC7L3_HUMAN_.pdf", "Melting_Curves/meltCurve_sp_O95232_LC7L3_HUMAN_.pdf")</f>
        <v>Melting_Curves/meltCurve_sp_O95232_LC7L3_HUMAN_.pdf</v>
      </c>
      <c r="AA316" t="s">
        <v>11805</v>
      </c>
      <c r="AB316" t="s">
        <v>15557</v>
      </c>
    </row>
    <row r="317" spans="1:28" x14ac:dyDescent="0.25">
      <c r="A317" t="s">
        <v>321</v>
      </c>
      <c r="B317">
        <v>0.98876768158843997</v>
      </c>
      <c r="C317">
        <v>1.2560156444588799</v>
      </c>
      <c r="D317">
        <v>1.0250298433560801</v>
      </c>
      <c r="E317">
        <v>0.88159397948201601</v>
      </c>
      <c r="F317">
        <v>0.97984848999011098</v>
      </c>
      <c r="G317">
        <v>0.73730838939746302</v>
      </c>
      <c r="H317">
        <v>0.65397829846962496</v>
      </c>
      <c r="I317">
        <v>0.77883323054035403</v>
      </c>
      <c r="J317">
        <v>0.87677822624347701</v>
      </c>
      <c r="K317">
        <v>1.0999114729756201</v>
      </c>
      <c r="L317">
        <v>1527.4179266917599</v>
      </c>
      <c r="M317">
        <v>29.820960463218</v>
      </c>
      <c r="O317">
        <v>50.990936943105901</v>
      </c>
      <c r="P317">
        <v>-2.3520454952619799E-2</v>
      </c>
      <c r="Q317">
        <v>0.83913032859562098</v>
      </c>
      <c r="R317">
        <v>0.31200740419258299</v>
      </c>
      <c r="S317" t="s">
        <v>4149</v>
      </c>
      <c r="T317" t="s">
        <v>7662</v>
      </c>
      <c r="U317" t="s">
        <v>7662</v>
      </c>
      <c r="V317" t="s">
        <v>7662</v>
      </c>
      <c r="W317">
        <v>2</v>
      </c>
      <c r="X317" t="s">
        <v>7979</v>
      </c>
      <c r="Y317">
        <v>0.90032080086576893</v>
      </c>
      <c r="Z317" t="str">
        <f>HYPERLINK("Melting_Curves/meltCurve_sp_O95243_3_MBD4_HUMAN_.pdf", "Melting_Curves/meltCurve_sp_O95243_3_MBD4_HUMAN_.pdf")</f>
        <v>Melting_Curves/meltCurve_sp_O95243_3_MBD4_HUMAN_.pdf</v>
      </c>
      <c r="AA317" t="s">
        <v>11806</v>
      </c>
      <c r="AB317" t="s">
        <v>15558</v>
      </c>
    </row>
    <row r="318" spans="1:28" x14ac:dyDescent="0.25">
      <c r="A318" t="s">
        <v>322</v>
      </c>
      <c r="B318">
        <v>0.98876768158843997</v>
      </c>
      <c r="C318">
        <v>1.20127588786142</v>
      </c>
      <c r="D318">
        <v>0.97676142107760699</v>
      </c>
      <c r="E318">
        <v>0.87393613933929404</v>
      </c>
      <c r="F318">
        <v>0.990906035514038</v>
      </c>
      <c r="G318">
        <v>0.81765910809648301</v>
      </c>
      <c r="H318">
        <v>0.56564895297541895</v>
      </c>
      <c r="I318">
        <v>0.69382866023686096</v>
      </c>
      <c r="J318">
        <v>0.92810476309547996</v>
      </c>
      <c r="K318">
        <v>1.00968916309201</v>
      </c>
      <c r="L318">
        <v>4317.2384599504603</v>
      </c>
      <c r="M318">
        <v>78.287875540620306</v>
      </c>
      <c r="O318">
        <v>55.109755237028502</v>
      </c>
      <c r="P318">
        <v>-7.1021000086143898E-2</v>
      </c>
      <c r="Q318">
        <v>0.80002278578229302</v>
      </c>
      <c r="R318">
        <v>0.36033059855844402</v>
      </c>
      <c r="S318" t="s">
        <v>4150</v>
      </c>
      <c r="T318" t="s">
        <v>7662</v>
      </c>
      <c r="U318" t="s">
        <v>7662</v>
      </c>
      <c r="V318" t="s">
        <v>7662</v>
      </c>
      <c r="W318">
        <v>1</v>
      </c>
      <c r="X318" t="s">
        <v>7980</v>
      </c>
      <c r="Y318">
        <v>0.90118027184810545</v>
      </c>
      <c r="Z318" t="str">
        <f>HYPERLINK("Melting_Curves/meltCurve_sp_O95251_2_KAT7_HUMAN_.pdf", "Melting_Curves/meltCurve_sp_O95251_2_KAT7_HUMAN_.pdf")</f>
        <v>Melting_Curves/meltCurve_sp_O95251_2_KAT7_HUMAN_.pdf</v>
      </c>
      <c r="AA318" t="s">
        <v>11807</v>
      </c>
      <c r="AB318" t="s">
        <v>15559</v>
      </c>
    </row>
    <row r="319" spans="1:28" x14ac:dyDescent="0.25">
      <c r="A319" t="s">
        <v>323</v>
      </c>
      <c r="B319">
        <v>0.98876768158843997</v>
      </c>
      <c r="C319">
        <v>0.95842815139454096</v>
      </c>
      <c r="D319">
        <v>1.0600945695956401</v>
      </c>
      <c r="E319">
        <v>0.932455757044376</v>
      </c>
      <c r="F319">
        <v>0.46363616353328801</v>
      </c>
      <c r="G319">
        <v>0.18916520961951699</v>
      </c>
      <c r="H319">
        <v>9.8241775716067598E-2</v>
      </c>
      <c r="I319">
        <v>9.6697676113786296E-2</v>
      </c>
      <c r="J319">
        <v>0.11024235056368401</v>
      </c>
      <c r="K319">
        <v>9.5296475624440893E-2</v>
      </c>
      <c r="L319">
        <v>2308.6977477079599</v>
      </c>
      <c r="M319">
        <v>43.918332172002899</v>
      </c>
      <c r="N319">
        <v>52.867987424479999</v>
      </c>
      <c r="O319">
        <v>52.459337840513399</v>
      </c>
      <c r="P319">
        <v>-0.18621222241364499</v>
      </c>
      <c r="Q319">
        <v>0.11029816733652401</v>
      </c>
      <c r="R319">
        <v>0.99449675990541697</v>
      </c>
      <c r="S319" t="s">
        <v>4151</v>
      </c>
      <c r="T319" t="s">
        <v>7662</v>
      </c>
      <c r="U319" t="s">
        <v>7662</v>
      </c>
      <c r="V319" t="s">
        <v>7662</v>
      </c>
      <c r="W319">
        <v>2</v>
      </c>
      <c r="X319" t="s">
        <v>7981</v>
      </c>
      <c r="Y319">
        <v>0.48570042480422859</v>
      </c>
      <c r="Z319" t="str">
        <f>HYPERLINK("Melting_Curves/meltCurve_sp_O95278_7_EPM2A_HUMAN_.pdf", "Melting_Curves/meltCurve_sp_O95278_7_EPM2A_HUMAN_.pdf")</f>
        <v>Melting_Curves/meltCurve_sp_O95278_7_EPM2A_HUMAN_.pdf</v>
      </c>
      <c r="AA319" t="s">
        <v>11808</v>
      </c>
      <c r="AB319" t="s">
        <v>15560</v>
      </c>
    </row>
    <row r="320" spans="1:28" x14ac:dyDescent="0.25">
      <c r="A320" t="s">
        <v>324</v>
      </c>
      <c r="B320">
        <v>0.98876768158843997</v>
      </c>
      <c r="C320">
        <v>1.0789107892585801</v>
      </c>
      <c r="D320">
        <v>0.84504260035238898</v>
      </c>
      <c r="E320">
        <v>0.69554900417545695</v>
      </c>
      <c r="F320">
        <v>0.81465420167478098</v>
      </c>
      <c r="G320">
        <v>0.55798075175835304</v>
      </c>
      <c r="H320">
        <v>0.415960250018788</v>
      </c>
      <c r="I320">
        <v>0.480287405678477</v>
      </c>
      <c r="J320">
        <v>0.55147736040809903</v>
      </c>
      <c r="K320">
        <v>0.65279975840484605</v>
      </c>
      <c r="L320">
        <v>798.08290104059404</v>
      </c>
      <c r="M320">
        <v>15.9200935954843</v>
      </c>
      <c r="O320">
        <v>49.359568306799197</v>
      </c>
      <c r="P320">
        <v>-3.8403427224460898E-2</v>
      </c>
      <c r="Q320">
        <v>0.52376536931977102</v>
      </c>
      <c r="R320">
        <v>0.81291471884130695</v>
      </c>
      <c r="S320" t="s">
        <v>4152</v>
      </c>
      <c r="T320" t="s">
        <v>7662</v>
      </c>
      <c r="U320" t="s">
        <v>7662</v>
      </c>
      <c r="V320" t="s">
        <v>7662</v>
      </c>
      <c r="W320">
        <v>10</v>
      </c>
      <c r="X320" t="s">
        <v>7982</v>
      </c>
      <c r="Y320">
        <v>0.69475417016489038</v>
      </c>
      <c r="Z320" t="str">
        <f>HYPERLINK("Melting_Curves/meltCurve_sp_O95292_VAPB_HUMAN_.pdf", "Melting_Curves/meltCurve_sp_O95292_VAPB_HUMAN_.pdf")</f>
        <v>Melting_Curves/meltCurve_sp_O95292_VAPB_HUMAN_.pdf</v>
      </c>
      <c r="AA320" t="s">
        <v>11809</v>
      </c>
      <c r="AB320" t="s">
        <v>15561</v>
      </c>
    </row>
    <row r="321" spans="1:28" x14ac:dyDescent="0.25">
      <c r="A321" t="s">
        <v>325</v>
      </c>
      <c r="B321">
        <v>0.98876768158843997</v>
      </c>
      <c r="C321">
        <v>1.1702184879526101</v>
      </c>
      <c r="D321">
        <v>0.88237923187367096</v>
      </c>
      <c r="E321">
        <v>0.80965759853613894</v>
      </c>
      <c r="F321">
        <v>0.97520836360950502</v>
      </c>
      <c r="G321">
        <v>0.65898787383070401</v>
      </c>
      <c r="H321">
        <v>0.39719284182714598</v>
      </c>
      <c r="I321">
        <v>0.20272520467181701</v>
      </c>
      <c r="J321">
        <v>0.13409644938012</v>
      </c>
      <c r="K321">
        <v>7.5762423741554896E-2</v>
      </c>
      <c r="L321">
        <v>996.92216168303798</v>
      </c>
      <c r="M321">
        <v>16.796532609367699</v>
      </c>
      <c r="N321">
        <v>59.352855169081501</v>
      </c>
      <c r="O321">
        <v>58.5306978008241</v>
      </c>
      <c r="P321">
        <v>-7.1747055427754905E-2</v>
      </c>
      <c r="Q321">
        <v>0</v>
      </c>
      <c r="R321">
        <v>0.948538557604231</v>
      </c>
      <c r="S321" t="s">
        <v>4153</v>
      </c>
      <c r="T321" t="s">
        <v>7662</v>
      </c>
      <c r="U321" t="s">
        <v>7662</v>
      </c>
      <c r="V321" t="s">
        <v>7662</v>
      </c>
      <c r="W321">
        <v>11</v>
      </c>
      <c r="X321" t="s">
        <v>7983</v>
      </c>
      <c r="Y321">
        <v>0.65490881724031025</v>
      </c>
      <c r="Z321" t="str">
        <f>HYPERLINK("Melting_Curves/meltCurve_sp_O95336_6PGL_HUMAN_.pdf", "Melting_Curves/meltCurve_sp_O95336_6PGL_HUMAN_.pdf")</f>
        <v>Melting_Curves/meltCurve_sp_O95336_6PGL_HUMAN_.pdf</v>
      </c>
      <c r="AA321" t="s">
        <v>11810</v>
      </c>
      <c r="AB321" t="s">
        <v>15562</v>
      </c>
    </row>
    <row r="322" spans="1:28" x14ac:dyDescent="0.25">
      <c r="A322" t="s">
        <v>326</v>
      </c>
      <c r="B322">
        <v>0.98876768158843997</v>
      </c>
      <c r="C322">
        <v>0.75877548404776096</v>
      </c>
      <c r="D322">
        <v>0.541992597940266</v>
      </c>
      <c r="E322">
        <v>0.25675375533248401</v>
      </c>
      <c r="F322">
        <v>0.16208760458980401</v>
      </c>
      <c r="G322">
        <v>9.8464883965047295E-2</v>
      </c>
      <c r="H322">
        <v>6.8096028907385905E-2</v>
      </c>
      <c r="I322">
        <v>6.9279991350721701E-2</v>
      </c>
      <c r="J322">
        <v>8.07234004955249E-2</v>
      </c>
      <c r="K322">
        <v>5.6403585786505402E-2</v>
      </c>
      <c r="L322">
        <v>790.48889306949195</v>
      </c>
      <c r="M322">
        <v>17.1676238333506</v>
      </c>
      <c r="N322">
        <v>46.415567578478303</v>
      </c>
      <c r="O322">
        <v>45.434185954554998</v>
      </c>
      <c r="P322">
        <v>-8.8424884528227193E-2</v>
      </c>
      <c r="Q322">
        <v>6.3988405611073704E-2</v>
      </c>
      <c r="R322">
        <v>0.99554313902000202</v>
      </c>
      <c r="S322" t="s">
        <v>4154</v>
      </c>
      <c r="T322" t="s">
        <v>7662</v>
      </c>
      <c r="U322" t="s">
        <v>7662</v>
      </c>
      <c r="V322" t="s">
        <v>7662</v>
      </c>
      <c r="W322">
        <v>23</v>
      </c>
      <c r="X322" t="s">
        <v>7984</v>
      </c>
      <c r="Y322">
        <v>0.27295334651392461</v>
      </c>
      <c r="Z322" t="str">
        <f>HYPERLINK("Melting_Curves/meltCurve_sp_O95340_PAPS2_HUMAN_.pdf", "Melting_Curves/meltCurve_sp_O95340_PAPS2_HUMAN_.pdf")</f>
        <v>Melting_Curves/meltCurve_sp_O95340_PAPS2_HUMAN_.pdf</v>
      </c>
      <c r="AA322" t="s">
        <v>11811</v>
      </c>
      <c r="AB322" t="s">
        <v>15563</v>
      </c>
    </row>
    <row r="323" spans="1:28" x14ac:dyDescent="0.25">
      <c r="A323" t="s">
        <v>327</v>
      </c>
      <c r="B323">
        <v>0.98876768158843997</v>
      </c>
      <c r="C323">
        <v>0.82760049782715595</v>
      </c>
      <c r="D323">
        <v>0.95399603156096702</v>
      </c>
      <c r="E323">
        <v>0.635038994334296</v>
      </c>
      <c r="F323">
        <v>0.22612024884725801</v>
      </c>
      <c r="G323">
        <v>0.142368361842444</v>
      </c>
      <c r="H323">
        <v>8.5674601011743304E-2</v>
      </c>
      <c r="I323">
        <v>7.5118787596769099E-2</v>
      </c>
      <c r="J323">
        <v>9.06445663649664E-2</v>
      </c>
      <c r="K323">
        <v>5.9834510584367298E-2</v>
      </c>
      <c r="L323">
        <v>1588.18435290666</v>
      </c>
      <c r="M323">
        <v>31.424898006428698</v>
      </c>
      <c r="N323">
        <v>50.824750530690203</v>
      </c>
      <c r="O323">
        <v>50.335711353975697</v>
      </c>
      <c r="P323">
        <v>-0.14344077607035099</v>
      </c>
      <c r="Q323">
        <v>8.0963923580376407E-2</v>
      </c>
      <c r="R323">
        <v>0.97740369837247998</v>
      </c>
      <c r="S323" t="s">
        <v>4155</v>
      </c>
      <c r="T323" t="s">
        <v>7662</v>
      </c>
      <c r="U323" t="s">
        <v>7662</v>
      </c>
      <c r="V323" t="s">
        <v>7662</v>
      </c>
      <c r="W323">
        <v>9</v>
      </c>
      <c r="X323" t="s">
        <v>7985</v>
      </c>
      <c r="Y323">
        <v>0.40904586758864708</v>
      </c>
      <c r="Z323" t="str">
        <f>HYPERLINK("Melting_Curves/meltCurve_sp_O95352_ATG7_HUMAN_.pdf", "Melting_Curves/meltCurve_sp_O95352_ATG7_HUMAN_.pdf")</f>
        <v>Melting_Curves/meltCurve_sp_O95352_ATG7_HUMAN_.pdf</v>
      </c>
      <c r="AA323" t="s">
        <v>11812</v>
      </c>
      <c r="AB323" t="s">
        <v>15564</v>
      </c>
    </row>
    <row r="324" spans="1:28" x14ac:dyDescent="0.25">
      <c r="A324" t="s">
        <v>328</v>
      </c>
      <c r="B324">
        <v>0.98876768158843997</v>
      </c>
      <c r="C324">
        <v>0.95323168932228897</v>
      </c>
      <c r="D324">
        <v>0.40500419626722101</v>
      </c>
      <c r="E324">
        <v>7.3075918190632999E-2</v>
      </c>
      <c r="F324">
        <v>3.13791908545374E-2</v>
      </c>
      <c r="G324">
        <v>2.9041936881837999E-2</v>
      </c>
      <c r="H324">
        <v>1.38002640904311E-2</v>
      </c>
      <c r="I324">
        <v>1.7205423074444101E-2</v>
      </c>
      <c r="J324">
        <v>1.5343670054368101E-2</v>
      </c>
      <c r="K324">
        <v>1.30030151953161E-2</v>
      </c>
      <c r="L324">
        <v>2016.6919570007301</v>
      </c>
      <c r="M324">
        <v>44.264725129732099</v>
      </c>
      <c r="N324">
        <v>45.6107704149303</v>
      </c>
      <c r="O324">
        <v>45.467104449938702</v>
      </c>
      <c r="P324">
        <v>-0.237515614320637</v>
      </c>
      <c r="Q324">
        <v>2.41319893491189E-2</v>
      </c>
      <c r="R324">
        <v>0.99888472148323904</v>
      </c>
      <c r="S324" t="s">
        <v>4156</v>
      </c>
      <c r="T324" t="s">
        <v>7662</v>
      </c>
      <c r="U324" t="s">
        <v>7662</v>
      </c>
      <c r="V324" t="s">
        <v>7662</v>
      </c>
      <c r="W324">
        <v>4</v>
      </c>
      <c r="X324" t="s">
        <v>7986</v>
      </c>
      <c r="Y324">
        <v>0.20754529625884499</v>
      </c>
      <c r="Z324" t="str">
        <f>HYPERLINK("Melting_Curves/meltCurve_sp_O95363_SYFM_HUMAN_.pdf", "Melting_Curves/meltCurve_sp_O95363_SYFM_HUMAN_.pdf")</f>
        <v>Melting_Curves/meltCurve_sp_O95363_SYFM_HUMAN_.pdf</v>
      </c>
      <c r="AA324" t="s">
        <v>11813</v>
      </c>
      <c r="AB324" t="s">
        <v>15565</v>
      </c>
    </row>
    <row r="325" spans="1:28" x14ac:dyDescent="0.25">
      <c r="A325" t="s">
        <v>329</v>
      </c>
      <c r="B325">
        <v>0.98876768158843997</v>
      </c>
      <c r="C325">
        <v>1.11612907802409</v>
      </c>
      <c r="D325">
        <v>0.86870014877266599</v>
      </c>
      <c r="E325">
        <v>0.68086755074326299</v>
      </c>
      <c r="F325">
        <v>0.67996285426414005</v>
      </c>
      <c r="G325">
        <v>0.26428285604361401</v>
      </c>
      <c r="H325">
        <v>7.5408300830427794E-2</v>
      </c>
      <c r="I325">
        <v>5.2552014967028701E-2</v>
      </c>
      <c r="J325">
        <v>6.5064854478585496E-2</v>
      </c>
      <c r="K325">
        <v>4.2587996058175502E-2</v>
      </c>
      <c r="L325">
        <v>865.66987220030899</v>
      </c>
      <c r="M325">
        <v>16.087804701352901</v>
      </c>
      <c r="N325">
        <v>53.809074685273202</v>
      </c>
      <c r="O325">
        <v>52.9982424578033</v>
      </c>
      <c r="P325">
        <v>-7.5894181918700607E-2</v>
      </c>
      <c r="Q325">
        <v>0</v>
      </c>
      <c r="R325">
        <v>0.96962774962015996</v>
      </c>
      <c r="S325" t="s">
        <v>4157</v>
      </c>
      <c r="T325" t="s">
        <v>7662</v>
      </c>
      <c r="U325" t="s">
        <v>7662</v>
      </c>
      <c r="V325" t="s">
        <v>7662</v>
      </c>
      <c r="W325">
        <v>5</v>
      </c>
      <c r="X325" t="s">
        <v>7987</v>
      </c>
      <c r="Y325">
        <v>0.47920091462239411</v>
      </c>
      <c r="Z325" t="str">
        <f>HYPERLINK("Melting_Curves/meltCurve_sp_O95372_LYPA2_HUMAN_.pdf", "Melting_Curves/meltCurve_sp_O95372_LYPA2_HUMAN_.pdf")</f>
        <v>Melting_Curves/meltCurve_sp_O95372_LYPA2_HUMAN_.pdf</v>
      </c>
      <c r="AA325" t="s">
        <v>11814</v>
      </c>
      <c r="AB325" t="s">
        <v>15566</v>
      </c>
    </row>
    <row r="326" spans="1:28" x14ac:dyDescent="0.25">
      <c r="A326" t="s">
        <v>330</v>
      </c>
      <c r="B326">
        <v>0.98876768158843997</v>
      </c>
      <c r="C326">
        <v>0.87847227393187799</v>
      </c>
      <c r="D326">
        <v>0.97826410877761105</v>
      </c>
      <c r="E326">
        <v>0.90211380388027096</v>
      </c>
      <c r="F326">
        <v>0.463401666846331</v>
      </c>
      <c r="G326">
        <v>0.23589032983729899</v>
      </c>
      <c r="H326">
        <v>8.1860418419318098E-2</v>
      </c>
      <c r="I326">
        <v>6.5546113473432199E-2</v>
      </c>
      <c r="J326">
        <v>7.4371065570675701E-2</v>
      </c>
      <c r="K326">
        <v>6.4364800594123195E-2</v>
      </c>
      <c r="L326">
        <v>1538.91927587538</v>
      </c>
      <c r="M326">
        <v>29.1382860372855</v>
      </c>
      <c r="N326">
        <v>53.109278983828297</v>
      </c>
      <c r="O326">
        <v>52.567455070023499</v>
      </c>
      <c r="P326">
        <v>-0.12822469587405499</v>
      </c>
      <c r="Q326">
        <v>7.4702394252879306E-2</v>
      </c>
      <c r="R326">
        <v>0.984382427345876</v>
      </c>
      <c r="S326" t="s">
        <v>4158</v>
      </c>
      <c r="T326" t="s">
        <v>7662</v>
      </c>
      <c r="U326" t="s">
        <v>7662</v>
      </c>
      <c r="V326" t="s">
        <v>7662</v>
      </c>
      <c r="W326">
        <v>12</v>
      </c>
      <c r="X326" t="s">
        <v>7988</v>
      </c>
      <c r="Y326">
        <v>0.47627474090010841</v>
      </c>
      <c r="Z326" t="str">
        <f>HYPERLINK("Melting_Curves/meltCurve_sp_O95373_IPO7_HUMAN_.pdf", "Melting_Curves/meltCurve_sp_O95373_IPO7_HUMAN_.pdf")</f>
        <v>Melting_Curves/meltCurve_sp_O95373_IPO7_HUMAN_.pdf</v>
      </c>
      <c r="AA326" t="s">
        <v>11815</v>
      </c>
      <c r="AB326" t="s">
        <v>15567</v>
      </c>
    </row>
    <row r="327" spans="1:28" x14ac:dyDescent="0.25">
      <c r="A327" t="s">
        <v>331</v>
      </c>
      <c r="B327">
        <v>0.98876768158843997</v>
      </c>
      <c r="C327">
        <v>0.98663753347553496</v>
      </c>
      <c r="D327">
        <v>0.80760256677444797</v>
      </c>
      <c r="E327">
        <v>0.80215168437246698</v>
      </c>
      <c r="F327">
        <v>0.64784588478201299</v>
      </c>
      <c r="G327">
        <v>0.110487563453183</v>
      </c>
      <c r="H327">
        <v>5.5791845130502699E-2</v>
      </c>
      <c r="I327">
        <v>7.5992915634460201E-2</v>
      </c>
      <c r="J327">
        <v>6.6508620959201403E-2</v>
      </c>
      <c r="K327">
        <v>9.10813363343074E-2</v>
      </c>
      <c r="L327">
        <v>1402.4909197745601</v>
      </c>
      <c r="M327">
        <v>26.3062405044565</v>
      </c>
      <c r="N327">
        <v>53.523348986955</v>
      </c>
      <c r="O327">
        <v>53.008772881919498</v>
      </c>
      <c r="P327">
        <v>-0.118001460385732</v>
      </c>
      <c r="Q327">
        <v>4.8888230963744402E-2</v>
      </c>
      <c r="R327">
        <v>0.96613973178117096</v>
      </c>
      <c r="S327" t="s">
        <v>4159</v>
      </c>
      <c r="T327" t="s">
        <v>7662</v>
      </c>
      <c r="U327" t="s">
        <v>7662</v>
      </c>
      <c r="V327" t="s">
        <v>7662</v>
      </c>
      <c r="W327">
        <v>2</v>
      </c>
      <c r="X327" t="s">
        <v>7989</v>
      </c>
      <c r="Y327">
        <v>0.47896676672568828</v>
      </c>
      <c r="Z327" t="str">
        <f>HYPERLINK("Melting_Curves/meltCurve_sp_O95376_ARI2_HUMAN_.pdf", "Melting_Curves/meltCurve_sp_O95376_ARI2_HUMAN_.pdf")</f>
        <v>Melting_Curves/meltCurve_sp_O95376_ARI2_HUMAN_.pdf</v>
      </c>
      <c r="AA327" t="s">
        <v>11816</v>
      </c>
      <c r="AB327" t="s">
        <v>15568</v>
      </c>
    </row>
    <row r="328" spans="1:28" x14ac:dyDescent="0.25">
      <c r="A328" t="s">
        <v>332</v>
      </c>
      <c r="B328">
        <v>0.98876768158843997</v>
      </c>
      <c r="C328">
        <v>1.01033280794115</v>
      </c>
      <c r="D328">
        <v>0.85737270900057105</v>
      </c>
      <c r="E328">
        <v>0.52566283494296795</v>
      </c>
      <c r="F328">
        <v>0.168108371785095</v>
      </c>
      <c r="G328">
        <v>0.10123812828590301</v>
      </c>
      <c r="H328">
        <v>6.3235243366369098E-2</v>
      </c>
      <c r="I328">
        <v>5.4823876973813197E-2</v>
      </c>
      <c r="J328">
        <v>6.8537042381348903E-2</v>
      </c>
      <c r="K328">
        <v>6.68189394713984E-2</v>
      </c>
      <c r="L328">
        <v>1306.7631166234801</v>
      </c>
      <c r="M328">
        <v>26.3032931512078</v>
      </c>
      <c r="N328">
        <v>49.916269878727299</v>
      </c>
      <c r="O328">
        <v>49.396103598573703</v>
      </c>
      <c r="P328">
        <v>-0.12535202543329299</v>
      </c>
      <c r="Q328">
        <v>5.8394245451058702E-2</v>
      </c>
      <c r="R328">
        <v>0.99626866388929103</v>
      </c>
      <c r="S328" t="s">
        <v>4160</v>
      </c>
      <c r="T328" t="s">
        <v>7662</v>
      </c>
      <c r="U328" t="s">
        <v>7662</v>
      </c>
      <c r="V328" t="s">
        <v>7662</v>
      </c>
      <c r="W328">
        <v>17</v>
      </c>
      <c r="X328" t="s">
        <v>7990</v>
      </c>
      <c r="Y328">
        <v>0.3698057304655738</v>
      </c>
      <c r="Z328" t="str">
        <f>HYPERLINK("Melting_Curves/meltCurve_sp_O95394_AGM1_HUMAN_.pdf", "Melting_Curves/meltCurve_sp_O95394_AGM1_HUMAN_.pdf")</f>
        <v>Melting_Curves/meltCurve_sp_O95394_AGM1_HUMAN_.pdf</v>
      </c>
      <c r="AA328" t="s">
        <v>11817</v>
      </c>
      <c r="AB328" t="s">
        <v>15569</v>
      </c>
    </row>
    <row r="329" spans="1:28" x14ac:dyDescent="0.25">
      <c r="A329" t="s">
        <v>333</v>
      </c>
      <c r="B329">
        <v>0.98876768158843997</v>
      </c>
      <c r="C329">
        <v>0.89452295747822896</v>
      </c>
      <c r="D329">
        <v>0.80489590352028295</v>
      </c>
      <c r="E329">
        <v>0.44683091281172099</v>
      </c>
      <c r="F329">
        <v>0.25944324627187698</v>
      </c>
      <c r="G329">
        <v>0.15042963681355301</v>
      </c>
      <c r="H329">
        <v>0.104749389846904</v>
      </c>
      <c r="I329">
        <v>0.10449050402625699</v>
      </c>
      <c r="J329">
        <v>0.12484132251612901</v>
      </c>
      <c r="K329">
        <v>9.8728466381836202E-2</v>
      </c>
      <c r="L329">
        <v>917.89339650210695</v>
      </c>
      <c r="M329">
        <v>18.807862604291</v>
      </c>
      <c r="N329">
        <v>49.371128012722501</v>
      </c>
      <c r="O329">
        <v>48.2620209574279</v>
      </c>
      <c r="P329">
        <v>-8.7960028239586693E-2</v>
      </c>
      <c r="Q329">
        <v>9.7196197453488398E-2</v>
      </c>
      <c r="R329">
        <v>0.99744229561069198</v>
      </c>
      <c r="S329" t="s">
        <v>4161</v>
      </c>
      <c r="T329" t="s">
        <v>7662</v>
      </c>
      <c r="U329" t="s">
        <v>7662</v>
      </c>
      <c r="V329" t="s">
        <v>7662</v>
      </c>
      <c r="W329">
        <v>8</v>
      </c>
      <c r="X329" t="s">
        <v>7991</v>
      </c>
      <c r="Y329">
        <v>0.37649472203429107</v>
      </c>
      <c r="Z329" t="str">
        <f>HYPERLINK("Melting_Curves/meltCurve_sp_O95396_MOCS3_HUMAN_.pdf", "Melting_Curves/meltCurve_sp_O95396_MOCS3_HUMAN_.pdf")</f>
        <v>Melting_Curves/meltCurve_sp_O95396_MOCS3_HUMAN_.pdf</v>
      </c>
      <c r="AA329" t="s">
        <v>11818</v>
      </c>
      <c r="AB329" t="s">
        <v>15570</v>
      </c>
    </row>
    <row r="330" spans="1:28" x14ac:dyDescent="0.25">
      <c r="A330" t="s">
        <v>334</v>
      </c>
      <c r="B330">
        <v>0.98876768158843997</v>
      </c>
      <c r="C330">
        <v>0.99709496637550099</v>
      </c>
      <c r="D330">
        <v>0.94792838232659205</v>
      </c>
      <c r="E330">
        <v>0.81108053177080197</v>
      </c>
      <c r="F330">
        <v>0.62513945863293596</v>
      </c>
      <c r="G330">
        <v>0.396914524179724</v>
      </c>
      <c r="H330">
        <v>0.242891329497429</v>
      </c>
      <c r="I330">
        <v>0.167423457068889</v>
      </c>
      <c r="J330">
        <v>0.122202113150975</v>
      </c>
      <c r="K330">
        <v>9.3432108942273606E-2</v>
      </c>
      <c r="L330">
        <v>787.50684229712897</v>
      </c>
      <c r="M330">
        <v>14.401384590534301</v>
      </c>
      <c r="N330">
        <v>55.184962429713899</v>
      </c>
      <c r="O330">
        <v>53.660776325789499</v>
      </c>
      <c r="P330">
        <v>-6.2980995915132607E-2</v>
      </c>
      <c r="Q330">
        <v>6.1421153436253297E-2</v>
      </c>
      <c r="R330">
        <v>0.99955095646690795</v>
      </c>
      <c r="S330" t="s">
        <v>4162</v>
      </c>
      <c r="T330" t="s">
        <v>7662</v>
      </c>
      <c r="U330" t="s">
        <v>7662</v>
      </c>
      <c r="V330" t="s">
        <v>7662</v>
      </c>
      <c r="W330">
        <v>1</v>
      </c>
      <c r="X330" t="s">
        <v>7992</v>
      </c>
      <c r="Y330">
        <v>0.54011771193933955</v>
      </c>
      <c r="Z330" t="str">
        <f>HYPERLINK("Melting_Curves/meltCurve_sp_O95399_UTS2_HUMAN_.pdf", "Melting_Curves/meltCurve_sp_O95399_UTS2_HUMAN_.pdf")</f>
        <v>Melting_Curves/meltCurve_sp_O95399_UTS2_HUMAN_.pdf</v>
      </c>
      <c r="AA330" t="s">
        <v>11819</v>
      </c>
      <c r="AB330" t="s">
        <v>15571</v>
      </c>
    </row>
    <row r="331" spans="1:28" x14ac:dyDescent="0.25">
      <c r="A331" t="s">
        <v>335</v>
      </c>
      <c r="B331">
        <v>0.98876768158843997</v>
      </c>
      <c r="C331">
        <v>1.0384720497789801</v>
      </c>
      <c r="D331">
        <v>1.0059728578699301</v>
      </c>
      <c r="E331">
        <v>0.80273310853771396</v>
      </c>
      <c r="F331">
        <v>0.63034725797015401</v>
      </c>
      <c r="G331">
        <v>0.42004267709127602</v>
      </c>
      <c r="H331">
        <v>0.36551013660584197</v>
      </c>
      <c r="I331">
        <v>0.407865329125839</v>
      </c>
      <c r="J331">
        <v>0.46411891090317497</v>
      </c>
      <c r="K331">
        <v>0.45979415751043601</v>
      </c>
      <c r="L331">
        <v>1493.1616981444799</v>
      </c>
      <c r="M331">
        <v>28.985977957223799</v>
      </c>
      <c r="N331">
        <v>54.953875584231199</v>
      </c>
      <c r="O331">
        <v>51.269923786383202</v>
      </c>
      <c r="P331">
        <v>-8.2180721641569004E-2</v>
      </c>
      <c r="Q331">
        <v>0.41856467699877198</v>
      </c>
      <c r="R331">
        <v>0.98157926217090397</v>
      </c>
      <c r="S331" t="s">
        <v>4163</v>
      </c>
      <c r="T331" t="s">
        <v>7662</v>
      </c>
      <c r="U331" t="s">
        <v>7662</v>
      </c>
      <c r="V331" t="s">
        <v>7662</v>
      </c>
      <c r="W331">
        <v>1</v>
      </c>
      <c r="X331" t="s">
        <v>7993</v>
      </c>
      <c r="Y331">
        <v>0.64565230997412804</v>
      </c>
      <c r="Z331" t="str">
        <f>HYPERLINK("Melting_Curves/meltCurve_sp_O95400_CD2B2_HUMAN_.pdf", "Melting_Curves/meltCurve_sp_O95400_CD2B2_HUMAN_.pdf")</f>
        <v>Melting_Curves/meltCurve_sp_O95400_CD2B2_HUMAN_.pdf</v>
      </c>
      <c r="AA331" t="s">
        <v>11820</v>
      </c>
      <c r="AB331" t="s">
        <v>15572</v>
      </c>
    </row>
    <row r="332" spans="1:28" x14ac:dyDescent="0.25">
      <c r="A332" t="s">
        <v>336</v>
      </c>
      <c r="B332">
        <v>0.98876768158843997</v>
      </c>
      <c r="C332">
        <v>0.98823401129646804</v>
      </c>
      <c r="D332">
        <v>0.85097606038929496</v>
      </c>
      <c r="E332">
        <v>0.69022817518095803</v>
      </c>
      <c r="F332">
        <v>0.74510045487450305</v>
      </c>
      <c r="G332">
        <v>0.50732536497044001</v>
      </c>
      <c r="H332">
        <v>0.36362921235365803</v>
      </c>
      <c r="I332">
        <v>0.42342358783141198</v>
      </c>
      <c r="J332">
        <v>0.487616338800966</v>
      </c>
      <c r="K332">
        <v>0.594496147510989</v>
      </c>
      <c r="L332">
        <v>753.68447927397199</v>
      </c>
      <c r="M332">
        <v>15.0490799043442</v>
      </c>
      <c r="N332">
        <v>60.137609735581897</v>
      </c>
      <c r="O332">
        <v>49.222406363024298</v>
      </c>
      <c r="P332">
        <v>-4.13071369975734E-2</v>
      </c>
      <c r="Q332">
        <v>0.45962573064387502</v>
      </c>
      <c r="R332">
        <v>0.87856508297930802</v>
      </c>
      <c r="S332" t="s">
        <v>4164</v>
      </c>
      <c r="T332" t="s">
        <v>7662</v>
      </c>
      <c r="U332" t="s">
        <v>7662</v>
      </c>
      <c r="V332" t="s">
        <v>7662</v>
      </c>
      <c r="W332">
        <v>2</v>
      </c>
      <c r="X332" t="s">
        <v>7994</v>
      </c>
      <c r="Y332">
        <v>0.65400153848041098</v>
      </c>
      <c r="Z332" t="str">
        <f>HYPERLINK("Melting_Curves/meltCurve_sp_O95425_2_SVIL_HUMAN_.pdf", "Melting_Curves/meltCurve_sp_O95425_2_SVIL_HUMAN_.pdf")</f>
        <v>Melting_Curves/meltCurve_sp_O95425_2_SVIL_HUMAN_.pdf</v>
      </c>
      <c r="AA332" t="s">
        <v>11821</v>
      </c>
      <c r="AB332" t="s">
        <v>15573</v>
      </c>
    </row>
    <row r="333" spans="1:28" x14ac:dyDescent="0.25">
      <c r="A333" t="s">
        <v>337</v>
      </c>
      <c r="B333">
        <v>0.98876768158843997</v>
      </c>
      <c r="C333">
        <v>1.0524686764503799</v>
      </c>
      <c r="D333">
        <v>0.86469597984348001</v>
      </c>
      <c r="E333">
        <v>0.71143375908582995</v>
      </c>
      <c r="F333">
        <v>0.62604354721177702</v>
      </c>
      <c r="G333">
        <v>0.19684234715615101</v>
      </c>
      <c r="H333">
        <v>8.9706526655819394E-2</v>
      </c>
      <c r="I333">
        <v>6.9159576786840898E-2</v>
      </c>
      <c r="J333">
        <v>7.9948294818954296E-2</v>
      </c>
      <c r="K333">
        <v>6.4616544870215897E-2</v>
      </c>
      <c r="L333">
        <v>927.471744159732</v>
      </c>
      <c r="M333">
        <v>17.448190211967901</v>
      </c>
      <c r="N333">
        <v>53.331588384567297</v>
      </c>
      <c r="O333">
        <v>52.472266131439</v>
      </c>
      <c r="P333">
        <v>-8.0811551400286397E-2</v>
      </c>
      <c r="Q333">
        <v>2.7949916861692299E-2</v>
      </c>
      <c r="R333">
        <v>0.98180087884894995</v>
      </c>
      <c r="S333" t="s">
        <v>4165</v>
      </c>
      <c r="T333" t="s">
        <v>7662</v>
      </c>
      <c r="U333" t="s">
        <v>7662</v>
      </c>
      <c r="V333" t="s">
        <v>7662</v>
      </c>
      <c r="W333">
        <v>13</v>
      </c>
      <c r="X333" t="s">
        <v>7995</v>
      </c>
      <c r="Y333">
        <v>0.4708791984125989</v>
      </c>
      <c r="Z333" t="str">
        <f>HYPERLINK("Melting_Curves/meltCurve_sp_O95433_AHSA1_HUMAN_.pdf", "Melting_Curves/meltCurve_sp_O95433_AHSA1_HUMAN_.pdf")</f>
        <v>Melting_Curves/meltCurve_sp_O95433_AHSA1_HUMAN_.pdf</v>
      </c>
      <c r="AA333" t="s">
        <v>11822</v>
      </c>
      <c r="AB333" t="s">
        <v>15574</v>
      </c>
    </row>
    <row r="334" spans="1:28" x14ac:dyDescent="0.25">
      <c r="A334" t="s">
        <v>338</v>
      </c>
      <c r="B334">
        <v>0.98876768158843997</v>
      </c>
      <c r="C334">
        <v>0.92691325537806002</v>
      </c>
      <c r="D334">
        <v>0.97344213421834602</v>
      </c>
      <c r="E334">
        <v>0.78177201849253197</v>
      </c>
      <c r="F334">
        <v>0.48596415014781202</v>
      </c>
      <c r="G334">
        <v>0.20199009354619499</v>
      </c>
      <c r="H334">
        <v>8.5105067866554293E-2</v>
      </c>
      <c r="I334">
        <v>0.12695870071011001</v>
      </c>
      <c r="J334">
        <v>0.100737737211386</v>
      </c>
      <c r="K334">
        <v>0.114351636005282</v>
      </c>
      <c r="L334">
        <v>1300.85345094221</v>
      </c>
      <c r="M334">
        <v>24.8548019167417</v>
      </c>
      <c r="N334">
        <v>52.798799314364501</v>
      </c>
      <c r="O334">
        <v>52.002837442135998</v>
      </c>
      <c r="P334">
        <v>-0.10784168244965101</v>
      </c>
      <c r="Q334">
        <v>9.7478822338369506E-2</v>
      </c>
      <c r="R334">
        <v>0.99506335008454805</v>
      </c>
      <c r="S334" t="s">
        <v>4166</v>
      </c>
      <c r="T334" t="s">
        <v>7662</v>
      </c>
      <c r="U334" t="s">
        <v>7662</v>
      </c>
      <c r="V334" t="s">
        <v>7662</v>
      </c>
      <c r="W334">
        <v>1</v>
      </c>
      <c r="X334" t="s">
        <v>7996</v>
      </c>
      <c r="Y334">
        <v>0.47701683990449512</v>
      </c>
      <c r="Z334" t="str">
        <f>HYPERLINK("Melting_Curves/meltCurve_sp_O95453_2_PARN_HUMAN_.pdf", "Melting_Curves/meltCurve_sp_O95453_2_PARN_HUMAN_.pdf")</f>
        <v>Melting_Curves/meltCurve_sp_O95453_2_PARN_HUMAN_.pdf</v>
      </c>
      <c r="AA334" t="s">
        <v>11823</v>
      </c>
      <c r="AB334" t="s">
        <v>15575</v>
      </c>
    </row>
    <row r="335" spans="1:28" x14ac:dyDescent="0.25">
      <c r="A335" t="s">
        <v>339</v>
      </c>
      <c r="B335">
        <v>0.98876768158843997</v>
      </c>
      <c r="C335">
        <v>0.97031234842523095</v>
      </c>
      <c r="D335">
        <v>0.91425862853094197</v>
      </c>
      <c r="E335">
        <v>0.79742923073206096</v>
      </c>
      <c r="F335">
        <v>0.64040869190541805</v>
      </c>
      <c r="G335">
        <v>0.40091049200957002</v>
      </c>
      <c r="H335">
        <v>0.21651412021800601</v>
      </c>
      <c r="I335">
        <v>0.104775612659657</v>
      </c>
      <c r="J335">
        <v>6.1829487797486399E-2</v>
      </c>
      <c r="K335">
        <v>4.4229274252612999E-2</v>
      </c>
      <c r="L335">
        <v>761.42626874255302</v>
      </c>
      <c r="M335">
        <v>13.821173156459301</v>
      </c>
      <c r="N335">
        <v>55.091276245503003</v>
      </c>
      <c r="O335">
        <v>53.976417053846802</v>
      </c>
      <c r="P335">
        <v>-6.4023791928773902E-2</v>
      </c>
      <c r="Q335">
        <v>0</v>
      </c>
      <c r="R335">
        <v>0.99857892907313495</v>
      </c>
      <c r="S335" t="s">
        <v>4167</v>
      </c>
      <c r="T335" t="s">
        <v>7662</v>
      </c>
      <c r="U335" t="s">
        <v>7662</v>
      </c>
      <c r="V335" t="s">
        <v>7662</v>
      </c>
      <c r="W335">
        <v>5</v>
      </c>
      <c r="X335" t="s">
        <v>7997</v>
      </c>
      <c r="Y335">
        <v>0.52379270356854257</v>
      </c>
      <c r="Z335" t="str">
        <f>HYPERLINK("Melting_Curves/meltCurve_sp_O95456_2_PSMG1_HUMAN_.pdf", "Melting_Curves/meltCurve_sp_O95456_2_PSMG1_HUMAN_.pdf")</f>
        <v>Melting_Curves/meltCurve_sp_O95456_2_PSMG1_HUMAN_.pdf</v>
      </c>
      <c r="AA335" t="s">
        <v>11824</v>
      </c>
      <c r="AB335" t="s">
        <v>15576</v>
      </c>
    </row>
    <row r="336" spans="1:28" x14ac:dyDescent="0.25">
      <c r="A336" t="s">
        <v>340</v>
      </c>
      <c r="B336">
        <v>0.98876768158843997</v>
      </c>
      <c r="C336">
        <v>0.83138561736579697</v>
      </c>
      <c r="D336">
        <v>1.0369374640629201</v>
      </c>
      <c r="E336">
        <v>0.88797192929644597</v>
      </c>
      <c r="F336">
        <v>0.15442023379837999</v>
      </c>
      <c r="G336">
        <v>8.4761906648710098E-2</v>
      </c>
      <c r="H336">
        <v>4.5267525145912597E-2</v>
      </c>
      <c r="I336">
        <v>3.8994273757275197E-2</v>
      </c>
      <c r="J336">
        <v>4.26169988835748E-2</v>
      </c>
      <c r="K336">
        <v>3.7378149466676697E-2</v>
      </c>
      <c r="L336">
        <v>3613.6027765568601</v>
      </c>
      <c r="M336">
        <v>70.261018979122099</v>
      </c>
      <c r="N336">
        <v>51.507521913288201</v>
      </c>
      <c r="O336">
        <v>51.389483281387399</v>
      </c>
      <c r="P336">
        <v>-0.32489143660262898</v>
      </c>
      <c r="Q336">
        <v>4.9486871627523403E-2</v>
      </c>
      <c r="R336">
        <v>0.98300190982206004</v>
      </c>
      <c r="S336" t="s">
        <v>4168</v>
      </c>
      <c r="T336" t="s">
        <v>7662</v>
      </c>
      <c r="U336" t="s">
        <v>7662</v>
      </c>
      <c r="V336" t="s">
        <v>7662</v>
      </c>
      <c r="W336">
        <v>25</v>
      </c>
      <c r="X336" t="s">
        <v>7998</v>
      </c>
      <c r="Y336">
        <v>0.41275681959202032</v>
      </c>
      <c r="Z336" t="str">
        <f>HYPERLINK("Melting_Curves/meltCurve_sp_O95479_G6PE_HUMAN_.pdf", "Melting_Curves/meltCurve_sp_O95479_G6PE_HUMAN_.pdf")</f>
        <v>Melting_Curves/meltCurve_sp_O95479_G6PE_HUMAN_.pdf</v>
      </c>
      <c r="AA336" t="s">
        <v>11825</v>
      </c>
      <c r="AB336" t="s">
        <v>15577</v>
      </c>
    </row>
    <row r="337" spans="1:28" x14ac:dyDescent="0.25">
      <c r="A337" t="s">
        <v>341</v>
      </c>
      <c r="B337">
        <v>0.98876768158843997</v>
      </c>
      <c r="C337">
        <v>0.85410012055801898</v>
      </c>
      <c r="D337">
        <v>0.97659703169162804</v>
      </c>
      <c r="E337">
        <v>0.685049811272331</v>
      </c>
      <c r="F337">
        <v>0.159165335271964</v>
      </c>
      <c r="G337">
        <v>0.119861114674401</v>
      </c>
      <c r="H337">
        <v>0.103051229488824</v>
      </c>
      <c r="I337">
        <v>0.11980078533142501</v>
      </c>
      <c r="J337">
        <v>9.9897131956627402E-2</v>
      </c>
      <c r="K337">
        <v>5.4924422714592698E-2</v>
      </c>
      <c r="L337">
        <v>2816.4877235589302</v>
      </c>
      <c r="M337">
        <v>55.7138858183677</v>
      </c>
      <c r="N337">
        <v>50.752784971302901</v>
      </c>
      <c r="O337">
        <v>50.487710905383402</v>
      </c>
      <c r="P337">
        <v>-0.248677877040509</v>
      </c>
      <c r="Q337">
        <v>9.8596885461496503E-2</v>
      </c>
      <c r="R337">
        <v>0.98335905874051099</v>
      </c>
      <c r="S337" t="s">
        <v>4169</v>
      </c>
      <c r="T337" t="s">
        <v>7662</v>
      </c>
      <c r="U337" t="s">
        <v>7662</v>
      </c>
      <c r="V337" t="s">
        <v>7662</v>
      </c>
      <c r="W337">
        <v>18</v>
      </c>
      <c r="X337" t="s">
        <v>7999</v>
      </c>
      <c r="Y337">
        <v>0.41728875604768401</v>
      </c>
      <c r="Z337" t="str">
        <f>HYPERLINK("Melting_Curves/meltCurve_sp_O95486_SC24A_HUMAN_.pdf", "Melting_Curves/meltCurve_sp_O95486_SC24A_HUMAN_.pdf")</f>
        <v>Melting_Curves/meltCurve_sp_O95486_SC24A_HUMAN_.pdf</v>
      </c>
      <c r="AA337" t="s">
        <v>11826</v>
      </c>
      <c r="AB337" t="s">
        <v>15578</v>
      </c>
    </row>
    <row r="338" spans="1:28" x14ac:dyDescent="0.25">
      <c r="A338" t="s">
        <v>342</v>
      </c>
      <c r="B338">
        <v>0.98876768158843997</v>
      </c>
      <c r="C338">
        <v>0.82947187589701898</v>
      </c>
      <c r="D338">
        <v>0.89788825396313698</v>
      </c>
      <c r="E338">
        <v>0.33098505775992998</v>
      </c>
      <c r="F338">
        <v>0.240808525470109</v>
      </c>
      <c r="G338">
        <v>0.15862069821448799</v>
      </c>
      <c r="H338">
        <v>0.106661865775556</v>
      </c>
      <c r="I338">
        <v>0.131480518964188</v>
      </c>
      <c r="J338">
        <v>0.17398588493601</v>
      </c>
      <c r="K338">
        <v>0.164800578968294</v>
      </c>
      <c r="L338">
        <v>1503.86915963774</v>
      </c>
      <c r="M338">
        <v>31.159266260912599</v>
      </c>
      <c r="N338">
        <v>48.8197291772697</v>
      </c>
      <c r="O338">
        <v>48.066460422910801</v>
      </c>
      <c r="P338">
        <v>-0.137864396469977</v>
      </c>
      <c r="Q338">
        <v>0.14932319881651701</v>
      </c>
      <c r="R338">
        <v>0.97165850243151597</v>
      </c>
      <c r="S338" t="s">
        <v>4170</v>
      </c>
      <c r="T338" t="s">
        <v>7662</v>
      </c>
      <c r="U338" t="s">
        <v>7662</v>
      </c>
      <c r="V338" t="s">
        <v>7662</v>
      </c>
      <c r="W338">
        <v>10</v>
      </c>
      <c r="X338" t="s">
        <v>8000</v>
      </c>
      <c r="Y338">
        <v>0.38839982028293718</v>
      </c>
      <c r="Z338" t="str">
        <f>HYPERLINK("Melting_Curves/meltCurve_sp_O95487_2_SC24B_HUMAN_.pdf", "Melting_Curves/meltCurve_sp_O95487_2_SC24B_HUMAN_.pdf")</f>
        <v>Melting_Curves/meltCurve_sp_O95487_2_SC24B_HUMAN_.pdf</v>
      </c>
      <c r="AA338" t="s">
        <v>11827</v>
      </c>
      <c r="AB338" t="s">
        <v>15579</v>
      </c>
    </row>
    <row r="339" spans="1:28" x14ac:dyDescent="0.25">
      <c r="A339" t="s">
        <v>343</v>
      </c>
      <c r="B339">
        <v>0.98876768158843997</v>
      </c>
      <c r="C339">
        <v>0.75270464805363102</v>
      </c>
      <c r="D339">
        <v>1.22803146152316</v>
      </c>
      <c r="E339">
        <v>0.65839145292246004</v>
      </c>
      <c r="F339">
        <v>0.58611085592186896</v>
      </c>
      <c r="G339">
        <v>0.36937672801907101</v>
      </c>
      <c r="H339">
        <v>0.37066420079085999</v>
      </c>
      <c r="I339">
        <v>0.32635989425716</v>
      </c>
      <c r="J339">
        <v>0.16434928287394099</v>
      </c>
      <c r="K339">
        <v>0</v>
      </c>
      <c r="L339">
        <v>565.02800240293095</v>
      </c>
      <c r="M339">
        <v>10.135344444341101</v>
      </c>
      <c r="N339">
        <v>55.748278264799097</v>
      </c>
      <c r="O339">
        <v>53.708630099986401</v>
      </c>
      <c r="P339">
        <v>-4.7199245174465998E-2</v>
      </c>
      <c r="Q339">
        <v>0</v>
      </c>
      <c r="R339">
        <v>0.84208644017365797</v>
      </c>
      <c r="S339" t="s">
        <v>4171</v>
      </c>
      <c r="T339" t="s">
        <v>7662</v>
      </c>
      <c r="U339" t="s">
        <v>7662</v>
      </c>
      <c r="V339" t="s">
        <v>7662</v>
      </c>
      <c r="W339">
        <v>1</v>
      </c>
      <c r="X339" t="s">
        <v>8001</v>
      </c>
      <c r="Y339">
        <v>0.54725348779878047</v>
      </c>
      <c r="Z339" t="str">
        <f>HYPERLINK("Melting_Curves/meltCurve_sp_O95497_VNN1_HUMAN_.pdf", "Melting_Curves/meltCurve_sp_O95497_VNN1_HUMAN_.pdf")</f>
        <v>Melting_Curves/meltCurve_sp_O95497_VNN1_HUMAN_.pdf</v>
      </c>
      <c r="AA339" t="s">
        <v>11828</v>
      </c>
      <c r="AB339" t="s">
        <v>15580</v>
      </c>
    </row>
    <row r="340" spans="1:28" x14ac:dyDescent="0.25">
      <c r="A340" t="s">
        <v>344</v>
      </c>
      <c r="B340">
        <v>0.98876768158843997</v>
      </c>
      <c r="C340">
        <v>0.85292821920739503</v>
      </c>
      <c r="D340">
        <v>0.89492556193455997</v>
      </c>
      <c r="E340">
        <v>0.81301848390560505</v>
      </c>
      <c r="F340">
        <v>0.53061359751154302</v>
      </c>
      <c r="G340">
        <v>0.43836037535921302</v>
      </c>
      <c r="H340">
        <v>0.35394440849297298</v>
      </c>
      <c r="I340">
        <v>0.45902881372329202</v>
      </c>
      <c r="J340">
        <v>0.48011240860075999</v>
      </c>
      <c r="K340">
        <v>0.35371848634299802</v>
      </c>
      <c r="L340">
        <v>929.19684211433298</v>
      </c>
      <c r="M340">
        <v>18.358934574521101</v>
      </c>
      <c r="N340">
        <v>55.267917666674897</v>
      </c>
      <c r="O340">
        <v>50.023747864936198</v>
      </c>
      <c r="P340">
        <v>-5.5650703849190797E-2</v>
      </c>
      <c r="Q340">
        <v>0.393487741784391</v>
      </c>
      <c r="R340">
        <v>0.92249081056726701</v>
      </c>
      <c r="S340" t="s">
        <v>4172</v>
      </c>
      <c r="T340" t="s">
        <v>7662</v>
      </c>
      <c r="U340" t="s">
        <v>7662</v>
      </c>
      <c r="V340" t="s">
        <v>7662</v>
      </c>
      <c r="W340">
        <v>3</v>
      </c>
      <c r="X340" t="s">
        <v>8002</v>
      </c>
      <c r="Y340">
        <v>0.61794522861828449</v>
      </c>
      <c r="Z340" t="str">
        <f>HYPERLINK("Melting_Curves/meltCurve_sp_O95544_NADK_HUMAN_.pdf", "Melting_Curves/meltCurve_sp_O95544_NADK_HUMAN_.pdf")</f>
        <v>Melting_Curves/meltCurve_sp_O95544_NADK_HUMAN_.pdf</v>
      </c>
      <c r="AA340" t="s">
        <v>11829</v>
      </c>
      <c r="AB340" t="s">
        <v>15581</v>
      </c>
    </row>
    <row r="341" spans="1:28" x14ac:dyDescent="0.25">
      <c r="A341" t="s">
        <v>345</v>
      </c>
      <c r="B341">
        <v>0.98876768158843997</v>
      </c>
      <c r="C341">
        <v>1.0217787824234399</v>
      </c>
      <c r="D341">
        <v>0.88304831019249397</v>
      </c>
      <c r="E341">
        <v>0.39994631362272498</v>
      </c>
      <c r="F341">
        <v>0.21184901119989599</v>
      </c>
      <c r="G341">
        <v>9.3718541498061594E-2</v>
      </c>
      <c r="H341">
        <v>7.3314335691448698E-2</v>
      </c>
      <c r="I341">
        <v>4.0964676376610998E-2</v>
      </c>
      <c r="J341">
        <v>1.73809049687495E-2</v>
      </c>
      <c r="K341">
        <v>2.52884286612278E-2</v>
      </c>
      <c r="L341">
        <v>1267.5153767967199</v>
      </c>
      <c r="M341">
        <v>25.736318188356101</v>
      </c>
      <c r="N341">
        <v>49.431037918546103</v>
      </c>
      <c r="O341">
        <v>48.955603018995802</v>
      </c>
      <c r="P341">
        <v>-0.125519385831415</v>
      </c>
      <c r="Q341">
        <v>4.4959960361269903E-2</v>
      </c>
      <c r="R341">
        <v>0.99599646133508701</v>
      </c>
      <c r="S341" t="s">
        <v>4173</v>
      </c>
      <c r="T341" t="s">
        <v>7662</v>
      </c>
      <c r="U341" t="s">
        <v>7662</v>
      </c>
      <c r="V341" t="s">
        <v>7662</v>
      </c>
      <c r="W341">
        <v>2</v>
      </c>
      <c r="X341" t="s">
        <v>8003</v>
      </c>
      <c r="Y341">
        <v>0.34742154609820208</v>
      </c>
      <c r="Z341" t="str">
        <f>HYPERLINK("Melting_Curves/meltCurve_sp_O95551_3_TYDP2_HUMAN_.pdf", "Melting_Curves/meltCurve_sp_O95551_3_TYDP2_HUMAN_.pdf")</f>
        <v>Melting_Curves/meltCurve_sp_O95551_3_TYDP2_HUMAN_.pdf</v>
      </c>
      <c r="AA341" t="s">
        <v>11830</v>
      </c>
      <c r="AB341" t="s">
        <v>15582</v>
      </c>
    </row>
    <row r="342" spans="1:28" x14ac:dyDescent="0.25">
      <c r="A342" t="s">
        <v>346</v>
      </c>
      <c r="B342">
        <v>0.98876768158843997</v>
      </c>
      <c r="C342">
        <v>1.0629179393378201</v>
      </c>
      <c r="D342">
        <v>0.832058256509567</v>
      </c>
      <c r="E342">
        <v>0.74903833653448104</v>
      </c>
      <c r="F342">
        <v>0.82509536975342102</v>
      </c>
      <c r="G342">
        <v>0.45888699619721401</v>
      </c>
      <c r="H342">
        <v>0.23887471385126999</v>
      </c>
      <c r="I342">
        <v>9.6372543133977195E-2</v>
      </c>
      <c r="J342">
        <v>4.3968846789522301E-2</v>
      </c>
      <c r="K342">
        <v>3.1184762268196501E-2</v>
      </c>
      <c r="L342">
        <v>848.97391844847596</v>
      </c>
      <c r="M342">
        <v>15.1003065184011</v>
      </c>
      <c r="N342">
        <v>56.222290825335499</v>
      </c>
      <c r="O342">
        <v>55.263944005042099</v>
      </c>
      <c r="P342">
        <v>-6.8316688474020795E-2</v>
      </c>
      <c r="Q342">
        <v>0</v>
      </c>
      <c r="R342">
        <v>0.96425844409779604</v>
      </c>
      <c r="S342" t="s">
        <v>4174</v>
      </c>
      <c r="T342" t="s">
        <v>7662</v>
      </c>
      <c r="U342" t="s">
        <v>7662</v>
      </c>
      <c r="V342" t="s">
        <v>7662</v>
      </c>
      <c r="W342">
        <v>13</v>
      </c>
      <c r="X342" t="s">
        <v>8004</v>
      </c>
      <c r="Y342">
        <v>0.55800166088405734</v>
      </c>
      <c r="Z342" t="str">
        <f>HYPERLINK("Melting_Curves/meltCurve_sp_O95571_ETHE1_HUMAN_.pdf", "Melting_Curves/meltCurve_sp_O95571_ETHE1_HUMAN_.pdf")</f>
        <v>Melting_Curves/meltCurve_sp_O95571_ETHE1_HUMAN_.pdf</v>
      </c>
      <c r="AA342" t="s">
        <v>11831</v>
      </c>
      <c r="AB342" t="s">
        <v>15583</v>
      </c>
    </row>
    <row r="343" spans="1:28" x14ac:dyDescent="0.25">
      <c r="A343" t="s">
        <v>347</v>
      </c>
      <c r="B343">
        <v>0.98876768158843997</v>
      </c>
      <c r="C343">
        <v>0.94713906914383295</v>
      </c>
      <c r="D343">
        <v>0.80473303533312401</v>
      </c>
      <c r="E343">
        <v>0.68269624552966801</v>
      </c>
      <c r="F343">
        <v>0.66042771091230001</v>
      </c>
      <c r="G343">
        <v>0.406493385225905</v>
      </c>
      <c r="H343">
        <v>0.33232334140302699</v>
      </c>
      <c r="I343">
        <v>0.27435589888688899</v>
      </c>
      <c r="J343">
        <v>0.26365381319596098</v>
      </c>
      <c r="K343">
        <v>0.30789444166597002</v>
      </c>
      <c r="L343">
        <v>563.87190398775897</v>
      </c>
      <c r="M343">
        <v>10.7799157627433</v>
      </c>
      <c r="N343">
        <v>55.0765384952701</v>
      </c>
      <c r="O343">
        <v>50.6040302747044</v>
      </c>
      <c r="P343">
        <v>-4.2130810906178699E-2</v>
      </c>
      <c r="Q343">
        <v>0.20919147724602499</v>
      </c>
      <c r="R343">
        <v>0.97900347471208704</v>
      </c>
      <c r="S343" t="s">
        <v>4175</v>
      </c>
      <c r="T343" t="s">
        <v>7662</v>
      </c>
      <c r="U343" t="s">
        <v>7662</v>
      </c>
      <c r="V343" t="s">
        <v>7662</v>
      </c>
      <c r="W343">
        <v>1</v>
      </c>
      <c r="X343" t="s">
        <v>8005</v>
      </c>
      <c r="Y343">
        <v>0.56049832196975413</v>
      </c>
      <c r="Z343" t="str">
        <f>HYPERLINK("Melting_Curves/meltCurve_sp_O95628_5_CNOT4_HUMAN_.pdf", "Melting_Curves/meltCurve_sp_O95628_5_CNOT4_HUMAN_.pdf")</f>
        <v>Melting_Curves/meltCurve_sp_O95628_5_CNOT4_HUMAN_.pdf</v>
      </c>
      <c r="AA343" t="s">
        <v>11832</v>
      </c>
      <c r="AB343" t="s">
        <v>15584</v>
      </c>
    </row>
    <row r="344" spans="1:28" x14ac:dyDescent="0.25">
      <c r="A344" t="s">
        <v>348</v>
      </c>
      <c r="B344">
        <v>0.98876768158843997</v>
      </c>
      <c r="C344">
        <v>1.0387631543951701</v>
      </c>
      <c r="D344">
        <v>0.84222711064424005</v>
      </c>
      <c r="E344">
        <v>0.73000692906626496</v>
      </c>
      <c r="F344">
        <v>0.58149370440813397</v>
      </c>
      <c r="G344">
        <v>0.25512828217651401</v>
      </c>
      <c r="H344">
        <v>0.14783444663982101</v>
      </c>
      <c r="I344">
        <v>0.145401214567355</v>
      </c>
      <c r="J344">
        <v>0.15686658234155401</v>
      </c>
      <c r="K344">
        <v>0.131001230929608</v>
      </c>
      <c r="L344">
        <v>873.83631887957995</v>
      </c>
      <c r="M344">
        <v>16.619390184187999</v>
      </c>
      <c r="N344">
        <v>53.318660071020098</v>
      </c>
      <c r="O344">
        <v>51.835752982913498</v>
      </c>
      <c r="P344">
        <v>-7.1910144919961297E-2</v>
      </c>
      <c r="Q344">
        <v>0.102911820634864</v>
      </c>
      <c r="R344">
        <v>0.98584589339405904</v>
      </c>
      <c r="S344" t="s">
        <v>4176</v>
      </c>
      <c r="T344" t="s">
        <v>7662</v>
      </c>
      <c r="U344" t="s">
        <v>7662</v>
      </c>
      <c r="V344" t="s">
        <v>7662</v>
      </c>
      <c r="W344">
        <v>11</v>
      </c>
      <c r="X344" t="s">
        <v>8006</v>
      </c>
      <c r="Y344">
        <v>0.49589258291103477</v>
      </c>
      <c r="Z344" t="str">
        <f>HYPERLINK("Melting_Curves/meltCurve_sp_O95630_STABP_HUMAN_.pdf", "Melting_Curves/meltCurve_sp_O95630_STABP_HUMAN_.pdf")</f>
        <v>Melting_Curves/meltCurve_sp_O95630_STABP_HUMAN_.pdf</v>
      </c>
      <c r="AA344" t="s">
        <v>11833</v>
      </c>
      <c r="AB344" t="s">
        <v>15585</v>
      </c>
    </row>
    <row r="345" spans="1:28" x14ac:dyDescent="0.25">
      <c r="A345" t="s">
        <v>349</v>
      </c>
      <c r="B345">
        <v>0.98876768158843997</v>
      </c>
      <c r="C345">
        <v>0.96898591559045899</v>
      </c>
      <c r="D345">
        <v>0.968259803593149</v>
      </c>
      <c r="E345">
        <v>0.78354032597458401</v>
      </c>
      <c r="F345">
        <v>0.272716350573808</v>
      </c>
      <c r="G345">
        <v>0.102538491427262</v>
      </c>
      <c r="H345">
        <v>5.9739296365219602E-2</v>
      </c>
      <c r="I345">
        <v>4.64973228526296E-2</v>
      </c>
      <c r="J345">
        <v>9.9038541320609699E-2</v>
      </c>
      <c r="K345">
        <v>3.6404473802401402E-2</v>
      </c>
      <c r="L345">
        <v>2103.8470454043099</v>
      </c>
      <c r="M345">
        <v>40.906863635949001</v>
      </c>
      <c r="N345">
        <v>51.603699204120403</v>
      </c>
      <c r="O345">
        <v>51.307722951039104</v>
      </c>
      <c r="P345">
        <v>-0.186513633207923</v>
      </c>
      <c r="Q345">
        <v>6.4257616483732197E-2</v>
      </c>
      <c r="R345">
        <v>0.99733197344769298</v>
      </c>
      <c r="S345" t="s">
        <v>4177</v>
      </c>
      <c r="T345" t="s">
        <v>7662</v>
      </c>
      <c r="U345" t="s">
        <v>7662</v>
      </c>
      <c r="V345" t="s">
        <v>7662</v>
      </c>
      <c r="W345">
        <v>17</v>
      </c>
      <c r="X345" t="s">
        <v>8007</v>
      </c>
      <c r="Y345">
        <v>0.42395990098386599</v>
      </c>
      <c r="Z345" t="str">
        <f>HYPERLINK("Melting_Curves/meltCurve_sp_O95671_2_ASML_HUMAN_.pdf", "Melting_Curves/meltCurve_sp_O95671_2_ASML_HUMAN_.pdf")</f>
        <v>Melting_Curves/meltCurve_sp_O95671_2_ASML_HUMAN_.pdf</v>
      </c>
      <c r="AA345" t="s">
        <v>11834</v>
      </c>
      <c r="AB345" t="s">
        <v>15586</v>
      </c>
    </row>
    <row r="346" spans="1:28" x14ac:dyDescent="0.25">
      <c r="A346" t="s">
        <v>350</v>
      </c>
      <c r="B346">
        <v>0.98876768158843997</v>
      </c>
      <c r="C346">
        <v>1.05403919246649</v>
      </c>
      <c r="D346">
        <v>0.92296505006135199</v>
      </c>
      <c r="E346">
        <v>0.67806138737613897</v>
      </c>
      <c r="F346">
        <v>0.56418864493465104</v>
      </c>
      <c r="G346">
        <v>0.38366489630629402</v>
      </c>
      <c r="H346">
        <v>0.29531440641283502</v>
      </c>
      <c r="I346">
        <v>0.35073087721622997</v>
      </c>
      <c r="J346">
        <v>0.49711877476188598</v>
      </c>
      <c r="K346">
        <v>0.40901651377014703</v>
      </c>
      <c r="L346">
        <v>1206.4654909108999</v>
      </c>
      <c r="M346">
        <v>24.080662841927801</v>
      </c>
      <c r="N346">
        <v>53.344941679693498</v>
      </c>
      <c r="O346">
        <v>49.759332319869102</v>
      </c>
      <c r="P346">
        <v>-7.4481393583757799E-2</v>
      </c>
      <c r="Q346">
        <v>0.38438793530076898</v>
      </c>
      <c r="R346">
        <v>0.95497891722402195</v>
      </c>
      <c r="S346" t="s">
        <v>4178</v>
      </c>
      <c r="T346" t="s">
        <v>7662</v>
      </c>
      <c r="U346" t="s">
        <v>7662</v>
      </c>
      <c r="V346" t="s">
        <v>7662</v>
      </c>
      <c r="W346">
        <v>2</v>
      </c>
      <c r="X346" t="s">
        <v>8008</v>
      </c>
      <c r="Y346">
        <v>0.59760182822733576</v>
      </c>
      <c r="Z346" t="str">
        <f>HYPERLINK("Melting_Curves/meltCurve_sp_O95684_2_FR1OP_HUMAN_.pdf", "Melting_Curves/meltCurve_sp_O95684_2_FR1OP_HUMAN_.pdf")</f>
        <v>Melting_Curves/meltCurve_sp_O95684_2_FR1OP_HUMAN_.pdf</v>
      </c>
      <c r="AA346" t="s">
        <v>11835</v>
      </c>
      <c r="AB346" t="s">
        <v>15587</v>
      </c>
    </row>
    <row r="347" spans="1:28" x14ac:dyDescent="0.25">
      <c r="A347" t="s">
        <v>351</v>
      </c>
      <c r="B347">
        <v>0.98876768158843997</v>
      </c>
      <c r="C347">
        <v>1.08816385795319</v>
      </c>
      <c r="D347">
        <v>0.15843653281737699</v>
      </c>
      <c r="E347">
        <v>0.54425337571602295</v>
      </c>
      <c r="F347">
        <v>0.772773928655069</v>
      </c>
      <c r="G347">
        <v>0.50532284343767597</v>
      </c>
      <c r="H347">
        <v>0.39722597403832699</v>
      </c>
      <c r="I347">
        <v>0.47579790157611301</v>
      </c>
      <c r="J347">
        <v>0.64324558000971699</v>
      </c>
      <c r="K347">
        <v>0.75130461560546302</v>
      </c>
      <c r="L347">
        <v>11068.570901545099</v>
      </c>
      <c r="M347">
        <v>250</v>
      </c>
      <c r="O347">
        <v>44.2714499208736</v>
      </c>
      <c r="P347">
        <v>-0.66204101341104304</v>
      </c>
      <c r="Q347">
        <v>0.53104774691633105</v>
      </c>
      <c r="R347">
        <v>0.58666256964024199</v>
      </c>
      <c r="S347" t="s">
        <v>4179</v>
      </c>
      <c r="T347" t="s">
        <v>7662</v>
      </c>
      <c r="U347" t="s">
        <v>7662</v>
      </c>
      <c r="V347" t="s">
        <v>7662</v>
      </c>
      <c r="W347">
        <v>7</v>
      </c>
      <c r="X347" t="s">
        <v>8009</v>
      </c>
      <c r="Y347">
        <v>0.5978986824058945</v>
      </c>
      <c r="Z347" t="str">
        <f>HYPERLINK("Melting_Curves/meltCurve_sp_O95721_SNP29_HUMAN_.pdf", "Melting_Curves/meltCurve_sp_O95721_SNP29_HUMAN_.pdf")</f>
        <v>Melting_Curves/meltCurve_sp_O95721_SNP29_HUMAN_.pdf</v>
      </c>
      <c r="AA347" t="s">
        <v>11836</v>
      </c>
      <c r="AB347" t="s">
        <v>15588</v>
      </c>
    </row>
    <row r="348" spans="1:28" x14ac:dyDescent="0.25">
      <c r="A348" t="s">
        <v>352</v>
      </c>
      <c r="B348">
        <v>0.98876768158843997</v>
      </c>
      <c r="C348">
        <v>0.84598811088209502</v>
      </c>
      <c r="D348">
        <v>0.58375767582676596</v>
      </c>
      <c r="E348">
        <v>0.29347176339809899</v>
      </c>
      <c r="F348">
        <v>0.246275097591168</v>
      </c>
      <c r="G348">
        <v>0.13545666647759999</v>
      </c>
      <c r="H348">
        <v>0.101357806177074</v>
      </c>
      <c r="I348">
        <v>9.5208129710151398E-2</v>
      </c>
      <c r="J348">
        <v>0.13069495034512499</v>
      </c>
      <c r="K348">
        <v>0.11098963764344399</v>
      </c>
      <c r="L348">
        <v>843.68020831037495</v>
      </c>
      <c r="M348">
        <v>18.139249587925701</v>
      </c>
      <c r="N348">
        <v>47.157478098884603</v>
      </c>
      <c r="O348">
        <v>45.957071337941898</v>
      </c>
      <c r="P348">
        <v>-8.7821452581788403E-2</v>
      </c>
      <c r="Q348">
        <v>0.110035161017246</v>
      </c>
      <c r="R348">
        <v>0.99489071752046199</v>
      </c>
      <c r="S348" t="s">
        <v>4180</v>
      </c>
      <c r="T348" t="s">
        <v>7662</v>
      </c>
      <c r="U348" t="s">
        <v>7662</v>
      </c>
      <c r="V348" t="s">
        <v>7662</v>
      </c>
      <c r="W348">
        <v>5</v>
      </c>
      <c r="X348" t="s">
        <v>8010</v>
      </c>
      <c r="Y348">
        <v>0.31977863253803002</v>
      </c>
      <c r="Z348" t="str">
        <f>HYPERLINK("Melting_Curves/meltCurve_sp_O95747_OXSR1_HUMAN_.pdf", "Melting_Curves/meltCurve_sp_O95747_OXSR1_HUMAN_.pdf")</f>
        <v>Melting_Curves/meltCurve_sp_O95747_OXSR1_HUMAN_.pdf</v>
      </c>
      <c r="AA348" t="s">
        <v>11837</v>
      </c>
      <c r="AB348" t="s">
        <v>15589</v>
      </c>
    </row>
    <row r="349" spans="1:28" x14ac:dyDescent="0.25">
      <c r="A349" t="s">
        <v>353</v>
      </c>
      <c r="B349">
        <v>0.98876768158843997</v>
      </c>
      <c r="C349">
        <v>0.83013464802987602</v>
      </c>
      <c r="D349">
        <v>0.91188044427327597</v>
      </c>
      <c r="E349">
        <v>0.41746963990119901</v>
      </c>
      <c r="F349">
        <v>0.18037240211510799</v>
      </c>
      <c r="G349">
        <v>0.10571768806584</v>
      </c>
      <c r="H349">
        <v>8.5799587354755597E-2</v>
      </c>
      <c r="I349">
        <v>6.29588025029547E-2</v>
      </c>
      <c r="J349">
        <v>0.110751988096219</v>
      </c>
      <c r="K349">
        <v>6.3679330162716694E-2</v>
      </c>
      <c r="L349">
        <v>1313.84371783131</v>
      </c>
      <c r="M349">
        <v>26.783462661528201</v>
      </c>
      <c r="N349">
        <v>49.367848523226897</v>
      </c>
      <c r="O349">
        <v>48.783275050327497</v>
      </c>
      <c r="P349">
        <v>-0.12652307326707399</v>
      </c>
      <c r="Q349">
        <v>7.8215265326268699E-2</v>
      </c>
      <c r="R349">
        <v>0.98013680738243003</v>
      </c>
      <c r="S349" t="s">
        <v>4181</v>
      </c>
      <c r="T349" t="s">
        <v>7662</v>
      </c>
      <c r="U349" t="s">
        <v>7662</v>
      </c>
      <c r="V349" t="s">
        <v>7662</v>
      </c>
      <c r="W349">
        <v>12</v>
      </c>
      <c r="X349" t="s">
        <v>8011</v>
      </c>
      <c r="Y349">
        <v>0.36351005140192522</v>
      </c>
      <c r="Z349" t="str">
        <f>HYPERLINK("Melting_Curves/meltCurve_sp_O95757_HS74L_HUMAN_.pdf", "Melting_Curves/meltCurve_sp_O95757_HS74L_HUMAN_.pdf")</f>
        <v>Melting_Curves/meltCurve_sp_O95757_HS74L_HUMAN_.pdf</v>
      </c>
      <c r="AA349" t="s">
        <v>11838</v>
      </c>
      <c r="AB349" t="s">
        <v>15590</v>
      </c>
    </row>
    <row r="350" spans="1:28" x14ac:dyDescent="0.25">
      <c r="A350" t="s">
        <v>354</v>
      </c>
      <c r="B350">
        <v>0.98876768158843997</v>
      </c>
      <c r="C350">
        <v>1.02170980807226</v>
      </c>
      <c r="D350">
        <v>0.95878496199422303</v>
      </c>
      <c r="E350">
        <v>0.92614588634355</v>
      </c>
      <c r="F350">
        <v>0.83591280825070402</v>
      </c>
      <c r="G350">
        <v>0.66186344565140098</v>
      </c>
      <c r="H350">
        <v>0.58871924549144705</v>
      </c>
      <c r="I350">
        <v>0.62352545392027903</v>
      </c>
      <c r="J350">
        <v>0.72229997396481505</v>
      </c>
      <c r="K350">
        <v>0.64737966683866099</v>
      </c>
      <c r="L350">
        <v>1617.5640679396899</v>
      </c>
      <c r="M350">
        <v>30.592527174564601</v>
      </c>
      <c r="O350">
        <v>52.650095862791197</v>
      </c>
      <c r="P350">
        <v>-5.2001474971245701E-2</v>
      </c>
      <c r="Q350">
        <v>0.64202157055428799</v>
      </c>
      <c r="R350">
        <v>0.94640108714436699</v>
      </c>
      <c r="S350" t="s">
        <v>4182</v>
      </c>
      <c r="T350" t="s">
        <v>7662</v>
      </c>
      <c r="U350" t="s">
        <v>7662</v>
      </c>
      <c r="V350" t="s">
        <v>7662</v>
      </c>
      <c r="W350">
        <v>5</v>
      </c>
      <c r="X350" t="s">
        <v>8012</v>
      </c>
      <c r="Y350">
        <v>0.79787782029612997</v>
      </c>
      <c r="Z350" t="str">
        <f>HYPERLINK("Melting_Curves/meltCurve_sp_O95777_NAA38_HUMAN_.pdf", "Melting_Curves/meltCurve_sp_O95777_NAA38_HUMAN_.pdf")</f>
        <v>Melting_Curves/meltCurve_sp_O95777_NAA38_HUMAN_.pdf</v>
      </c>
      <c r="AA350" t="s">
        <v>11839</v>
      </c>
      <c r="AB350" t="s">
        <v>15591</v>
      </c>
    </row>
    <row r="351" spans="1:28" x14ac:dyDescent="0.25">
      <c r="A351" t="s">
        <v>355</v>
      </c>
      <c r="B351">
        <v>0.98876768158843997</v>
      </c>
      <c r="C351">
        <v>0.91274672096809695</v>
      </c>
      <c r="D351">
        <v>1.03189169769157</v>
      </c>
      <c r="E351">
        <v>0.73920034160113901</v>
      </c>
      <c r="F351">
        <v>0.40475475030221097</v>
      </c>
      <c r="G351">
        <v>0.18795199663661</v>
      </c>
      <c r="H351">
        <v>9.4013176430301396E-2</v>
      </c>
      <c r="I351">
        <v>6.3828756633106706E-2</v>
      </c>
      <c r="J351">
        <v>7.0458048873989307E-2</v>
      </c>
      <c r="K351">
        <v>5.3878943006396202E-2</v>
      </c>
      <c r="L351">
        <v>1309.54676399554</v>
      </c>
      <c r="M351">
        <v>25.208544600008199</v>
      </c>
      <c r="N351">
        <v>52.245643332844303</v>
      </c>
      <c r="O351">
        <v>51.624924094703204</v>
      </c>
      <c r="P351">
        <v>-0.113925039070947</v>
      </c>
      <c r="Q351">
        <v>6.6777540811257502E-2</v>
      </c>
      <c r="R351">
        <v>0.99179006693823701</v>
      </c>
      <c r="S351" t="s">
        <v>4183</v>
      </c>
      <c r="T351" t="s">
        <v>7662</v>
      </c>
      <c r="U351" t="s">
        <v>7662</v>
      </c>
      <c r="V351" t="s">
        <v>7662</v>
      </c>
      <c r="W351">
        <v>26</v>
      </c>
      <c r="X351" t="s">
        <v>8013</v>
      </c>
      <c r="Y351">
        <v>0.4468450918137678</v>
      </c>
      <c r="Z351" t="str">
        <f>HYPERLINK("Melting_Curves/meltCurve_sp_O95782_2_AP2A1_HUMAN_.pdf", "Melting_Curves/meltCurve_sp_O95782_2_AP2A1_HUMAN_.pdf")</f>
        <v>Melting_Curves/meltCurve_sp_O95782_2_AP2A1_HUMAN_.pdf</v>
      </c>
      <c r="AA351" t="s">
        <v>11840</v>
      </c>
      <c r="AB351" t="s">
        <v>15592</v>
      </c>
    </row>
    <row r="352" spans="1:28" x14ac:dyDescent="0.25">
      <c r="A352" t="s">
        <v>356</v>
      </c>
      <c r="B352">
        <v>0.98876768158843997</v>
      </c>
      <c r="C352">
        <v>1.09400701964672</v>
      </c>
      <c r="D352">
        <v>0.90829258685899805</v>
      </c>
      <c r="E352">
        <v>0.80179828034827305</v>
      </c>
      <c r="F352">
        <v>0.66477489034029602</v>
      </c>
      <c r="G352">
        <v>0.53633942697499204</v>
      </c>
      <c r="H352">
        <v>0.42104924373109298</v>
      </c>
      <c r="I352">
        <v>0.44052321794321098</v>
      </c>
      <c r="J352">
        <v>0.64830550785328001</v>
      </c>
      <c r="K352">
        <v>0.57320861524755595</v>
      </c>
      <c r="L352">
        <v>1234.88772224389</v>
      </c>
      <c r="M352">
        <v>24.371917180065701</v>
      </c>
      <c r="O352">
        <v>50.331020344234503</v>
      </c>
      <c r="P352">
        <v>-5.8227570762347601E-2</v>
      </c>
      <c r="Q352">
        <v>0.51901843490125599</v>
      </c>
      <c r="R352">
        <v>0.89502273326903803</v>
      </c>
      <c r="S352" t="s">
        <v>4184</v>
      </c>
      <c r="T352" t="s">
        <v>7662</v>
      </c>
      <c r="U352" t="s">
        <v>7662</v>
      </c>
      <c r="V352" t="s">
        <v>7662</v>
      </c>
      <c r="W352">
        <v>6</v>
      </c>
      <c r="X352" t="s">
        <v>8014</v>
      </c>
      <c r="Y352">
        <v>0.69461597873387393</v>
      </c>
      <c r="Z352" t="str">
        <f>HYPERLINK("Melting_Curves/meltCurve_sp_O95817_BAG3_HUMAN_.pdf", "Melting_Curves/meltCurve_sp_O95817_BAG3_HUMAN_.pdf")</f>
        <v>Melting_Curves/meltCurve_sp_O95817_BAG3_HUMAN_.pdf</v>
      </c>
      <c r="AA352" t="s">
        <v>11841</v>
      </c>
      <c r="AB352" t="s">
        <v>15593</v>
      </c>
    </row>
    <row r="353" spans="1:28" x14ac:dyDescent="0.25">
      <c r="A353" t="s">
        <v>357</v>
      </c>
      <c r="B353">
        <v>0.98876768158843997</v>
      </c>
      <c r="C353">
        <v>0.86156545436063103</v>
      </c>
      <c r="D353">
        <v>0.97578233077188203</v>
      </c>
      <c r="E353">
        <v>0.55458791905857396</v>
      </c>
      <c r="F353">
        <v>0.16603590846572</v>
      </c>
      <c r="G353">
        <v>8.5772550371599601E-2</v>
      </c>
      <c r="H353">
        <v>4.8660108317104003E-2</v>
      </c>
      <c r="I353">
        <v>4.73921351054232E-2</v>
      </c>
      <c r="J353">
        <v>4.5401137728667003E-2</v>
      </c>
      <c r="K353">
        <v>4.4929251694790603E-2</v>
      </c>
      <c r="L353">
        <v>1778.5068535747801</v>
      </c>
      <c r="M353">
        <v>35.453413780644702</v>
      </c>
      <c r="N353">
        <v>50.314304796929399</v>
      </c>
      <c r="O353">
        <v>50.005838546906801</v>
      </c>
      <c r="P353">
        <v>-0.168375628856889</v>
      </c>
      <c r="Q353">
        <v>5.0051125328014298E-2</v>
      </c>
      <c r="R353">
        <v>0.98757626576131496</v>
      </c>
      <c r="S353" t="s">
        <v>4185</v>
      </c>
      <c r="T353" t="s">
        <v>7662</v>
      </c>
      <c r="U353" t="s">
        <v>7662</v>
      </c>
      <c r="V353" t="s">
        <v>7662</v>
      </c>
      <c r="W353">
        <v>22</v>
      </c>
      <c r="X353" t="s">
        <v>8015</v>
      </c>
      <c r="Y353">
        <v>0.37611694997663042</v>
      </c>
      <c r="Z353" t="str">
        <f>HYPERLINK("Melting_Curves/meltCurve_sp_O95822_DCMC_HUMAN_.pdf", "Melting_Curves/meltCurve_sp_O95822_DCMC_HUMAN_.pdf")</f>
        <v>Melting_Curves/meltCurve_sp_O95822_DCMC_HUMAN_.pdf</v>
      </c>
      <c r="AA353" t="s">
        <v>11842</v>
      </c>
      <c r="AB353" t="s">
        <v>15594</v>
      </c>
    </row>
    <row r="354" spans="1:28" x14ac:dyDescent="0.25">
      <c r="A354" t="s">
        <v>358</v>
      </c>
      <c r="B354">
        <v>0.98876768158843997</v>
      </c>
      <c r="C354">
        <v>0.96311391726593498</v>
      </c>
      <c r="D354">
        <v>0.91833028483240497</v>
      </c>
      <c r="E354">
        <v>0.86119336250386602</v>
      </c>
      <c r="F354">
        <v>0.78614675108600196</v>
      </c>
      <c r="G354">
        <v>0.61283212587510505</v>
      </c>
      <c r="H354">
        <v>0.35312704960088998</v>
      </c>
      <c r="I354">
        <v>6.5963331514838103E-2</v>
      </c>
      <c r="J354">
        <v>4.9197504809899602E-2</v>
      </c>
      <c r="K354">
        <v>4.9024922913748499E-2</v>
      </c>
      <c r="L354">
        <v>957.52146842282104</v>
      </c>
      <c r="M354">
        <v>16.582840996339598</v>
      </c>
      <c r="N354">
        <v>57.7417027958181</v>
      </c>
      <c r="O354">
        <v>56.921604202036498</v>
      </c>
      <c r="P354">
        <v>-7.2836892277835699E-2</v>
      </c>
      <c r="Q354">
        <v>0</v>
      </c>
      <c r="R354">
        <v>0.97895743383144396</v>
      </c>
      <c r="S354" t="s">
        <v>4186</v>
      </c>
      <c r="T354" t="s">
        <v>7662</v>
      </c>
      <c r="U354" t="s">
        <v>7662</v>
      </c>
      <c r="V354" t="s">
        <v>7662</v>
      </c>
      <c r="W354">
        <v>6</v>
      </c>
      <c r="X354" t="s">
        <v>8016</v>
      </c>
      <c r="Y354">
        <v>0.60488089867786121</v>
      </c>
      <c r="Z354" t="str">
        <f>HYPERLINK("Melting_Curves/meltCurve_sp_O95825_QORL1_HUMAN_.pdf", "Melting_Curves/meltCurve_sp_O95825_QORL1_HUMAN_.pdf")</f>
        <v>Melting_Curves/meltCurve_sp_O95825_QORL1_HUMAN_.pdf</v>
      </c>
      <c r="AA354" t="s">
        <v>11843</v>
      </c>
      <c r="AB354" t="s">
        <v>15595</v>
      </c>
    </row>
    <row r="355" spans="1:28" x14ac:dyDescent="0.25">
      <c r="A355" t="s">
        <v>359</v>
      </c>
      <c r="B355">
        <v>0.98876768158843997</v>
      </c>
      <c r="C355">
        <v>0.97958713257067198</v>
      </c>
      <c r="D355">
        <v>0.91179139298538603</v>
      </c>
      <c r="E355">
        <v>0.79621752616791397</v>
      </c>
      <c r="F355">
        <v>0.67506817005727304</v>
      </c>
      <c r="G355">
        <v>0.38779601055028501</v>
      </c>
      <c r="H355">
        <v>0.18181061383628799</v>
      </c>
      <c r="I355">
        <v>9.1074006226648394E-2</v>
      </c>
      <c r="J355">
        <v>6.9609010533731794E-2</v>
      </c>
      <c r="K355">
        <v>5.65290012746405E-2</v>
      </c>
      <c r="L355">
        <v>806.09960842371595</v>
      </c>
      <c r="M355">
        <v>14.6263219764848</v>
      </c>
      <c r="N355">
        <v>55.112932291158401</v>
      </c>
      <c r="O355">
        <v>54.113455120944401</v>
      </c>
      <c r="P355">
        <v>-6.7580019271058694E-2</v>
      </c>
      <c r="Q355">
        <v>0</v>
      </c>
      <c r="R355">
        <v>0.99720472743509703</v>
      </c>
      <c r="S355" t="s">
        <v>4187</v>
      </c>
      <c r="T355" t="s">
        <v>7662</v>
      </c>
      <c r="U355" t="s">
        <v>7662</v>
      </c>
      <c r="V355" t="s">
        <v>7662</v>
      </c>
      <c r="W355">
        <v>16</v>
      </c>
      <c r="X355" t="s">
        <v>8017</v>
      </c>
      <c r="Y355">
        <v>0.52338838138170651</v>
      </c>
      <c r="Z355" t="str">
        <f>HYPERLINK("Melting_Curves/meltCurve_sp_O95831_3_AIFM1_HUMAN_.pdf", "Melting_Curves/meltCurve_sp_O95831_3_AIFM1_HUMAN_.pdf")</f>
        <v>Melting_Curves/meltCurve_sp_O95831_3_AIFM1_HUMAN_.pdf</v>
      </c>
      <c r="AA355" t="s">
        <v>11844</v>
      </c>
      <c r="AB355" t="s">
        <v>15596</v>
      </c>
    </row>
    <row r="356" spans="1:28" x14ac:dyDescent="0.25">
      <c r="A356" t="s">
        <v>360</v>
      </c>
      <c r="B356">
        <v>0.98876768158843997</v>
      </c>
      <c r="C356">
        <v>1.01682676467137</v>
      </c>
      <c r="D356">
        <v>0.89296713528511096</v>
      </c>
      <c r="E356">
        <v>0.85811820651472503</v>
      </c>
      <c r="F356">
        <v>0.47473475167533402</v>
      </c>
      <c r="G356">
        <v>0.164126648489727</v>
      </c>
      <c r="H356">
        <v>6.4787215003399595E-2</v>
      </c>
      <c r="I356">
        <v>5.4619106810980901E-2</v>
      </c>
      <c r="J356">
        <v>4.5651431486872902E-2</v>
      </c>
      <c r="K356">
        <v>5.4018972551576699E-2</v>
      </c>
      <c r="L356">
        <v>1452.98077215987</v>
      </c>
      <c r="M356">
        <v>27.5543966479406</v>
      </c>
      <c r="N356">
        <v>52.9228698190418</v>
      </c>
      <c r="O356">
        <v>52.455956640250498</v>
      </c>
      <c r="P356">
        <v>-0.12509144667487301</v>
      </c>
      <c r="Q356">
        <v>4.7450384821865199E-2</v>
      </c>
      <c r="R356">
        <v>0.99403378602458703</v>
      </c>
      <c r="S356" t="s">
        <v>4188</v>
      </c>
      <c r="T356" t="s">
        <v>7662</v>
      </c>
      <c r="U356" t="s">
        <v>7662</v>
      </c>
      <c r="V356" t="s">
        <v>7662</v>
      </c>
      <c r="W356">
        <v>12</v>
      </c>
      <c r="X356" t="s">
        <v>8018</v>
      </c>
      <c r="Y356">
        <v>0.45895696062767782</v>
      </c>
      <c r="Z356" t="str">
        <f>HYPERLINK("Melting_Curves/meltCurve_sp_O95834_EMAL2_HUMAN_.pdf", "Melting_Curves/meltCurve_sp_O95834_EMAL2_HUMAN_.pdf")</f>
        <v>Melting_Curves/meltCurve_sp_O95834_EMAL2_HUMAN_.pdf</v>
      </c>
      <c r="AA356" t="s">
        <v>11845</v>
      </c>
      <c r="AB356" t="s">
        <v>15597</v>
      </c>
    </row>
    <row r="357" spans="1:28" x14ac:dyDescent="0.25">
      <c r="A357" t="s">
        <v>361</v>
      </c>
      <c r="B357">
        <v>0.98876768158843997</v>
      </c>
      <c r="C357">
        <v>1.14127882986814</v>
      </c>
      <c r="D357">
        <v>0.85367661982191501</v>
      </c>
      <c r="E357">
        <v>0.80343734086931096</v>
      </c>
      <c r="F357">
        <v>1.01380287886832</v>
      </c>
      <c r="G357">
        <v>0.48281458527479398</v>
      </c>
      <c r="H357">
        <v>0.10359636961009901</v>
      </c>
      <c r="I357">
        <v>6.5148198175733293E-2</v>
      </c>
      <c r="J357">
        <v>5.1303116663100702E-2</v>
      </c>
      <c r="K357">
        <v>6.6197664533236805E-2</v>
      </c>
      <c r="L357">
        <v>3267.6187498244899</v>
      </c>
      <c r="M357">
        <v>57.530657980382699</v>
      </c>
      <c r="N357">
        <v>56.938906447292503</v>
      </c>
      <c r="O357">
        <v>56.729378239904499</v>
      </c>
      <c r="P357">
        <v>-0.23669492657167199</v>
      </c>
      <c r="Q357">
        <v>6.6407610147115798E-2</v>
      </c>
      <c r="R357">
        <v>0.95560976956321297</v>
      </c>
      <c r="S357" t="s">
        <v>4189</v>
      </c>
      <c r="T357" t="s">
        <v>7662</v>
      </c>
      <c r="U357" t="s">
        <v>7662</v>
      </c>
      <c r="V357" t="s">
        <v>7662</v>
      </c>
      <c r="W357">
        <v>12</v>
      </c>
      <c r="X357" t="s">
        <v>8019</v>
      </c>
      <c r="Y357">
        <v>0.59091638019309189</v>
      </c>
      <c r="Z357" t="str">
        <f>HYPERLINK("Melting_Curves/meltCurve_sp_O95865_DDAH2_HUMAN_.pdf", "Melting_Curves/meltCurve_sp_O95865_DDAH2_HUMAN_.pdf")</f>
        <v>Melting_Curves/meltCurve_sp_O95865_DDAH2_HUMAN_.pdf</v>
      </c>
      <c r="AA357" t="s">
        <v>11846</v>
      </c>
      <c r="AB357" t="s">
        <v>15598</v>
      </c>
    </row>
    <row r="358" spans="1:28" x14ac:dyDescent="0.25">
      <c r="A358" t="s">
        <v>362</v>
      </c>
      <c r="B358">
        <v>0.98876768158843997</v>
      </c>
      <c r="C358">
        <v>1.1955651494053099</v>
      </c>
      <c r="D358">
        <v>0.92768127082379204</v>
      </c>
      <c r="E358">
        <v>0.85755415778191801</v>
      </c>
      <c r="F358">
        <v>0.91394765872890404</v>
      </c>
      <c r="G358">
        <v>0.59171368267022195</v>
      </c>
      <c r="H358">
        <v>0.36866509398043501</v>
      </c>
      <c r="I358">
        <v>0.33585498991247298</v>
      </c>
      <c r="J358">
        <v>0.32860368726456202</v>
      </c>
      <c r="K358">
        <v>0.42112768463010603</v>
      </c>
      <c r="L358">
        <v>1568.42228420266</v>
      </c>
      <c r="M358">
        <v>28.0977519908073</v>
      </c>
      <c r="N358">
        <v>58.268101385828899</v>
      </c>
      <c r="O358">
        <v>55.539751743294502</v>
      </c>
      <c r="P358">
        <v>-8.2662293698556696E-2</v>
      </c>
      <c r="Q358">
        <v>0.34642394773526403</v>
      </c>
      <c r="R358">
        <v>0.92786581736906304</v>
      </c>
      <c r="S358" t="s">
        <v>4190</v>
      </c>
      <c r="T358" t="s">
        <v>7662</v>
      </c>
      <c r="U358" t="s">
        <v>7662</v>
      </c>
      <c r="V358" t="s">
        <v>7662</v>
      </c>
      <c r="W358">
        <v>4</v>
      </c>
      <c r="X358" t="s">
        <v>8020</v>
      </c>
      <c r="Y358">
        <v>0.69598814429149636</v>
      </c>
      <c r="Z358" t="str">
        <f>HYPERLINK("Melting_Curves/meltCurve_sp_O95881_TXD12_HUMAN_.pdf", "Melting_Curves/meltCurve_sp_O95881_TXD12_HUMAN_.pdf")</f>
        <v>Melting_Curves/meltCurve_sp_O95881_TXD12_HUMAN_.pdf</v>
      </c>
      <c r="AA358" t="s">
        <v>11847</v>
      </c>
      <c r="AB358" t="s">
        <v>15599</v>
      </c>
    </row>
    <row r="359" spans="1:28" x14ac:dyDescent="0.25">
      <c r="A359" t="s">
        <v>363</v>
      </c>
      <c r="B359">
        <v>0.98876768158843997</v>
      </c>
      <c r="C359">
        <v>0.87058023412468799</v>
      </c>
      <c r="D359">
        <v>0.76283095354224395</v>
      </c>
      <c r="E359">
        <v>0.26217634518009703</v>
      </c>
      <c r="F359">
        <v>9.8683490087076997E-2</v>
      </c>
      <c r="G359">
        <v>4.8885884975150798E-2</v>
      </c>
      <c r="H359">
        <v>2.9732460850279301E-2</v>
      </c>
      <c r="I359">
        <v>2.6224731476642199E-2</v>
      </c>
      <c r="J359">
        <v>3.0121166192141099E-2</v>
      </c>
      <c r="K359">
        <v>2.43138234664599E-2</v>
      </c>
      <c r="L359">
        <v>1147.1948038958999</v>
      </c>
      <c r="M359">
        <v>23.995477228181301</v>
      </c>
      <c r="N359">
        <v>47.904246767603802</v>
      </c>
      <c r="O359">
        <v>47.480457513558598</v>
      </c>
      <c r="P359">
        <v>-0.123396419362669</v>
      </c>
      <c r="Q359">
        <v>2.3344997659408898E-2</v>
      </c>
      <c r="R359">
        <v>0.99528846867709697</v>
      </c>
      <c r="S359" t="s">
        <v>4191</v>
      </c>
      <c r="T359" t="s">
        <v>7662</v>
      </c>
      <c r="U359" t="s">
        <v>7662</v>
      </c>
      <c r="V359" t="s">
        <v>7662</v>
      </c>
      <c r="W359">
        <v>32</v>
      </c>
      <c r="X359" t="s">
        <v>8021</v>
      </c>
      <c r="Y359">
        <v>0.28699231090118171</v>
      </c>
      <c r="Z359" t="str">
        <f>HYPERLINK("Melting_Curves/meltCurve_sp_O95954_FTCD_HUMAN_.pdf", "Melting_Curves/meltCurve_sp_O95954_FTCD_HUMAN_.pdf")</f>
        <v>Melting_Curves/meltCurve_sp_O95954_FTCD_HUMAN_.pdf</v>
      </c>
      <c r="AA359" t="s">
        <v>11848</v>
      </c>
      <c r="AB359" t="s">
        <v>15600</v>
      </c>
    </row>
    <row r="360" spans="1:28" x14ac:dyDescent="0.25">
      <c r="A360" t="s">
        <v>364</v>
      </c>
      <c r="B360">
        <v>0.98876768158843997</v>
      </c>
      <c r="C360">
        <v>1.1821610887291001</v>
      </c>
      <c r="D360">
        <v>0.880769232691063</v>
      </c>
      <c r="E360">
        <v>0.76633520350363504</v>
      </c>
      <c r="F360">
        <v>0.82887148504525998</v>
      </c>
      <c r="G360">
        <v>0.406901000274068</v>
      </c>
      <c r="H360">
        <v>0.15443509648804801</v>
      </c>
      <c r="I360">
        <v>9.0534391872799894E-2</v>
      </c>
      <c r="J360">
        <v>9.4087731264476102E-2</v>
      </c>
      <c r="K360">
        <v>7.2759734973405904E-2</v>
      </c>
      <c r="L360">
        <v>1004.14835724366</v>
      </c>
      <c r="M360">
        <v>18.026146784501599</v>
      </c>
      <c r="N360">
        <v>55.875055187306302</v>
      </c>
      <c r="O360">
        <v>55.033099481099399</v>
      </c>
      <c r="P360">
        <v>-7.9707142711521503E-2</v>
      </c>
      <c r="Q360">
        <v>2.66765552743151E-2</v>
      </c>
      <c r="R360">
        <v>0.95499411902284703</v>
      </c>
      <c r="S360" t="s">
        <v>4192</v>
      </c>
      <c r="T360" t="s">
        <v>7662</v>
      </c>
      <c r="U360" t="s">
        <v>7662</v>
      </c>
      <c r="V360" t="s">
        <v>7662</v>
      </c>
      <c r="W360">
        <v>5</v>
      </c>
      <c r="X360" t="s">
        <v>8022</v>
      </c>
      <c r="Y360">
        <v>0.55076337925022434</v>
      </c>
      <c r="Z360" t="str">
        <f>HYPERLINK("Melting_Curves/meltCurve_sp_O95989_NUDT3_HUMAN_.pdf", "Melting_Curves/meltCurve_sp_O95989_NUDT3_HUMAN_.pdf")</f>
        <v>Melting_Curves/meltCurve_sp_O95989_NUDT3_HUMAN_.pdf</v>
      </c>
      <c r="AA360" t="s">
        <v>11849</v>
      </c>
      <c r="AB360" t="s">
        <v>15601</v>
      </c>
    </row>
    <row r="361" spans="1:28" x14ac:dyDescent="0.25">
      <c r="A361" t="s">
        <v>365</v>
      </c>
      <c r="B361">
        <v>0.98876768158843997</v>
      </c>
      <c r="C361">
        <v>1.0824561395753201</v>
      </c>
      <c r="D361">
        <v>0.89809846790093695</v>
      </c>
      <c r="E361">
        <v>0.68543976898007997</v>
      </c>
      <c r="F361">
        <v>0.71650247359980301</v>
      </c>
      <c r="G361">
        <v>0.48685116864925798</v>
      </c>
      <c r="H361">
        <v>0.33496832028946799</v>
      </c>
      <c r="I361">
        <v>0.32756428343278798</v>
      </c>
      <c r="J361">
        <v>0.44451458963130203</v>
      </c>
      <c r="K361">
        <v>0.47873640929801897</v>
      </c>
      <c r="L361">
        <v>872.46192116094198</v>
      </c>
      <c r="M361">
        <v>16.995176570075898</v>
      </c>
      <c r="N361">
        <v>56.298578675561103</v>
      </c>
      <c r="O361">
        <v>50.640907013240302</v>
      </c>
      <c r="P361">
        <v>-5.1331309810077101E-2</v>
      </c>
      <c r="Q361">
        <v>0.38822566606189901</v>
      </c>
      <c r="R361">
        <v>0.92246431712980503</v>
      </c>
      <c r="S361" t="s">
        <v>4193</v>
      </c>
      <c r="T361" t="s">
        <v>7662</v>
      </c>
      <c r="U361" t="s">
        <v>7662</v>
      </c>
      <c r="V361" t="s">
        <v>7662</v>
      </c>
      <c r="W361">
        <v>3</v>
      </c>
      <c r="X361" t="s">
        <v>8023</v>
      </c>
      <c r="Y361">
        <v>0.63074380412384157</v>
      </c>
      <c r="Z361" t="str">
        <f>HYPERLINK("Melting_Curves/meltCurve_sp_O95999_BCL10_HUMAN_.pdf", "Melting_Curves/meltCurve_sp_O95999_BCL10_HUMAN_.pdf")</f>
        <v>Melting_Curves/meltCurve_sp_O95999_BCL10_HUMAN_.pdf</v>
      </c>
      <c r="AA361" t="s">
        <v>11850</v>
      </c>
      <c r="AB361" t="s">
        <v>15602</v>
      </c>
    </row>
    <row r="362" spans="1:28" x14ac:dyDescent="0.25">
      <c r="A362" t="s">
        <v>366</v>
      </c>
      <c r="B362">
        <v>0.98876768158843997</v>
      </c>
      <c r="C362">
        <v>0.92849956503503395</v>
      </c>
      <c r="D362">
        <v>0.87962872416131599</v>
      </c>
      <c r="E362">
        <v>0.64802831161666097</v>
      </c>
      <c r="F362">
        <v>0.71547832381318699</v>
      </c>
      <c r="G362">
        <v>0.52894108535909901</v>
      </c>
      <c r="H362">
        <v>0.41318253548073702</v>
      </c>
      <c r="I362">
        <v>0.51219402042941198</v>
      </c>
      <c r="J362">
        <v>0.45062416680002798</v>
      </c>
      <c r="K362">
        <v>0.60187261388205704</v>
      </c>
      <c r="L362">
        <v>723.83918990962297</v>
      </c>
      <c r="M362">
        <v>14.7544391290714</v>
      </c>
      <c r="N362">
        <v>65.689359740760807</v>
      </c>
      <c r="O362">
        <v>48.1843118017308</v>
      </c>
      <c r="P362">
        <v>-3.9193748899180599E-2</v>
      </c>
      <c r="Q362">
        <v>0.48806720996500003</v>
      </c>
      <c r="R362">
        <v>0.89749252216632902</v>
      </c>
      <c r="S362" t="s">
        <v>4194</v>
      </c>
      <c r="T362" t="s">
        <v>7662</v>
      </c>
      <c r="U362" t="s">
        <v>7662</v>
      </c>
      <c r="V362" t="s">
        <v>7662</v>
      </c>
      <c r="W362">
        <v>6</v>
      </c>
      <c r="X362" t="s">
        <v>8024</v>
      </c>
      <c r="Y362">
        <v>0.65565713654379099</v>
      </c>
      <c r="Z362" t="str">
        <f>HYPERLINK("Melting_Curves/meltCurve_sp_O96007_MOC2B_HUMAN_.pdf", "Melting_Curves/meltCurve_sp_O96007_MOC2B_HUMAN_.pdf")</f>
        <v>Melting_Curves/meltCurve_sp_O96007_MOC2B_HUMAN_.pdf</v>
      </c>
      <c r="AA362" t="s">
        <v>11851</v>
      </c>
      <c r="AB362" t="s">
        <v>15603</v>
      </c>
    </row>
    <row r="363" spans="1:28" x14ac:dyDescent="0.25">
      <c r="A363" t="s">
        <v>367</v>
      </c>
      <c r="B363">
        <v>0.98876768158843997</v>
      </c>
      <c r="C363">
        <v>0.830358799794498</v>
      </c>
      <c r="D363">
        <v>0.86892677113828598</v>
      </c>
      <c r="E363">
        <v>0.55628551898800205</v>
      </c>
      <c r="F363">
        <v>0.26701590593469998</v>
      </c>
      <c r="G363">
        <v>8.2064600385657702E-2</v>
      </c>
      <c r="H363">
        <v>4.4425366251728E-2</v>
      </c>
      <c r="I363">
        <v>2.7639515428129601E-2</v>
      </c>
      <c r="J363">
        <v>6.7152250169087602E-2</v>
      </c>
      <c r="K363">
        <v>2.9732408934213601E-2</v>
      </c>
      <c r="L363">
        <v>918.15688924659503</v>
      </c>
      <c r="M363">
        <v>18.3064088309394</v>
      </c>
      <c r="N363">
        <v>50.253414681481601</v>
      </c>
      <c r="O363">
        <v>49.567951246187398</v>
      </c>
      <c r="P363">
        <v>-9.0707023353913396E-2</v>
      </c>
      <c r="Q363">
        <v>1.7622067437796402E-2</v>
      </c>
      <c r="R363">
        <v>0.98483881240986304</v>
      </c>
      <c r="S363" t="s">
        <v>4195</v>
      </c>
      <c r="T363" t="s">
        <v>7662</v>
      </c>
      <c r="U363" t="s">
        <v>7662</v>
      </c>
      <c r="V363" t="s">
        <v>7662</v>
      </c>
      <c r="W363">
        <v>2</v>
      </c>
      <c r="X363" t="s">
        <v>8025</v>
      </c>
      <c r="Y363">
        <v>0.36635018577095407</v>
      </c>
      <c r="Z363" t="str">
        <f>HYPERLINK("Melting_Curves/meltCurve_sp_O96019_ACL6A_HUMAN_.pdf", "Melting_Curves/meltCurve_sp_O96019_ACL6A_HUMAN_.pdf")</f>
        <v>Melting_Curves/meltCurve_sp_O96019_ACL6A_HUMAN_.pdf</v>
      </c>
      <c r="AA363" t="s">
        <v>11852</v>
      </c>
      <c r="AB363" t="s">
        <v>15604</v>
      </c>
    </row>
    <row r="364" spans="1:28" x14ac:dyDescent="0.25">
      <c r="A364" t="s">
        <v>368</v>
      </c>
      <c r="B364">
        <v>0.98876768158843997</v>
      </c>
      <c r="C364">
        <v>1.0609289555111201</v>
      </c>
      <c r="D364">
        <v>0.89847131060860796</v>
      </c>
      <c r="E364">
        <v>0.78689113357937601</v>
      </c>
      <c r="F364">
        <v>0.79087269057540999</v>
      </c>
      <c r="G364">
        <v>0.60779354776639904</v>
      </c>
      <c r="H364">
        <v>0.45900708819688002</v>
      </c>
      <c r="I364">
        <v>0.47874537050305499</v>
      </c>
      <c r="J364">
        <v>0.55778803881472305</v>
      </c>
      <c r="K364">
        <v>0.446705031104355</v>
      </c>
      <c r="L364">
        <v>737.68062250091202</v>
      </c>
      <c r="M364">
        <v>13.9150724925418</v>
      </c>
      <c r="N364">
        <v>63.5764288029035</v>
      </c>
      <c r="O364">
        <v>51.954189007029697</v>
      </c>
      <c r="P364">
        <v>-3.6800653506902301E-2</v>
      </c>
      <c r="Q364">
        <v>0.45046954106829201</v>
      </c>
      <c r="R364">
        <v>0.94331589354291501</v>
      </c>
      <c r="S364" t="s">
        <v>4196</v>
      </c>
      <c r="T364" t="s">
        <v>7662</v>
      </c>
      <c r="U364" t="s">
        <v>7662</v>
      </c>
      <c r="V364" t="s">
        <v>7662</v>
      </c>
      <c r="W364">
        <v>6</v>
      </c>
      <c r="X364" t="s">
        <v>8026</v>
      </c>
      <c r="Y364">
        <v>0.70191226255752437</v>
      </c>
      <c r="Z364" t="str">
        <f>HYPERLINK("Melting_Curves/meltCurve_sp_O96033_MOC2A_HUMAN_.pdf", "Melting_Curves/meltCurve_sp_O96033_MOC2A_HUMAN_.pdf")</f>
        <v>Melting_Curves/meltCurve_sp_O96033_MOC2A_HUMAN_.pdf</v>
      </c>
      <c r="AA364" t="s">
        <v>11851</v>
      </c>
      <c r="AB364" t="s">
        <v>15605</v>
      </c>
    </row>
    <row r="365" spans="1:28" x14ac:dyDescent="0.25">
      <c r="A365" t="s">
        <v>369</v>
      </c>
      <c r="B365">
        <v>0.98876768158843997</v>
      </c>
      <c r="C365">
        <v>0.94066187303478999</v>
      </c>
      <c r="D365">
        <v>0.92138660175393805</v>
      </c>
      <c r="E365">
        <v>0.88677171642382302</v>
      </c>
      <c r="F365">
        <v>0.82930691896908404</v>
      </c>
      <c r="G365">
        <v>0.62585214976771197</v>
      </c>
      <c r="H365">
        <v>0.44934589427083999</v>
      </c>
      <c r="I365">
        <v>0.31426997911189802</v>
      </c>
      <c r="J365">
        <v>0.16913123427551299</v>
      </c>
      <c r="K365">
        <v>0.15160857246531401</v>
      </c>
      <c r="L365">
        <v>696.24253943059603</v>
      </c>
      <c r="M365">
        <v>11.6999980104901</v>
      </c>
      <c r="N365">
        <v>59.507919502522</v>
      </c>
      <c r="O365">
        <v>57.849266186671997</v>
      </c>
      <c r="P365">
        <v>-5.0575874609890499E-2</v>
      </c>
      <c r="Q365">
        <v>0</v>
      </c>
      <c r="R365">
        <v>0.99212009461511896</v>
      </c>
      <c r="S365" t="s">
        <v>4197</v>
      </c>
      <c r="T365" t="s">
        <v>7662</v>
      </c>
      <c r="U365" t="s">
        <v>7662</v>
      </c>
      <c r="V365" t="s">
        <v>7662</v>
      </c>
      <c r="W365">
        <v>37</v>
      </c>
      <c r="X365" t="s">
        <v>8027</v>
      </c>
      <c r="Y365">
        <v>0.65484590715689606</v>
      </c>
      <c r="Z365" t="str">
        <f>HYPERLINK("Melting_Curves/meltCurve_sp_P00325_ADH1B_HUMAN_.pdf", "Melting_Curves/meltCurve_sp_P00325_ADH1B_HUMAN_.pdf")</f>
        <v>Melting_Curves/meltCurve_sp_P00325_ADH1B_HUMAN_.pdf</v>
      </c>
      <c r="AA365" t="s">
        <v>11853</v>
      </c>
      <c r="AB365" t="s">
        <v>15606</v>
      </c>
    </row>
    <row r="366" spans="1:28" x14ac:dyDescent="0.25">
      <c r="A366" t="s">
        <v>370</v>
      </c>
      <c r="B366">
        <v>0.98876768158843997</v>
      </c>
      <c r="C366">
        <v>1.09093771838577</v>
      </c>
      <c r="D366">
        <v>0.91117432698551404</v>
      </c>
      <c r="E366">
        <v>0.87122420298045999</v>
      </c>
      <c r="F366">
        <v>0.99455945069563301</v>
      </c>
      <c r="G366">
        <v>0.70115725395036199</v>
      </c>
      <c r="H366">
        <v>0.52776364776491902</v>
      </c>
      <c r="I366">
        <v>0.58243864313417104</v>
      </c>
      <c r="J366">
        <v>0.321812205618761</v>
      </c>
      <c r="K366">
        <v>0.319192906332391</v>
      </c>
      <c r="L366">
        <v>689.72875285816201</v>
      </c>
      <c r="M366">
        <v>11.213174872727301</v>
      </c>
      <c r="N366">
        <v>63.265016474505501</v>
      </c>
      <c r="O366">
        <v>59.651544332987598</v>
      </c>
      <c r="P366">
        <v>-4.0727482685450601E-2</v>
      </c>
      <c r="Q366">
        <v>0.13362761404436299</v>
      </c>
      <c r="R366">
        <v>0.92513581681368895</v>
      </c>
      <c r="S366" t="s">
        <v>4198</v>
      </c>
      <c r="T366" t="s">
        <v>7662</v>
      </c>
      <c r="U366" t="s">
        <v>7662</v>
      </c>
      <c r="V366" t="s">
        <v>7662</v>
      </c>
      <c r="W366">
        <v>32</v>
      </c>
      <c r="X366" t="s">
        <v>8028</v>
      </c>
      <c r="Y366">
        <v>0.74557533068166237</v>
      </c>
      <c r="Z366" t="str">
        <f>HYPERLINK("Melting_Curves/meltCurve_sp_P00326_ADH1G_HUMAN_.pdf", "Melting_Curves/meltCurve_sp_P00326_ADH1G_HUMAN_.pdf")</f>
        <v>Melting_Curves/meltCurve_sp_P00326_ADH1G_HUMAN_.pdf</v>
      </c>
      <c r="AA366" t="s">
        <v>11854</v>
      </c>
      <c r="AB366" t="s">
        <v>15607</v>
      </c>
    </row>
    <row r="367" spans="1:28" x14ac:dyDescent="0.25">
      <c r="A367" t="s">
        <v>371</v>
      </c>
      <c r="B367">
        <v>0.98876768158843997</v>
      </c>
      <c r="C367">
        <v>0.96535970630136203</v>
      </c>
      <c r="D367">
        <v>0.99345658660294101</v>
      </c>
      <c r="E367">
        <v>1.00349568300771</v>
      </c>
      <c r="F367">
        <v>0.75682294533425798</v>
      </c>
      <c r="G367">
        <v>0.49032523426675401</v>
      </c>
      <c r="H367">
        <v>0.121797013265115</v>
      </c>
      <c r="I367">
        <v>6.1369603087284202E-2</v>
      </c>
      <c r="J367">
        <v>4.9448818771013002E-2</v>
      </c>
      <c r="K367">
        <v>4.6802053673204898E-2</v>
      </c>
      <c r="L367">
        <v>1305.3027151497199</v>
      </c>
      <c r="M367">
        <v>23.166408221831599</v>
      </c>
      <c r="N367">
        <v>56.428557782207697</v>
      </c>
      <c r="O367">
        <v>55.929839727625698</v>
      </c>
      <c r="P367">
        <v>-0.10179948821991799</v>
      </c>
      <c r="Q367">
        <v>1.69345114865194E-2</v>
      </c>
      <c r="R367">
        <v>0.99323565935790903</v>
      </c>
      <c r="S367" t="s">
        <v>4199</v>
      </c>
      <c r="T367" t="s">
        <v>7662</v>
      </c>
      <c r="U367" t="s">
        <v>7662</v>
      </c>
      <c r="V367" t="s">
        <v>7662</v>
      </c>
      <c r="W367">
        <v>21</v>
      </c>
      <c r="X367" t="s">
        <v>8029</v>
      </c>
      <c r="Y367">
        <v>0.56265410693067897</v>
      </c>
      <c r="Z367" t="str">
        <f>HYPERLINK("Melting_Curves/meltCurve_sp_P00338_LDHA_HUMAN_.pdf", "Melting_Curves/meltCurve_sp_P00338_LDHA_HUMAN_.pdf")</f>
        <v>Melting_Curves/meltCurve_sp_P00338_LDHA_HUMAN_.pdf</v>
      </c>
      <c r="AA367" t="s">
        <v>11855</v>
      </c>
      <c r="AB367" t="s">
        <v>15608</v>
      </c>
    </row>
    <row r="368" spans="1:28" x14ac:dyDescent="0.25">
      <c r="A368" t="s">
        <v>372</v>
      </c>
      <c r="B368">
        <v>0.98876768158843997</v>
      </c>
      <c r="C368">
        <v>0.92449010752025396</v>
      </c>
      <c r="D368">
        <v>1.0542796779718</v>
      </c>
      <c r="E368">
        <v>0.96284776240787195</v>
      </c>
      <c r="F368">
        <v>0.65214578544643198</v>
      </c>
      <c r="G368">
        <v>0.48443156108883001</v>
      </c>
      <c r="H368">
        <v>0.46501115375340601</v>
      </c>
      <c r="I368">
        <v>0.54468452358588804</v>
      </c>
      <c r="J368">
        <v>0.50752855226696703</v>
      </c>
      <c r="K368">
        <v>0.34593398409871101</v>
      </c>
      <c r="L368">
        <v>2813.6254595028799</v>
      </c>
      <c r="M368">
        <v>53.714773608159298</v>
      </c>
      <c r="N368">
        <v>55.205021606173602</v>
      </c>
      <c r="O368">
        <v>52.308400215684003</v>
      </c>
      <c r="P368">
        <v>-0.13658366186155799</v>
      </c>
      <c r="Q368">
        <v>0.46796997779553701</v>
      </c>
      <c r="R368">
        <v>0.94946390385222701</v>
      </c>
      <c r="S368" t="s">
        <v>4200</v>
      </c>
      <c r="T368" t="s">
        <v>7662</v>
      </c>
      <c r="U368" t="s">
        <v>7662</v>
      </c>
      <c r="V368" t="s">
        <v>7662</v>
      </c>
      <c r="W368">
        <v>42</v>
      </c>
      <c r="X368" t="s">
        <v>8030</v>
      </c>
      <c r="Y368">
        <v>0.68860038110679533</v>
      </c>
      <c r="Z368" t="str">
        <f>HYPERLINK("Melting_Curves/meltCurve_sp_P00352_AL1A1_HUMAN_.pdf", "Melting_Curves/meltCurve_sp_P00352_AL1A1_HUMAN_.pdf")</f>
        <v>Melting_Curves/meltCurve_sp_P00352_AL1A1_HUMAN_.pdf</v>
      </c>
      <c r="AA368" t="s">
        <v>11856</v>
      </c>
      <c r="AB368" t="s">
        <v>15609</v>
      </c>
    </row>
    <row r="369" spans="1:28" x14ac:dyDescent="0.25">
      <c r="A369" t="s">
        <v>373</v>
      </c>
      <c r="B369">
        <v>0.98876768158843997</v>
      </c>
      <c r="C369">
        <v>0.56376058766050197</v>
      </c>
      <c r="D369">
        <v>0.29836554563350598</v>
      </c>
      <c r="E369">
        <v>0.13019736608808</v>
      </c>
      <c r="F369">
        <v>7.7658513939104806E-2</v>
      </c>
      <c r="G369">
        <v>5.0535217913291297E-2</v>
      </c>
      <c r="H369">
        <v>3.43498378977454E-2</v>
      </c>
      <c r="I369">
        <v>2.57959872890773E-2</v>
      </c>
      <c r="J369">
        <v>3.1127466792334801E-2</v>
      </c>
      <c r="K369">
        <v>3.2999332488122597E-2</v>
      </c>
      <c r="L369">
        <v>1013.2706750883</v>
      </c>
      <c r="M369">
        <v>23.180025872747699</v>
      </c>
      <c r="N369">
        <v>43.889943562085897</v>
      </c>
      <c r="O369">
        <v>43.391656389983801</v>
      </c>
      <c r="P369">
        <v>-0.12759977062173899</v>
      </c>
      <c r="Q369">
        <v>4.4580030806057297E-2</v>
      </c>
      <c r="R369">
        <v>0.98396900971158496</v>
      </c>
      <c r="S369" t="s">
        <v>4201</v>
      </c>
      <c r="T369" t="s">
        <v>7662</v>
      </c>
      <c r="U369" t="s">
        <v>7662</v>
      </c>
      <c r="V369" t="s">
        <v>7662</v>
      </c>
      <c r="W369">
        <v>1</v>
      </c>
      <c r="X369" t="s">
        <v>8031</v>
      </c>
      <c r="Y369">
        <v>0.17668918894394431</v>
      </c>
      <c r="Z369" t="str">
        <f>HYPERLINK("Melting_Curves/meltCurve_sp_P00374_DYR_HUMAN_.pdf", "Melting_Curves/meltCurve_sp_P00374_DYR_HUMAN_.pdf")</f>
        <v>Melting_Curves/meltCurve_sp_P00374_DYR_HUMAN_.pdf</v>
      </c>
      <c r="AA369" t="s">
        <v>11857</v>
      </c>
      <c r="AB369" t="s">
        <v>15610</v>
      </c>
    </row>
    <row r="370" spans="1:28" x14ac:dyDescent="0.25">
      <c r="A370" t="s">
        <v>374</v>
      </c>
      <c r="B370">
        <v>0.98876768158843997</v>
      </c>
      <c r="C370">
        <v>1.0675617890890099</v>
      </c>
      <c r="D370">
        <v>0.87212954251356101</v>
      </c>
      <c r="E370">
        <v>0.580307045884073</v>
      </c>
      <c r="F370">
        <v>0.19100346397654799</v>
      </c>
      <c r="G370">
        <v>7.2012677247571197E-2</v>
      </c>
      <c r="H370">
        <v>3.49362758549569E-2</v>
      </c>
      <c r="I370">
        <v>4.0327751389010999E-2</v>
      </c>
      <c r="J370">
        <v>5.1730943368463199E-2</v>
      </c>
      <c r="K370">
        <v>3.3088252090650097E-2</v>
      </c>
      <c r="L370">
        <v>1397.0707669291601</v>
      </c>
      <c r="M370">
        <v>27.805980635991101</v>
      </c>
      <c r="N370">
        <v>50.374756264080801</v>
      </c>
      <c r="O370">
        <v>49.985825297656099</v>
      </c>
      <c r="P370">
        <v>-0.13421213100939899</v>
      </c>
      <c r="Q370">
        <v>3.4935052210219801E-2</v>
      </c>
      <c r="R370">
        <v>0.99339782566644996</v>
      </c>
      <c r="S370" t="s">
        <v>4202</v>
      </c>
      <c r="T370" t="s">
        <v>7662</v>
      </c>
      <c r="U370" t="s">
        <v>7662</v>
      </c>
      <c r="V370" t="s">
        <v>7662</v>
      </c>
      <c r="W370">
        <v>4</v>
      </c>
      <c r="X370" t="s">
        <v>8032</v>
      </c>
      <c r="Y370">
        <v>0.37144205131893882</v>
      </c>
      <c r="Z370" t="str">
        <f>HYPERLINK("Melting_Curves/meltCurve_sp_P00387_2_NB5R3_HUMAN_.pdf", "Melting_Curves/meltCurve_sp_P00387_2_NB5R3_HUMAN_.pdf")</f>
        <v>Melting_Curves/meltCurve_sp_P00387_2_NB5R3_HUMAN_.pdf</v>
      </c>
      <c r="AA370" t="s">
        <v>11858</v>
      </c>
      <c r="AB370" t="s">
        <v>15611</v>
      </c>
    </row>
    <row r="371" spans="1:28" x14ac:dyDescent="0.25">
      <c r="A371" t="s">
        <v>375</v>
      </c>
      <c r="B371">
        <v>0.98876768158843997</v>
      </c>
      <c r="C371">
        <v>0.83302989721571996</v>
      </c>
      <c r="D371">
        <v>0.97354963651821202</v>
      </c>
      <c r="E371">
        <v>0.953585758637153</v>
      </c>
      <c r="F371">
        <v>0.63199644630990903</v>
      </c>
      <c r="G371">
        <v>0.49456139335722099</v>
      </c>
      <c r="H371">
        <v>0.38979484518840701</v>
      </c>
      <c r="I371">
        <v>0.25084256334608901</v>
      </c>
      <c r="J371">
        <v>5.1994560364179099E-2</v>
      </c>
      <c r="K371">
        <v>6.6531009731986807E-2</v>
      </c>
      <c r="L371">
        <v>704.74538861248504</v>
      </c>
      <c r="M371">
        <v>12.335920983632599</v>
      </c>
      <c r="N371">
        <v>57.129526055492498</v>
      </c>
      <c r="O371">
        <v>55.690466532143802</v>
      </c>
      <c r="P371">
        <v>-5.5389139534427798E-2</v>
      </c>
      <c r="Q371">
        <v>0</v>
      </c>
      <c r="R371">
        <v>0.95272957715650397</v>
      </c>
      <c r="S371" t="s">
        <v>4203</v>
      </c>
      <c r="T371" t="s">
        <v>7662</v>
      </c>
      <c r="U371" t="s">
        <v>7662</v>
      </c>
      <c r="V371" t="s">
        <v>7662</v>
      </c>
      <c r="W371">
        <v>13</v>
      </c>
      <c r="X371" t="s">
        <v>8033</v>
      </c>
      <c r="Y371">
        <v>0.58734379987249952</v>
      </c>
      <c r="Z371" t="str">
        <f>HYPERLINK("Melting_Curves/meltCurve_sp_P00390_2_GSHR_HUMAN_.pdf", "Melting_Curves/meltCurve_sp_P00390_2_GSHR_HUMAN_.pdf")</f>
        <v>Melting_Curves/meltCurve_sp_P00390_2_GSHR_HUMAN_.pdf</v>
      </c>
      <c r="AA371" t="s">
        <v>11859</v>
      </c>
      <c r="AB371" t="s">
        <v>15612</v>
      </c>
    </row>
    <row r="372" spans="1:28" x14ac:dyDescent="0.25">
      <c r="A372" t="s">
        <v>376</v>
      </c>
      <c r="B372">
        <v>0.98876768158843997</v>
      </c>
      <c r="C372">
        <v>0.84256198320085895</v>
      </c>
      <c r="D372">
        <v>0.83583030612922604</v>
      </c>
      <c r="E372">
        <v>0.47909480421620698</v>
      </c>
      <c r="F372">
        <v>0.16216170422801199</v>
      </c>
      <c r="G372">
        <v>7.5084009039146804E-2</v>
      </c>
      <c r="H372">
        <v>4.1535728903564897E-2</v>
      </c>
      <c r="I372">
        <v>3.4642106877690898E-2</v>
      </c>
      <c r="J372">
        <v>3.6075186934397999E-2</v>
      </c>
      <c r="K372">
        <v>2.9771336415719E-2</v>
      </c>
      <c r="L372">
        <v>978.49994211678495</v>
      </c>
      <c r="M372">
        <v>19.853685213070399</v>
      </c>
      <c r="N372">
        <v>49.3825955109006</v>
      </c>
      <c r="O372">
        <v>48.793703452122401</v>
      </c>
      <c r="P372">
        <v>-9.97798669316977E-2</v>
      </c>
      <c r="Q372">
        <v>1.9130900287945299E-2</v>
      </c>
      <c r="R372">
        <v>0.98787073349874999</v>
      </c>
      <c r="S372" t="s">
        <v>4204</v>
      </c>
      <c r="T372" t="s">
        <v>7662</v>
      </c>
      <c r="U372" t="s">
        <v>7662</v>
      </c>
      <c r="V372" t="s">
        <v>7662</v>
      </c>
      <c r="W372">
        <v>27</v>
      </c>
      <c r="X372" t="s">
        <v>8034</v>
      </c>
      <c r="Y372">
        <v>0.33663902774192672</v>
      </c>
      <c r="Z372" t="str">
        <f>HYPERLINK("Melting_Curves/meltCurve_sp_P00439_PH4H_HUMAN_.pdf", "Melting_Curves/meltCurve_sp_P00439_PH4H_HUMAN_.pdf")</f>
        <v>Melting_Curves/meltCurve_sp_P00439_PH4H_HUMAN_.pdf</v>
      </c>
      <c r="AA372" t="s">
        <v>11860</v>
      </c>
      <c r="AB372" t="s">
        <v>15613</v>
      </c>
    </row>
    <row r="373" spans="1:28" x14ac:dyDescent="0.25">
      <c r="A373" t="s">
        <v>377</v>
      </c>
      <c r="B373">
        <v>0.98876768158843997</v>
      </c>
      <c r="C373">
        <v>0.93454950064199205</v>
      </c>
      <c r="D373">
        <v>0.97339606418176805</v>
      </c>
      <c r="E373">
        <v>0.92300843168403002</v>
      </c>
      <c r="F373">
        <v>0.59216263752680598</v>
      </c>
      <c r="G373">
        <v>0.27769094919241999</v>
      </c>
      <c r="H373">
        <v>0.19077957283875099</v>
      </c>
      <c r="I373">
        <v>0.22491915362832099</v>
      </c>
      <c r="J373">
        <v>0.24193117512495499</v>
      </c>
      <c r="K373">
        <v>0.27464110493642502</v>
      </c>
      <c r="L373">
        <v>2067.6023589071701</v>
      </c>
      <c r="M373">
        <v>39.142861177548497</v>
      </c>
      <c r="N373">
        <v>53.681343961363197</v>
      </c>
      <c r="O373">
        <v>52.684649554459703</v>
      </c>
      <c r="P373">
        <v>-0.14249949758849401</v>
      </c>
      <c r="Q373">
        <v>0.232808363591479</v>
      </c>
      <c r="R373">
        <v>0.99207378022280002</v>
      </c>
      <c r="S373" t="s">
        <v>4205</v>
      </c>
      <c r="T373" t="s">
        <v>7662</v>
      </c>
      <c r="U373" t="s">
        <v>7662</v>
      </c>
      <c r="V373" t="s">
        <v>7662</v>
      </c>
      <c r="W373">
        <v>19</v>
      </c>
      <c r="X373" t="s">
        <v>8035</v>
      </c>
      <c r="Y373">
        <v>0.5636277298453235</v>
      </c>
      <c r="Z373" t="str">
        <f>HYPERLINK("Melting_Curves/meltCurve_sp_P00450_CERU_HUMAN_.pdf", "Melting_Curves/meltCurve_sp_P00450_CERU_HUMAN_.pdf")</f>
        <v>Melting_Curves/meltCurve_sp_P00450_CERU_HUMAN_.pdf</v>
      </c>
      <c r="AA373" t="s">
        <v>11861</v>
      </c>
      <c r="AB373" t="s">
        <v>15614</v>
      </c>
    </row>
    <row r="374" spans="1:28" x14ac:dyDescent="0.25">
      <c r="A374" t="s">
        <v>378</v>
      </c>
      <c r="B374">
        <v>0.98876768158843997</v>
      </c>
      <c r="C374">
        <v>0.97951036024148397</v>
      </c>
      <c r="D374">
        <v>0.94489267618587802</v>
      </c>
      <c r="E374">
        <v>0.92499278879478897</v>
      </c>
      <c r="F374">
        <v>0.79821613443131001</v>
      </c>
      <c r="G374">
        <v>0.60761731482772197</v>
      </c>
      <c r="H374">
        <v>0.41229699619986299</v>
      </c>
      <c r="I374">
        <v>0.11131165468873799</v>
      </c>
      <c r="J374">
        <v>5.8512159392744102E-2</v>
      </c>
      <c r="K374">
        <v>5.3643025769766602E-2</v>
      </c>
      <c r="L374">
        <v>964.43786445267904</v>
      </c>
      <c r="M374">
        <v>16.5444158143717</v>
      </c>
      <c r="N374">
        <v>58.2938609548386</v>
      </c>
      <c r="O374">
        <v>57.462168224898697</v>
      </c>
      <c r="P374">
        <v>-7.1984560753434498E-2</v>
      </c>
      <c r="Q374">
        <v>0</v>
      </c>
      <c r="R374">
        <v>0.98602493340000497</v>
      </c>
      <c r="S374" t="s">
        <v>4206</v>
      </c>
      <c r="T374" t="s">
        <v>7662</v>
      </c>
      <c r="U374" t="s">
        <v>7662</v>
      </c>
      <c r="V374" t="s">
        <v>7662</v>
      </c>
      <c r="W374">
        <v>19</v>
      </c>
      <c r="X374" t="s">
        <v>8036</v>
      </c>
      <c r="Y374">
        <v>0.62218439297940031</v>
      </c>
      <c r="Z374" t="str">
        <f>HYPERLINK("Melting_Curves/meltCurve_sp_P00480_OTC_HUMAN_.pdf", "Melting_Curves/meltCurve_sp_P00480_OTC_HUMAN_.pdf")</f>
        <v>Melting_Curves/meltCurve_sp_P00480_OTC_HUMAN_.pdf</v>
      </c>
      <c r="AA374" t="s">
        <v>11862</v>
      </c>
      <c r="AB374" t="s">
        <v>15615</v>
      </c>
    </row>
    <row r="375" spans="1:28" x14ac:dyDescent="0.25">
      <c r="A375" t="s">
        <v>379</v>
      </c>
      <c r="B375">
        <v>0.98876768158843997</v>
      </c>
      <c r="C375">
        <v>0.957628377626079</v>
      </c>
      <c r="D375">
        <v>0.92232808220715201</v>
      </c>
      <c r="E375">
        <v>0.85745156176534798</v>
      </c>
      <c r="F375">
        <v>0.770247426155241</v>
      </c>
      <c r="G375">
        <v>0.56906493378146605</v>
      </c>
      <c r="H375">
        <v>0.48681446111568899</v>
      </c>
      <c r="I375">
        <v>0.50095209984895706</v>
      </c>
      <c r="J375">
        <v>0.32091917782566198</v>
      </c>
      <c r="K375">
        <v>0.14801907550642601</v>
      </c>
      <c r="L375">
        <v>501.07372135052799</v>
      </c>
      <c r="M375">
        <v>8.2810894610714101</v>
      </c>
      <c r="N375">
        <v>60.508187521546802</v>
      </c>
      <c r="O375">
        <v>57.287578730697703</v>
      </c>
      <c r="P375">
        <v>-3.6174157181735403E-2</v>
      </c>
      <c r="Q375">
        <v>0</v>
      </c>
      <c r="R375">
        <v>0.96620649568345895</v>
      </c>
      <c r="S375" t="s">
        <v>4207</v>
      </c>
      <c r="T375" t="s">
        <v>7662</v>
      </c>
      <c r="U375" t="s">
        <v>7662</v>
      </c>
      <c r="V375" t="s">
        <v>7662</v>
      </c>
      <c r="W375">
        <v>12</v>
      </c>
      <c r="X375" t="s">
        <v>8037</v>
      </c>
      <c r="Y375">
        <v>0.66541428753976384</v>
      </c>
      <c r="Z375" t="str">
        <f>HYPERLINK("Melting_Curves/meltCurve_sp_P00491_PNPH_HUMAN_.pdf", "Melting_Curves/meltCurve_sp_P00491_PNPH_HUMAN_.pdf")</f>
        <v>Melting_Curves/meltCurve_sp_P00491_PNPH_HUMAN_.pdf</v>
      </c>
      <c r="AA375" t="s">
        <v>11863</v>
      </c>
      <c r="AB375" t="s">
        <v>15616</v>
      </c>
    </row>
    <row r="376" spans="1:28" x14ac:dyDescent="0.25">
      <c r="A376" t="s">
        <v>380</v>
      </c>
      <c r="B376">
        <v>0.98876768158843997</v>
      </c>
      <c r="C376">
        <v>0.97761027129808897</v>
      </c>
      <c r="D376">
        <v>0.91384469765221699</v>
      </c>
      <c r="E376">
        <v>0.79681592063283702</v>
      </c>
      <c r="F376">
        <v>0.64912967242080699</v>
      </c>
      <c r="G376">
        <v>0.48014108388083698</v>
      </c>
      <c r="H376">
        <v>0.42035765089541999</v>
      </c>
      <c r="I376">
        <v>0.497299624305236</v>
      </c>
      <c r="J376">
        <v>0.51019452202439797</v>
      </c>
      <c r="K376">
        <v>0.64298524903178</v>
      </c>
      <c r="L376">
        <v>1232.3829102427201</v>
      </c>
      <c r="M376">
        <v>24.412705179282302</v>
      </c>
      <c r="O376">
        <v>50.146141422221</v>
      </c>
      <c r="P376">
        <v>-5.9975508558774898E-2</v>
      </c>
      <c r="Q376">
        <v>0.50722448097081296</v>
      </c>
      <c r="R376">
        <v>0.92087932949601503</v>
      </c>
      <c r="S376" t="s">
        <v>4208</v>
      </c>
      <c r="T376" t="s">
        <v>7662</v>
      </c>
      <c r="U376" t="s">
        <v>7662</v>
      </c>
      <c r="V376" t="s">
        <v>7662</v>
      </c>
      <c r="W376">
        <v>12</v>
      </c>
      <c r="X376" t="s">
        <v>8038</v>
      </c>
      <c r="Y376">
        <v>0.68402801096371135</v>
      </c>
      <c r="Z376" t="str">
        <f>HYPERLINK("Melting_Curves/meltCurve_sp_P00492_HPRT_HUMAN_.pdf", "Melting_Curves/meltCurve_sp_P00492_HPRT_HUMAN_.pdf")</f>
        <v>Melting_Curves/meltCurve_sp_P00492_HPRT_HUMAN_.pdf</v>
      </c>
      <c r="AA376" t="s">
        <v>11864</v>
      </c>
      <c r="AB376" t="s">
        <v>15617</v>
      </c>
    </row>
    <row r="377" spans="1:28" x14ac:dyDescent="0.25">
      <c r="A377" t="s">
        <v>381</v>
      </c>
      <c r="B377">
        <v>0.98876768158843997</v>
      </c>
      <c r="C377">
        <v>0.68206662791199002</v>
      </c>
      <c r="D377">
        <v>0.93256894963692805</v>
      </c>
      <c r="E377">
        <v>0.69959278345242004</v>
      </c>
      <c r="F377">
        <v>0.54906574498046601</v>
      </c>
      <c r="G377">
        <v>0.36418075846472697</v>
      </c>
      <c r="H377">
        <v>0.29613093870727902</v>
      </c>
      <c r="I377">
        <v>0.34027931232140901</v>
      </c>
      <c r="J377">
        <v>0.26117351823284402</v>
      </c>
      <c r="K377">
        <v>0.224343221985803</v>
      </c>
      <c r="L377">
        <v>448.08381016919299</v>
      </c>
      <c r="M377">
        <v>8.5335495675270892</v>
      </c>
      <c r="N377">
        <v>54.501129270141497</v>
      </c>
      <c r="O377">
        <v>49.863269380263397</v>
      </c>
      <c r="P377">
        <v>-3.7084112742218699E-2</v>
      </c>
      <c r="Q377">
        <v>0.134008709363966</v>
      </c>
      <c r="R377">
        <v>0.89829818493472602</v>
      </c>
      <c r="S377" t="s">
        <v>4209</v>
      </c>
      <c r="T377" t="s">
        <v>7662</v>
      </c>
      <c r="U377" t="s">
        <v>7662</v>
      </c>
      <c r="V377" t="s">
        <v>7662</v>
      </c>
      <c r="W377">
        <v>39</v>
      </c>
      <c r="X377" t="s">
        <v>8039</v>
      </c>
      <c r="Y377">
        <v>0.53117930032423533</v>
      </c>
      <c r="Z377" t="str">
        <f>HYPERLINK("Melting_Curves/meltCurve_sp_P00505_AATM_HUMAN_.pdf", "Melting_Curves/meltCurve_sp_P00505_AATM_HUMAN_.pdf")</f>
        <v>Melting_Curves/meltCurve_sp_P00505_AATM_HUMAN_.pdf</v>
      </c>
      <c r="AA377" t="s">
        <v>11865</v>
      </c>
      <c r="AB377" t="s">
        <v>15618</v>
      </c>
    </row>
    <row r="378" spans="1:28" x14ac:dyDescent="0.25">
      <c r="A378" t="s">
        <v>382</v>
      </c>
      <c r="B378">
        <v>0.98876768158843997</v>
      </c>
      <c r="C378">
        <v>1.08048893712994</v>
      </c>
      <c r="D378">
        <v>0.84364742007461302</v>
      </c>
      <c r="E378">
        <v>0.81850829289967297</v>
      </c>
      <c r="F378">
        <v>0.12462227365789701</v>
      </c>
      <c r="G378">
        <v>6.0438303329342101E-2</v>
      </c>
      <c r="H378">
        <v>3.0529433315351899E-2</v>
      </c>
      <c r="I378">
        <v>2.95282011187782E-2</v>
      </c>
      <c r="J378">
        <v>3.0388932184589899E-2</v>
      </c>
      <c r="K378">
        <v>2.5470929415974002E-2</v>
      </c>
      <c r="L378">
        <v>3253.5660162434901</v>
      </c>
      <c r="M378">
        <v>63.623965753253103</v>
      </c>
      <c r="N378">
        <v>51.194929041281199</v>
      </c>
      <c r="O378">
        <v>51.086986007808598</v>
      </c>
      <c r="P378">
        <v>-0.300614865143223</v>
      </c>
      <c r="Q378">
        <v>3.44832674588215E-2</v>
      </c>
      <c r="R378">
        <v>0.983590229645395</v>
      </c>
      <c r="S378" t="s">
        <v>4210</v>
      </c>
      <c r="T378" t="s">
        <v>7662</v>
      </c>
      <c r="U378" t="s">
        <v>7662</v>
      </c>
      <c r="V378" t="s">
        <v>7662</v>
      </c>
      <c r="W378">
        <v>34</v>
      </c>
      <c r="X378" t="s">
        <v>8040</v>
      </c>
      <c r="Y378">
        <v>0.39427122517827762</v>
      </c>
      <c r="Z378" t="str">
        <f>HYPERLINK("Melting_Curves/meltCurve_sp_P00558_PGK1_HUMAN_.pdf", "Melting_Curves/meltCurve_sp_P00558_PGK1_HUMAN_.pdf")</f>
        <v>Melting_Curves/meltCurve_sp_P00558_PGK1_HUMAN_.pdf</v>
      </c>
      <c r="AA378" t="s">
        <v>11866</v>
      </c>
      <c r="AB378" t="s">
        <v>15619</v>
      </c>
    </row>
    <row r="379" spans="1:28" x14ac:dyDescent="0.25">
      <c r="A379" t="s">
        <v>383</v>
      </c>
      <c r="B379">
        <v>0.98876768158843997</v>
      </c>
      <c r="C379">
        <v>1.1945387947606201</v>
      </c>
      <c r="D379">
        <v>0.86808919818631902</v>
      </c>
      <c r="E379">
        <v>0.70116279689328098</v>
      </c>
      <c r="F379">
        <v>0.332102484504534</v>
      </c>
      <c r="G379">
        <v>0.13966408664294699</v>
      </c>
      <c r="H379">
        <v>7.4705963011669999E-2</v>
      </c>
      <c r="I379">
        <v>7.4001334146444497E-2</v>
      </c>
      <c r="J379">
        <v>7.5850343943908799E-2</v>
      </c>
      <c r="K379">
        <v>8.2761155783115201E-2</v>
      </c>
      <c r="L379">
        <v>1328.2651151206801</v>
      </c>
      <c r="M379">
        <v>25.933822399981501</v>
      </c>
      <c r="N379">
        <v>51.524421152560997</v>
      </c>
      <c r="O379">
        <v>50.915858152808603</v>
      </c>
      <c r="P379">
        <v>-0.118223981370842</v>
      </c>
      <c r="Q379">
        <v>7.1574506492049203E-2</v>
      </c>
      <c r="R379">
        <v>0.97220481930950098</v>
      </c>
      <c r="S379" t="s">
        <v>4211</v>
      </c>
      <c r="T379" t="s">
        <v>7662</v>
      </c>
      <c r="U379" t="s">
        <v>7662</v>
      </c>
      <c r="V379" t="s">
        <v>7662</v>
      </c>
      <c r="W379">
        <v>10</v>
      </c>
      <c r="X379" t="s">
        <v>8041</v>
      </c>
      <c r="Y379">
        <v>0.42655072293261381</v>
      </c>
      <c r="Z379" t="str">
        <f>HYPERLINK("Melting_Curves/meltCurve_sp_P00568_KAD1_HUMAN_.pdf", "Melting_Curves/meltCurve_sp_P00568_KAD1_HUMAN_.pdf")</f>
        <v>Melting_Curves/meltCurve_sp_P00568_KAD1_HUMAN_.pdf</v>
      </c>
      <c r="AA379" t="s">
        <v>11867</v>
      </c>
      <c r="AB379" t="s">
        <v>15620</v>
      </c>
    </row>
    <row r="380" spans="1:28" x14ac:dyDescent="0.25">
      <c r="A380" t="s">
        <v>384</v>
      </c>
      <c r="B380">
        <v>0.98876768158843997</v>
      </c>
      <c r="C380">
        <v>0.93548694890262596</v>
      </c>
      <c r="D380">
        <v>0.87348848030310899</v>
      </c>
      <c r="E380">
        <v>0.67128173773410305</v>
      </c>
      <c r="F380">
        <v>0.44839363523304299</v>
      </c>
      <c r="G380">
        <v>0.28962990639276198</v>
      </c>
      <c r="H380">
        <v>0.23213955035939199</v>
      </c>
      <c r="I380">
        <v>0.25240126046745998</v>
      </c>
      <c r="J380">
        <v>0.37192460823871198</v>
      </c>
      <c r="K380">
        <v>0.346247459804647</v>
      </c>
      <c r="L380">
        <v>1076.2132512355599</v>
      </c>
      <c r="M380">
        <v>21.555793429099399</v>
      </c>
      <c r="N380">
        <v>51.9943373054085</v>
      </c>
      <c r="O380">
        <v>49.503114696393098</v>
      </c>
      <c r="P380">
        <v>-7.7531319133238796E-2</v>
      </c>
      <c r="Q380">
        <v>0.28781087177415898</v>
      </c>
      <c r="R380">
        <v>0.97213700893198796</v>
      </c>
      <c r="S380" t="s">
        <v>4212</v>
      </c>
      <c r="T380" t="s">
        <v>7662</v>
      </c>
      <c r="U380" t="s">
        <v>7662</v>
      </c>
      <c r="V380" t="s">
        <v>7662</v>
      </c>
      <c r="W380">
        <v>5</v>
      </c>
      <c r="X380" t="s">
        <v>8042</v>
      </c>
      <c r="Y380">
        <v>0.53202763757950389</v>
      </c>
      <c r="Z380" t="str">
        <f>HYPERLINK("Melting_Curves/meltCurve_sp_P00734_THRB_HUMAN_.pdf", "Melting_Curves/meltCurve_sp_P00734_THRB_HUMAN_.pdf")</f>
        <v>Melting_Curves/meltCurve_sp_P00734_THRB_HUMAN_.pdf</v>
      </c>
      <c r="AA380" t="s">
        <v>11868</v>
      </c>
      <c r="AB380" t="s">
        <v>15621</v>
      </c>
    </row>
    <row r="381" spans="1:28" x14ac:dyDescent="0.25">
      <c r="A381" t="s">
        <v>385</v>
      </c>
      <c r="B381">
        <v>0.98876768158843997</v>
      </c>
      <c r="C381">
        <v>0.85480390560831998</v>
      </c>
      <c r="D381">
        <v>0.75963299463628597</v>
      </c>
      <c r="E381">
        <v>0.41745847946638798</v>
      </c>
      <c r="F381">
        <v>0.19542071728065299</v>
      </c>
      <c r="G381">
        <v>9.9852620721948407E-2</v>
      </c>
      <c r="H381">
        <v>5.5499865783857703E-2</v>
      </c>
      <c r="I381">
        <v>3.8449382165092499E-2</v>
      </c>
      <c r="J381">
        <v>2.68976539026663E-2</v>
      </c>
      <c r="K381">
        <v>2.70056100609232E-2</v>
      </c>
      <c r="L381">
        <v>809.49889990725399</v>
      </c>
      <c r="M381">
        <v>16.6134944434461</v>
      </c>
      <c r="N381">
        <v>48.829506517738601</v>
      </c>
      <c r="O381">
        <v>48.035858778445302</v>
      </c>
      <c r="P381">
        <v>-8.49650822501717E-2</v>
      </c>
      <c r="Q381">
        <v>1.74029601454493E-2</v>
      </c>
      <c r="R381">
        <v>0.99659422665853203</v>
      </c>
      <c r="S381" t="s">
        <v>4213</v>
      </c>
      <c r="T381" t="s">
        <v>7662</v>
      </c>
      <c r="U381" t="s">
        <v>7662</v>
      </c>
      <c r="V381" t="s">
        <v>7662</v>
      </c>
      <c r="W381">
        <v>4</v>
      </c>
      <c r="X381" t="s">
        <v>8043</v>
      </c>
      <c r="Y381">
        <v>0.32327734859050439</v>
      </c>
      <c r="Z381" t="str">
        <f>HYPERLINK("Melting_Curves/meltCurve_sp_P00736_C1R_HUMAN_.pdf", "Melting_Curves/meltCurve_sp_P00736_C1R_HUMAN_.pdf")</f>
        <v>Melting_Curves/meltCurve_sp_P00736_C1R_HUMAN_.pdf</v>
      </c>
      <c r="AA381" t="s">
        <v>11869</v>
      </c>
      <c r="AB381" t="s">
        <v>15622</v>
      </c>
    </row>
    <row r="382" spans="1:28" x14ac:dyDescent="0.25">
      <c r="A382" t="s">
        <v>386</v>
      </c>
      <c r="B382">
        <v>0.98876768158843997</v>
      </c>
      <c r="C382">
        <v>0.93316408695037401</v>
      </c>
      <c r="D382">
        <v>1.05350337573901</v>
      </c>
      <c r="E382">
        <v>1.01138527517737</v>
      </c>
      <c r="F382">
        <v>0.80642330741613</v>
      </c>
      <c r="G382">
        <v>0.62096139496114999</v>
      </c>
      <c r="H382">
        <v>0.36110213162193899</v>
      </c>
      <c r="I382">
        <v>0.24805225311308399</v>
      </c>
      <c r="J382">
        <v>0.22776602776206201</v>
      </c>
      <c r="K382">
        <v>0.313121872268182</v>
      </c>
      <c r="L382">
        <v>1293.0758311279999</v>
      </c>
      <c r="M382">
        <v>22.872873561561502</v>
      </c>
      <c r="N382">
        <v>58.211894963116002</v>
      </c>
      <c r="O382">
        <v>56.106351900335397</v>
      </c>
      <c r="P382">
        <v>-7.7308607454529901E-2</v>
      </c>
      <c r="Q382">
        <v>0.241473366756397</v>
      </c>
      <c r="R382">
        <v>0.97938895451668695</v>
      </c>
      <c r="S382" t="s">
        <v>4214</v>
      </c>
      <c r="T382" t="s">
        <v>7662</v>
      </c>
      <c r="U382" t="s">
        <v>7662</v>
      </c>
      <c r="V382" t="s">
        <v>7662</v>
      </c>
      <c r="W382">
        <v>30</v>
      </c>
      <c r="X382" t="s">
        <v>8044</v>
      </c>
      <c r="Y382">
        <v>0.66742311281760658</v>
      </c>
      <c r="Z382" t="str">
        <f>HYPERLINK("Melting_Curves/meltCurve_sp_P00738_HPT_HUMAN_.pdf", "Melting_Curves/meltCurve_sp_P00738_HPT_HUMAN_.pdf")</f>
        <v>Melting_Curves/meltCurve_sp_P00738_HPT_HUMAN_.pdf</v>
      </c>
      <c r="AA382" t="s">
        <v>11870</v>
      </c>
      <c r="AB382" t="s">
        <v>15623</v>
      </c>
    </row>
    <row r="383" spans="1:28" x14ac:dyDescent="0.25">
      <c r="A383" t="s">
        <v>387</v>
      </c>
      <c r="B383">
        <v>0.98876768158843997</v>
      </c>
      <c r="C383">
        <v>0.91213100806251202</v>
      </c>
      <c r="D383">
        <v>0.81076747612421196</v>
      </c>
      <c r="E383">
        <v>0.54609054044674299</v>
      </c>
      <c r="F383">
        <v>0.399224048686463</v>
      </c>
      <c r="G383">
        <v>0.24707231840374</v>
      </c>
      <c r="H383">
        <v>0.18892198868064899</v>
      </c>
      <c r="I383">
        <v>0.193345343628469</v>
      </c>
      <c r="J383">
        <v>0.26645890583507797</v>
      </c>
      <c r="K383">
        <v>0.259371036494628</v>
      </c>
      <c r="L383">
        <v>856.16977067444805</v>
      </c>
      <c r="M383">
        <v>17.471647660920901</v>
      </c>
      <c r="N383">
        <v>50.613366231216197</v>
      </c>
      <c r="O383">
        <v>48.374915170841497</v>
      </c>
      <c r="P383">
        <v>-7.10479295855031E-2</v>
      </c>
      <c r="Q383">
        <v>0.21318277336069699</v>
      </c>
      <c r="R383">
        <v>0.98935833342702195</v>
      </c>
      <c r="S383" t="s">
        <v>4215</v>
      </c>
      <c r="T383" t="s">
        <v>7662</v>
      </c>
      <c r="U383" t="s">
        <v>7662</v>
      </c>
      <c r="V383" t="s">
        <v>7662</v>
      </c>
      <c r="W383">
        <v>2</v>
      </c>
      <c r="X383" t="s">
        <v>8045</v>
      </c>
      <c r="Y383">
        <v>0.46377483906134398</v>
      </c>
      <c r="Z383" t="str">
        <f>HYPERLINK("Melting_Curves/meltCurve_sp_P00740_FA9_HUMAN_.pdf", "Melting_Curves/meltCurve_sp_P00740_FA9_HUMAN_.pdf")</f>
        <v>Melting_Curves/meltCurve_sp_P00740_FA9_HUMAN_.pdf</v>
      </c>
      <c r="AA383" t="s">
        <v>11871</v>
      </c>
      <c r="AB383" t="s">
        <v>15624</v>
      </c>
    </row>
    <row r="384" spans="1:28" x14ac:dyDescent="0.25">
      <c r="A384" t="s">
        <v>388</v>
      </c>
      <c r="B384">
        <v>0.98876768158843997</v>
      </c>
      <c r="C384">
        <v>0.95914724863107803</v>
      </c>
      <c r="D384">
        <v>0.91309382707942499</v>
      </c>
      <c r="E384">
        <v>0.52128374451202297</v>
      </c>
      <c r="F384">
        <v>0.522223969865108</v>
      </c>
      <c r="G384">
        <v>0.31328415618095801</v>
      </c>
      <c r="H384">
        <v>0.27056523496727403</v>
      </c>
      <c r="I384">
        <v>0.27818286746235898</v>
      </c>
      <c r="J384">
        <v>0.49773722815351101</v>
      </c>
      <c r="K384">
        <v>0.48350631223915902</v>
      </c>
      <c r="L384">
        <v>1376.8555077497199</v>
      </c>
      <c r="M384">
        <v>28.4082129039822</v>
      </c>
      <c r="N384">
        <v>51.010924483346997</v>
      </c>
      <c r="O384">
        <v>48.228556901740298</v>
      </c>
      <c r="P384">
        <v>-9.1483615110649605E-2</v>
      </c>
      <c r="Q384">
        <v>0.37875899107647198</v>
      </c>
      <c r="R384">
        <v>0.90804852705039696</v>
      </c>
      <c r="S384" t="s">
        <v>4216</v>
      </c>
      <c r="T384" t="s">
        <v>7662</v>
      </c>
      <c r="U384" t="s">
        <v>7662</v>
      </c>
      <c r="V384" t="s">
        <v>7662</v>
      </c>
      <c r="W384">
        <v>3</v>
      </c>
      <c r="X384" t="s">
        <v>8046</v>
      </c>
      <c r="Y384">
        <v>0.55829681258921726</v>
      </c>
      <c r="Z384" t="str">
        <f>HYPERLINK("Melting_Curves/meltCurve_sp_P00747_PLMN_HUMAN_.pdf", "Melting_Curves/meltCurve_sp_P00747_PLMN_HUMAN_.pdf")</f>
        <v>Melting_Curves/meltCurve_sp_P00747_PLMN_HUMAN_.pdf</v>
      </c>
      <c r="AA384" t="s">
        <v>11872</v>
      </c>
      <c r="AB384" t="s">
        <v>15625</v>
      </c>
    </row>
    <row r="385" spans="1:28" x14ac:dyDescent="0.25">
      <c r="A385" t="s">
        <v>389</v>
      </c>
      <c r="B385">
        <v>0.98876768158843997</v>
      </c>
      <c r="C385">
        <v>0.97844165039429798</v>
      </c>
      <c r="D385">
        <v>0.84684936089429197</v>
      </c>
      <c r="E385">
        <v>0.70445976737862404</v>
      </c>
      <c r="F385">
        <v>0.53009115571734999</v>
      </c>
      <c r="G385">
        <v>0.220529864587654</v>
      </c>
      <c r="H385">
        <v>0.110387832264326</v>
      </c>
      <c r="I385">
        <v>0.107803238430842</v>
      </c>
      <c r="J385">
        <v>0.153115594307762</v>
      </c>
      <c r="K385">
        <v>0.105316058895324</v>
      </c>
      <c r="L385">
        <v>859.04577193570799</v>
      </c>
      <c r="M385">
        <v>16.4746117414496</v>
      </c>
      <c r="N385">
        <v>52.696602341839601</v>
      </c>
      <c r="O385">
        <v>51.393494153769801</v>
      </c>
      <c r="P385">
        <v>-7.3783145472872999E-2</v>
      </c>
      <c r="Q385">
        <v>7.9381406577638799E-2</v>
      </c>
      <c r="R385">
        <v>0.98975969104174599</v>
      </c>
      <c r="S385" t="s">
        <v>4217</v>
      </c>
      <c r="T385" t="s">
        <v>7662</v>
      </c>
      <c r="U385" t="s">
        <v>7662</v>
      </c>
      <c r="V385" t="s">
        <v>7662</v>
      </c>
      <c r="W385">
        <v>3</v>
      </c>
      <c r="X385" t="s">
        <v>8047</v>
      </c>
      <c r="Y385">
        <v>0.46972954334875527</v>
      </c>
      <c r="Z385" t="str">
        <f>HYPERLINK("Melting_Curves/meltCurve_sp_P00748_FA12_HUMAN_.pdf", "Melting_Curves/meltCurve_sp_P00748_FA12_HUMAN_.pdf")</f>
        <v>Melting_Curves/meltCurve_sp_P00748_FA12_HUMAN_.pdf</v>
      </c>
      <c r="AA385" t="s">
        <v>11873</v>
      </c>
      <c r="AB385" t="s">
        <v>15626</v>
      </c>
    </row>
    <row r="386" spans="1:28" x14ac:dyDescent="0.25">
      <c r="A386" t="s">
        <v>390</v>
      </c>
      <c r="B386">
        <v>0.98876768158843997</v>
      </c>
      <c r="C386">
        <v>0.60696808352074605</v>
      </c>
      <c r="D386">
        <v>0.98171451853031699</v>
      </c>
      <c r="E386">
        <v>0.52861898415467701</v>
      </c>
      <c r="F386">
        <v>0.27083995391368698</v>
      </c>
      <c r="G386">
        <v>0.184431597301633</v>
      </c>
      <c r="H386">
        <v>0.11794796960227701</v>
      </c>
      <c r="I386">
        <v>4.0055399919894603E-2</v>
      </c>
      <c r="J386">
        <v>3.11126109625866E-2</v>
      </c>
      <c r="K386">
        <v>2.76785532693886E-2</v>
      </c>
      <c r="L386">
        <v>644.96948263889897</v>
      </c>
      <c r="M386">
        <v>12.823055361951001</v>
      </c>
      <c r="N386">
        <v>50.297644407983398</v>
      </c>
      <c r="O386">
        <v>49.121487394292899</v>
      </c>
      <c r="P386">
        <v>-6.5274106639114607E-2</v>
      </c>
      <c r="Q386">
        <v>0</v>
      </c>
      <c r="R386">
        <v>0.89197787013162599</v>
      </c>
      <c r="S386" t="s">
        <v>4218</v>
      </c>
      <c r="T386" t="s">
        <v>7662</v>
      </c>
      <c r="U386" t="s">
        <v>7662</v>
      </c>
      <c r="V386" t="s">
        <v>7662</v>
      </c>
      <c r="W386">
        <v>32</v>
      </c>
      <c r="X386" t="s">
        <v>8048</v>
      </c>
      <c r="Y386">
        <v>0.37392873623629841</v>
      </c>
      <c r="Z386" t="str">
        <f>HYPERLINK("Melting_Curves/meltCurve_sp_P00966_ASSY_HUMAN_.pdf", "Melting_Curves/meltCurve_sp_P00966_ASSY_HUMAN_.pdf")</f>
        <v>Melting_Curves/meltCurve_sp_P00966_ASSY_HUMAN_.pdf</v>
      </c>
      <c r="AA386" t="s">
        <v>11874</v>
      </c>
      <c r="AB386" t="s">
        <v>15627</v>
      </c>
    </row>
    <row r="387" spans="1:28" x14ac:dyDescent="0.25">
      <c r="A387" t="s">
        <v>391</v>
      </c>
      <c r="B387">
        <v>0.98876768158843997</v>
      </c>
      <c r="C387">
        <v>0.94407795200967404</v>
      </c>
      <c r="D387">
        <v>0.88525228116524401</v>
      </c>
      <c r="E387">
        <v>0.77638366586541796</v>
      </c>
      <c r="F387">
        <v>0.75264815278152897</v>
      </c>
      <c r="G387">
        <v>0.55057822534726097</v>
      </c>
      <c r="H387">
        <v>0.35815205354642099</v>
      </c>
      <c r="I387">
        <v>0.27825793839690499</v>
      </c>
      <c r="J387">
        <v>0.217827615843284</v>
      </c>
      <c r="K387">
        <v>0.25776558107567099</v>
      </c>
      <c r="L387">
        <v>562.52458339387204</v>
      </c>
      <c r="M387">
        <v>9.9312477882940104</v>
      </c>
      <c r="N387">
        <v>57.741006008107099</v>
      </c>
      <c r="O387">
        <v>54.488837389675403</v>
      </c>
      <c r="P387">
        <v>-4.1661960807063303E-2</v>
      </c>
      <c r="Q387">
        <v>8.6125417016294795E-2</v>
      </c>
      <c r="R387">
        <v>0.98598789020055599</v>
      </c>
      <c r="S387" t="s">
        <v>4219</v>
      </c>
      <c r="T387" t="s">
        <v>7662</v>
      </c>
      <c r="U387" t="s">
        <v>7662</v>
      </c>
      <c r="V387" t="s">
        <v>7662</v>
      </c>
      <c r="W387">
        <v>18</v>
      </c>
      <c r="X387" t="s">
        <v>8049</v>
      </c>
      <c r="Y387">
        <v>0.60926982052245093</v>
      </c>
      <c r="Z387" t="str">
        <f>HYPERLINK("Melting_Curves/meltCurve_sp_P01009_A1AT_HUMAN_.pdf", "Melting_Curves/meltCurve_sp_P01009_A1AT_HUMAN_.pdf")</f>
        <v>Melting_Curves/meltCurve_sp_P01009_A1AT_HUMAN_.pdf</v>
      </c>
      <c r="AA387" t="s">
        <v>11875</v>
      </c>
      <c r="AB387" t="s">
        <v>15628</v>
      </c>
    </row>
    <row r="388" spans="1:28" x14ac:dyDescent="0.25">
      <c r="A388" t="s">
        <v>392</v>
      </c>
      <c r="B388">
        <v>0.98876768158843997</v>
      </c>
      <c r="C388">
        <v>1.0018964032713999</v>
      </c>
      <c r="D388">
        <v>0.89568359736186998</v>
      </c>
      <c r="E388">
        <v>0.78950026517952299</v>
      </c>
      <c r="F388">
        <v>0.72314795428622602</v>
      </c>
      <c r="G388">
        <v>0.41584245161182198</v>
      </c>
      <c r="H388">
        <v>0.15219673787181701</v>
      </c>
      <c r="I388">
        <v>0.11147149790241601</v>
      </c>
      <c r="J388">
        <v>9.5025855917676094E-2</v>
      </c>
      <c r="K388">
        <v>7.6558846208024903E-2</v>
      </c>
      <c r="L388">
        <v>827.85907042525503</v>
      </c>
      <c r="M388">
        <v>14.9568821847541</v>
      </c>
      <c r="N388">
        <v>55.4295546525818</v>
      </c>
      <c r="O388">
        <v>54.388548311454599</v>
      </c>
      <c r="P388">
        <v>-6.8024372577642295E-2</v>
      </c>
      <c r="Q388">
        <v>1.0657737948326E-2</v>
      </c>
      <c r="R388">
        <v>0.99011158397405197</v>
      </c>
      <c r="S388" t="s">
        <v>4220</v>
      </c>
      <c r="T388" t="s">
        <v>7662</v>
      </c>
      <c r="U388" t="s">
        <v>7662</v>
      </c>
      <c r="V388" t="s">
        <v>7662</v>
      </c>
      <c r="W388">
        <v>14</v>
      </c>
      <c r="X388" t="s">
        <v>8050</v>
      </c>
      <c r="Y388">
        <v>0.53549688295266429</v>
      </c>
      <c r="Z388" t="str">
        <f>HYPERLINK("Melting_Curves/meltCurve_sp_P01011_AACT_HUMAN_.pdf", "Melting_Curves/meltCurve_sp_P01011_AACT_HUMAN_.pdf")</f>
        <v>Melting_Curves/meltCurve_sp_P01011_AACT_HUMAN_.pdf</v>
      </c>
      <c r="AA388" t="s">
        <v>11876</v>
      </c>
      <c r="AB388" t="s">
        <v>15629</v>
      </c>
    </row>
    <row r="389" spans="1:28" x14ac:dyDescent="0.25">
      <c r="A389" t="s">
        <v>393</v>
      </c>
      <c r="B389">
        <v>0.98876768158843997</v>
      </c>
      <c r="C389">
        <v>1.0041121124147201</v>
      </c>
      <c r="D389">
        <v>0.87404978059654903</v>
      </c>
      <c r="E389">
        <v>0.79880391043392096</v>
      </c>
      <c r="F389">
        <v>0.75123926726912205</v>
      </c>
      <c r="G389">
        <v>0.370264950967235</v>
      </c>
      <c r="H389">
        <v>0.151289450287661</v>
      </c>
      <c r="I389">
        <v>3.8923016240602501E-2</v>
      </c>
      <c r="J389">
        <v>1.6410287111903201E-2</v>
      </c>
      <c r="K389">
        <v>8.6342983766824304E-3</v>
      </c>
      <c r="L389">
        <v>988.99706354870102</v>
      </c>
      <c r="M389">
        <v>17.894564501635902</v>
      </c>
      <c r="N389">
        <v>55.268015232121797</v>
      </c>
      <c r="O389">
        <v>54.591668206793301</v>
      </c>
      <c r="P389">
        <v>-8.1951463825567297E-2</v>
      </c>
      <c r="Q389">
        <v>0</v>
      </c>
      <c r="R389">
        <v>0.98622583003956799</v>
      </c>
      <c r="S389" t="s">
        <v>4221</v>
      </c>
      <c r="T389" t="s">
        <v>7662</v>
      </c>
      <c r="U389" t="s">
        <v>7662</v>
      </c>
      <c r="V389" t="s">
        <v>7662</v>
      </c>
      <c r="W389">
        <v>6</v>
      </c>
      <c r="X389" t="s">
        <v>8051</v>
      </c>
      <c r="Y389">
        <v>0.52434635901557136</v>
      </c>
      <c r="Z389" t="str">
        <f>HYPERLINK("Melting_Curves/meltCurve_sp_P01019_ANGT_HUMAN_.pdf", "Melting_Curves/meltCurve_sp_P01019_ANGT_HUMAN_.pdf")</f>
        <v>Melting_Curves/meltCurve_sp_P01019_ANGT_HUMAN_.pdf</v>
      </c>
      <c r="AA389" t="s">
        <v>11877</v>
      </c>
      <c r="AB389" t="s">
        <v>15630</v>
      </c>
    </row>
    <row r="390" spans="1:28" x14ac:dyDescent="0.25">
      <c r="A390" t="s">
        <v>394</v>
      </c>
      <c r="B390">
        <v>0.98876768158843997</v>
      </c>
      <c r="C390">
        <v>0.94787167991886301</v>
      </c>
      <c r="D390">
        <v>1.0740256022685399</v>
      </c>
      <c r="E390">
        <v>0.98051701068588704</v>
      </c>
      <c r="F390">
        <v>0.62409783712136802</v>
      </c>
      <c r="G390">
        <v>0.45829614960501502</v>
      </c>
      <c r="H390">
        <v>0.38513056440354498</v>
      </c>
      <c r="I390">
        <v>0.34153843445360899</v>
      </c>
      <c r="J390">
        <v>0.285183042212867</v>
      </c>
      <c r="K390">
        <v>0.17071034935944801</v>
      </c>
      <c r="L390">
        <v>1217.68753510029</v>
      </c>
      <c r="M390">
        <v>22.5722979287242</v>
      </c>
      <c r="N390">
        <v>55.892886992668799</v>
      </c>
      <c r="O390">
        <v>53.528046236393401</v>
      </c>
      <c r="P390">
        <v>-7.6726634325939194E-2</v>
      </c>
      <c r="Q390">
        <v>0.27221513415783799</v>
      </c>
      <c r="R390">
        <v>0.95937222905576702</v>
      </c>
      <c r="S390" t="s">
        <v>4222</v>
      </c>
      <c r="T390" t="s">
        <v>7662</v>
      </c>
      <c r="U390" t="s">
        <v>7662</v>
      </c>
      <c r="V390" t="s">
        <v>7662</v>
      </c>
      <c r="W390">
        <v>21</v>
      </c>
      <c r="X390" t="s">
        <v>8052</v>
      </c>
      <c r="Y390">
        <v>0.61861989109879945</v>
      </c>
      <c r="Z390" t="str">
        <f>HYPERLINK("Melting_Curves/meltCurve_sp_P01023_A2MG_HUMAN_.pdf", "Melting_Curves/meltCurve_sp_P01023_A2MG_HUMAN_.pdf")</f>
        <v>Melting_Curves/meltCurve_sp_P01023_A2MG_HUMAN_.pdf</v>
      </c>
      <c r="AA390" t="s">
        <v>11878</v>
      </c>
      <c r="AB390" t="s">
        <v>15631</v>
      </c>
    </row>
    <row r="391" spans="1:28" x14ac:dyDescent="0.25">
      <c r="A391" t="s">
        <v>395</v>
      </c>
      <c r="B391">
        <v>0.98876768158843997</v>
      </c>
      <c r="C391">
        <v>0.89877296651870897</v>
      </c>
      <c r="D391">
        <v>1.0183118309730199</v>
      </c>
      <c r="E391">
        <v>0.96127035515522397</v>
      </c>
      <c r="F391">
        <v>0.67509346257139202</v>
      </c>
      <c r="G391">
        <v>0.40122880765208702</v>
      </c>
      <c r="H391">
        <v>0.12560021026625101</v>
      </c>
      <c r="I391">
        <v>0.109300584500194</v>
      </c>
      <c r="J391">
        <v>0.11899932562785</v>
      </c>
      <c r="K391">
        <v>0.11523224348588</v>
      </c>
      <c r="L391">
        <v>1302.7527637379901</v>
      </c>
      <c r="M391">
        <v>23.762884410454301</v>
      </c>
      <c r="N391">
        <v>55.306165116828701</v>
      </c>
      <c r="O391">
        <v>54.4391734148954</v>
      </c>
      <c r="P391">
        <v>-9.8899017412139995E-2</v>
      </c>
      <c r="Q391">
        <v>9.3730769194061606E-2</v>
      </c>
      <c r="R391">
        <v>0.98670795052129701</v>
      </c>
      <c r="S391" t="s">
        <v>4223</v>
      </c>
      <c r="T391" t="s">
        <v>7662</v>
      </c>
      <c r="U391" t="s">
        <v>7662</v>
      </c>
      <c r="V391" t="s">
        <v>7662</v>
      </c>
      <c r="W391">
        <v>75</v>
      </c>
      <c r="X391" t="s">
        <v>8053</v>
      </c>
      <c r="Y391">
        <v>0.55068244841298908</v>
      </c>
      <c r="Z391" t="str">
        <f>HYPERLINK("Melting_Curves/meltCurve_sp_P01024_CO3_HUMAN_.pdf", "Melting_Curves/meltCurve_sp_P01024_CO3_HUMAN_.pdf")</f>
        <v>Melting_Curves/meltCurve_sp_P01024_CO3_HUMAN_.pdf</v>
      </c>
      <c r="AA391" t="s">
        <v>11879</v>
      </c>
      <c r="AB391" t="s">
        <v>15632</v>
      </c>
    </row>
    <row r="392" spans="1:28" x14ac:dyDescent="0.25">
      <c r="A392" t="s">
        <v>396</v>
      </c>
      <c r="B392">
        <v>0.98876768158843997</v>
      </c>
      <c r="C392">
        <v>0.90652580245693004</v>
      </c>
      <c r="D392">
        <v>0.84453719089846802</v>
      </c>
      <c r="E392">
        <v>0.74821289323120399</v>
      </c>
      <c r="F392">
        <v>0.68389079684050003</v>
      </c>
      <c r="G392">
        <v>0.47789507740707099</v>
      </c>
      <c r="H392">
        <v>0.36549329900499</v>
      </c>
      <c r="I392">
        <v>0.46960909881062102</v>
      </c>
      <c r="J392">
        <v>0.43459780856833202</v>
      </c>
      <c r="K392">
        <v>0.74869922463819405</v>
      </c>
      <c r="L392">
        <v>769.18665315504495</v>
      </c>
      <c r="M392">
        <v>15.6596003688124</v>
      </c>
      <c r="N392">
        <v>68.587952328436103</v>
      </c>
      <c r="O392">
        <v>48.339079543440803</v>
      </c>
      <c r="P392">
        <v>-4.0972931519690801E-2</v>
      </c>
      <c r="Q392">
        <v>0.49413144933617997</v>
      </c>
      <c r="R392">
        <v>0.75416261817320396</v>
      </c>
      <c r="S392" t="s">
        <v>4224</v>
      </c>
      <c r="T392" t="s">
        <v>7662</v>
      </c>
      <c r="U392" t="s">
        <v>7662</v>
      </c>
      <c r="V392" t="s">
        <v>7662</v>
      </c>
      <c r="W392">
        <v>3</v>
      </c>
      <c r="X392" t="s">
        <v>8054</v>
      </c>
      <c r="Y392">
        <v>0.65936364945424064</v>
      </c>
      <c r="Z392" t="str">
        <f>HYPERLINK("Melting_Curves/meltCurve_sp_P01040_CYTA_HUMAN_.pdf", "Melting_Curves/meltCurve_sp_P01040_CYTA_HUMAN_.pdf")</f>
        <v>Melting_Curves/meltCurve_sp_P01040_CYTA_HUMAN_.pdf</v>
      </c>
      <c r="AA392" t="s">
        <v>11880</v>
      </c>
      <c r="AB392" t="s">
        <v>15633</v>
      </c>
    </row>
    <row r="393" spans="1:28" x14ac:dyDescent="0.25">
      <c r="A393" t="s">
        <v>397</v>
      </c>
      <c r="B393">
        <v>0.98876768158843997</v>
      </c>
      <c r="C393">
        <v>0.95650517078380803</v>
      </c>
      <c r="D393">
        <v>0.87825847604882601</v>
      </c>
      <c r="E393">
        <v>0.71143570397578804</v>
      </c>
      <c r="F393">
        <v>0.68285388241223999</v>
      </c>
      <c r="G393">
        <v>0.43762296192307998</v>
      </c>
      <c r="H393">
        <v>0.28097962503626001</v>
      </c>
      <c r="I393">
        <v>0.27659906208837298</v>
      </c>
      <c r="J393">
        <v>0.32119033137415598</v>
      </c>
      <c r="K393">
        <v>0.306507400221876</v>
      </c>
      <c r="L393">
        <v>693.92809762735396</v>
      </c>
      <c r="M393">
        <v>13.1925224715447</v>
      </c>
      <c r="N393">
        <v>55.408611396835298</v>
      </c>
      <c r="O393">
        <v>51.435537022623002</v>
      </c>
      <c r="P393">
        <v>-4.8496163478797399E-2</v>
      </c>
      <c r="Q393">
        <v>0.24381064161930899</v>
      </c>
      <c r="R393">
        <v>0.97852361076511296</v>
      </c>
      <c r="S393" t="s">
        <v>4225</v>
      </c>
      <c r="T393" t="s">
        <v>7662</v>
      </c>
      <c r="U393" t="s">
        <v>7662</v>
      </c>
      <c r="V393" t="s">
        <v>7662</v>
      </c>
      <c r="W393">
        <v>12</v>
      </c>
      <c r="X393" t="s">
        <v>8055</v>
      </c>
      <c r="Y393">
        <v>0.58113956563792046</v>
      </c>
      <c r="Z393" t="str">
        <f>HYPERLINK("Melting_Curves/meltCurve_sp_P01042_2_KNG1_HUMAN_.pdf", "Melting_Curves/meltCurve_sp_P01042_2_KNG1_HUMAN_.pdf")</f>
        <v>Melting_Curves/meltCurve_sp_P01042_2_KNG1_HUMAN_.pdf</v>
      </c>
      <c r="AA393" t="s">
        <v>11881</v>
      </c>
      <c r="AB393" t="s">
        <v>15634</v>
      </c>
    </row>
    <row r="394" spans="1:28" x14ac:dyDescent="0.25">
      <c r="A394" t="s">
        <v>398</v>
      </c>
      <c r="B394">
        <v>0.98876768158843997</v>
      </c>
      <c r="C394">
        <v>1.05426784017036</v>
      </c>
      <c r="D394">
        <v>0.72180695083517998</v>
      </c>
      <c r="E394">
        <v>0.46907048619307101</v>
      </c>
      <c r="F394">
        <v>0.32914329584789698</v>
      </c>
      <c r="G394">
        <v>0.18123198227246501</v>
      </c>
      <c r="H394">
        <v>9.3136927453907697E-2</v>
      </c>
      <c r="I394">
        <v>6.4380636123014007E-2</v>
      </c>
      <c r="J394">
        <v>8.0890341343102204E-2</v>
      </c>
      <c r="K394">
        <v>7.3377608602456901E-2</v>
      </c>
      <c r="L394">
        <v>821.34643908056103</v>
      </c>
      <c r="M394">
        <v>16.6262305961123</v>
      </c>
      <c r="N394">
        <v>49.829420004151999</v>
      </c>
      <c r="O394">
        <v>48.702581306989799</v>
      </c>
      <c r="P394">
        <v>-7.9662616145901199E-2</v>
      </c>
      <c r="Q394">
        <v>6.6652337539366099E-2</v>
      </c>
      <c r="R394">
        <v>0.98330638757009503</v>
      </c>
      <c r="S394" t="s">
        <v>4226</v>
      </c>
      <c r="T394" t="s">
        <v>7662</v>
      </c>
      <c r="U394" t="s">
        <v>7662</v>
      </c>
      <c r="V394" t="s">
        <v>7662</v>
      </c>
      <c r="W394">
        <v>5</v>
      </c>
      <c r="X394" t="s">
        <v>8056</v>
      </c>
      <c r="Y394">
        <v>0.37784043190876399</v>
      </c>
      <c r="Z394" t="str">
        <f>HYPERLINK("Melting_Curves/meltCurve_sp_P01111_RASN_HUMAN_.pdf", "Melting_Curves/meltCurve_sp_P01111_RASN_HUMAN_.pdf")</f>
        <v>Melting_Curves/meltCurve_sp_P01111_RASN_HUMAN_.pdf</v>
      </c>
      <c r="AA394" t="s">
        <v>11882</v>
      </c>
      <c r="AB394" t="s">
        <v>15635</v>
      </c>
    </row>
    <row r="395" spans="1:28" x14ac:dyDescent="0.25">
      <c r="A395" t="s">
        <v>399</v>
      </c>
      <c r="B395">
        <v>0.98876768158843997</v>
      </c>
      <c r="C395">
        <v>0.98996440807983899</v>
      </c>
      <c r="D395">
        <v>0.87589884539674701</v>
      </c>
      <c r="E395">
        <v>0.57244982656350996</v>
      </c>
      <c r="F395">
        <v>0.41767608688213098</v>
      </c>
      <c r="G395">
        <v>0.26569482658701699</v>
      </c>
      <c r="H395">
        <v>0.194295235106418</v>
      </c>
      <c r="I395">
        <v>0.12399824367159699</v>
      </c>
      <c r="J395">
        <v>0.27444814277940299</v>
      </c>
      <c r="K395">
        <v>0.119074100191413</v>
      </c>
      <c r="L395">
        <v>912.11436476857398</v>
      </c>
      <c r="M395">
        <v>18.163866323266198</v>
      </c>
      <c r="N395">
        <v>51.360002477712797</v>
      </c>
      <c r="O395">
        <v>49.619056707224999</v>
      </c>
      <c r="P395">
        <v>-7.6292610569786506E-2</v>
      </c>
      <c r="Q395">
        <v>0.16639137452872699</v>
      </c>
      <c r="R395">
        <v>0.98375417412300903</v>
      </c>
      <c r="S395" t="s">
        <v>4227</v>
      </c>
      <c r="T395" t="s">
        <v>7662</v>
      </c>
      <c r="U395" t="s">
        <v>7662</v>
      </c>
      <c r="V395" t="s">
        <v>7662</v>
      </c>
      <c r="W395">
        <v>4</v>
      </c>
      <c r="X395" t="s">
        <v>8057</v>
      </c>
      <c r="Y395">
        <v>0.4641966383990746</v>
      </c>
      <c r="Z395" t="str">
        <f>HYPERLINK("Melting_Curves/meltCurve_sp_P01116_2_RASK_HUMAN_.pdf", "Melting_Curves/meltCurve_sp_P01116_2_RASK_HUMAN_.pdf")</f>
        <v>Melting_Curves/meltCurve_sp_P01116_2_RASK_HUMAN_.pdf</v>
      </c>
      <c r="AA395" t="s">
        <v>11883</v>
      </c>
      <c r="AB395" t="s">
        <v>15636</v>
      </c>
    </row>
    <row r="396" spans="1:28" x14ac:dyDescent="0.25">
      <c r="A396" t="s">
        <v>400</v>
      </c>
      <c r="B396">
        <v>0.98876768158843997</v>
      </c>
      <c r="C396">
        <v>0.85051420902969799</v>
      </c>
      <c r="D396">
        <v>0.86910356833762004</v>
      </c>
      <c r="E396">
        <v>0.79846480604140002</v>
      </c>
      <c r="F396">
        <v>0.65977178792754698</v>
      </c>
      <c r="G396">
        <v>0.47181863700498899</v>
      </c>
      <c r="H396">
        <v>0.369282175445179</v>
      </c>
      <c r="I396">
        <v>0.33720432852744198</v>
      </c>
      <c r="J396">
        <v>1.3324296490826699</v>
      </c>
      <c r="K396">
        <v>0.43579096894786801</v>
      </c>
      <c r="L396">
        <v>800.33905672846402</v>
      </c>
      <c r="M396">
        <v>16.878111689865801</v>
      </c>
      <c r="O396">
        <v>46.768079459850398</v>
      </c>
      <c r="P396">
        <v>-3.6524751234843E-2</v>
      </c>
      <c r="Q396">
        <v>0.59519531745194698</v>
      </c>
      <c r="R396">
        <v>0.19920351784204299</v>
      </c>
      <c r="S396" t="s">
        <v>4228</v>
      </c>
      <c r="T396" t="s">
        <v>7662</v>
      </c>
      <c r="U396" t="s">
        <v>7662</v>
      </c>
      <c r="V396" t="s">
        <v>7662</v>
      </c>
      <c r="W396">
        <v>1</v>
      </c>
      <c r="X396" t="s">
        <v>8058</v>
      </c>
      <c r="Y396">
        <v>0.70370518696269713</v>
      </c>
      <c r="Z396" t="str">
        <f>HYPERLINK("Melting_Curves/meltCurve_sp_P01743_HV102_HUMAN_.pdf", "Melting_Curves/meltCurve_sp_P01743_HV102_HUMAN_.pdf")</f>
        <v>Melting_Curves/meltCurve_sp_P01743_HV102_HUMAN_.pdf</v>
      </c>
      <c r="AB396" t="s">
        <v>15637</v>
      </c>
    </row>
    <row r="397" spans="1:28" x14ac:dyDescent="0.25">
      <c r="A397" t="s">
        <v>401</v>
      </c>
      <c r="B397">
        <v>0.98876768158843997</v>
      </c>
      <c r="C397">
        <v>0.91895281222687397</v>
      </c>
      <c r="D397">
        <v>0.95759503234574395</v>
      </c>
      <c r="E397">
        <v>0.78303747683593505</v>
      </c>
      <c r="F397">
        <v>0.59526816670608396</v>
      </c>
      <c r="G397">
        <v>0.40256102163389301</v>
      </c>
      <c r="H397">
        <v>0.28683754099686798</v>
      </c>
      <c r="I397">
        <v>0.307292312891913</v>
      </c>
      <c r="J397">
        <v>0.14235662127852899</v>
      </c>
      <c r="K397">
        <v>0.193449054755121</v>
      </c>
      <c r="L397">
        <v>738.39914421801495</v>
      </c>
      <c r="M397">
        <v>13.771747563608001</v>
      </c>
      <c r="N397">
        <v>55.093967408081099</v>
      </c>
      <c r="O397">
        <v>52.524362785506</v>
      </c>
      <c r="P397">
        <v>-5.5439048278899297E-2</v>
      </c>
      <c r="Q397">
        <v>0.15435862963570399</v>
      </c>
      <c r="R397">
        <v>0.98606233689796596</v>
      </c>
      <c r="S397" t="s">
        <v>4229</v>
      </c>
      <c r="T397" t="s">
        <v>7662</v>
      </c>
      <c r="U397" t="s">
        <v>7662</v>
      </c>
      <c r="V397" t="s">
        <v>7662</v>
      </c>
      <c r="W397">
        <v>1</v>
      </c>
      <c r="X397" t="s">
        <v>8059</v>
      </c>
      <c r="Y397">
        <v>0.55787174619972335</v>
      </c>
      <c r="Z397" t="str">
        <f>HYPERLINK("Melting_Curves/meltCurve_sp_P01765_HV304_HUMAN_.pdf", "Melting_Curves/meltCurve_sp_P01765_HV304_HUMAN_.pdf")</f>
        <v>Melting_Curves/meltCurve_sp_P01765_HV304_HUMAN_.pdf</v>
      </c>
      <c r="AB397" t="s">
        <v>15638</v>
      </c>
    </row>
    <row r="398" spans="1:28" x14ac:dyDescent="0.25">
      <c r="A398" t="s">
        <v>402</v>
      </c>
      <c r="B398">
        <v>0.98876768158843997</v>
      </c>
      <c r="C398">
        <v>0.93687238314944199</v>
      </c>
      <c r="D398">
        <v>0.93977382368412099</v>
      </c>
      <c r="E398">
        <v>0.86403530545620399</v>
      </c>
      <c r="F398">
        <v>0.57609361673826598</v>
      </c>
      <c r="G398">
        <v>0.56655038350476705</v>
      </c>
      <c r="H398">
        <v>0.42559246388706101</v>
      </c>
      <c r="I398">
        <v>0.44549010431599301</v>
      </c>
      <c r="J398">
        <v>0.43874035388999399</v>
      </c>
      <c r="K398">
        <v>0.26521477492544498</v>
      </c>
      <c r="L398">
        <v>655.39795481534702</v>
      </c>
      <c r="M398">
        <v>12.267811079487901</v>
      </c>
      <c r="N398">
        <v>58.272625763543097</v>
      </c>
      <c r="O398">
        <v>52.064131348433598</v>
      </c>
      <c r="P398">
        <v>-4.0075726738626201E-2</v>
      </c>
      <c r="Q398">
        <v>0.319830980547958</v>
      </c>
      <c r="R398">
        <v>0.94826749915970499</v>
      </c>
      <c r="S398" t="s">
        <v>4230</v>
      </c>
      <c r="T398" t="s">
        <v>7662</v>
      </c>
      <c r="U398" t="s">
        <v>7662</v>
      </c>
      <c r="V398" t="s">
        <v>7662</v>
      </c>
      <c r="W398">
        <v>1</v>
      </c>
      <c r="X398" t="s">
        <v>8060</v>
      </c>
      <c r="Y398">
        <v>0.64246676778915579</v>
      </c>
      <c r="Z398" t="str">
        <f>HYPERLINK("Melting_Curves/meltCurve_sp_P01834_IGKC_HUMAN_.pdf", "Melting_Curves/meltCurve_sp_P01834_IGKC_HUMAN_.pdf")</f>
        <v>Melting_Curves/meltCurve_sp_P01834_IGKC_HUMAN_.pdf</v>
      </c>
      <c r="AA398" t="s">
        <v>11884</v>
      </c>
      <c r="AB398" t="s">
        <v>15639</v>
      </c>
    </row>
    <row r="399" spans="1:28" x14ac:dyDescent="0.25">
      <c r="A399" t="s">
        <v>403</v>
      </c>
      <c r="B399">
        <v>0.98876768158843997</v>
      </c>
      <c r="C399">
        <v>0.90856969266612098</v>
      </c>
      <c r="D399">
        <v>1.02336459651086</v>
      </c>
      <c r="E399">
        <v>0.94596545111302499</v>
      </c>
      <c r="F399">
        <v>0.73415040846721502</v>
      </c>
      <c r="G399">
        <v>0.57374484507707602</v>
      </c>
      <c r="H399">
        <v>0.493032478519567</v>
      </c>
      <c r="I399">
        <v>0.48976772785294898</v>
      </c>
      <c r="J399">
        <v>0.40491676035118501</v>
      </c>
      <c r="K399">
        <v>0.34968949773969799</v>
      </c>
      <c r="L399">
        <v>951.280644107228</v>
      </c>
      <c r="M399">
        <v>17.4089160051394</v>
      </c>
      <c r="N399">
        <v>59.7544716088589</v>
      </c>
      <c r="O399">
        <v>53.937577767246601</v>
      </c>
      <c r="P399">
        <v>-4.9448824466311603E-2</v>
      </c>
      <c r="Q399">
        <v>0.38721061610353003</v>
      </c>
      <c r="R399">
        <v>0.96682783524765303</v>
      </c>
      <c r="S399" t="s">
        <v>4231</v>
      </c>
      <c r="T399" t="s">
        <v>7662</v>
      </c>
      <c r="U399" t="s">
        <v>7662</v>
      </c>
      <c r="V399" t="s">
        <v>7662</v>
      </c>
      <c r="W399">
        <v>8</v>
      </c>
      <c r="X399" t="s">
        <v>8061</v>
      </c>
      <c r="Y399">
        <v>0.69637971331247239</v>
      </c>
      <c r="Z399" t="str">
        <f>HYPERLINK("Melting_Curves/meltCurve_sp_P01857_IGHG1_HUMAN_.pdf", "Melting_Curves/meltCurve_sp_P01857_IGHG1_HUMAN_.pdf")</f>
        <v>Melting_Curves/meltCurve_sp_P01857_IGHG1_HUMAN_.pdf</v>
      </c>
      <c r="AA399" t="s">
        <v>11885</v>
      </c>
      <c r="AB399" t="s">
        <v>15640</v>
      </c>
    </row>
    <row r="400" spans="1:28" x14ac:dyDescent="0.25">
      <c r="A400" t="s">
        <v>404</v>
      </c>
      <c r="B400">
        <v>0.98876768158843997</v>
      </c>
      <c r="C400">
        <v>0.87619544042250297</v>
      </c>
      <c r="D400">
        <v>0.97424013930340503</v>
      </c>
      <c r="E400">
        <v>0.96850438922149495</v>
      </c>
      <c r="F400">
        <v>0.69634241101481698</v>
      </c>
      <c r="G400">
        <v>0.66956913012623398</v>
      </c>
      <c r="H400">
        <v>0.51974595874668506</v>
      </c>
      <c r="I400">
        <v>0.47389718510221401</v>
      </c>
      <c r="J400">
        <v>0.29600620233988001</v>
      </c>
      <c r="K400">
        <v>0.308471561782378</v>
      </c>
      <c r="L400">
        <v>510.41347794385598</v>
      </c>
      <c r="M400">
        <v>8.3783674187010995</v>
      </c>
      <c r="N400">
        <v>61.667271984448803</v>
      </c>
      <c r="O400">
        <v>57.746358450699802</v>
      </c>
      <c r="P400">
        <v>-3.4555059145810502E-2</v>
      </c>
      <c r="Q400">
        <v>4.82474075865807E-2</v>
      </c>
      <c r="R400">
        <v>0.94754700909033596</v>
      </c>
      <c r="S400" t="s">
        <v>4232</v>
      </c>
      <c r="T400" t="s">
        <v>7662</v>
      </c>
      <c r="U400" t="s">
        <v>7662</v>
      </c>
      <c r="V400" t="s">
        <v>7662</v>
      </c>
      <c r="W400">
        <v>5</v>
      </c>
      <c r="X400" t="s">
        <v>8062</v>
      </c>
      <c r="Y400">
        <v>0.69133285079702245</v>
      </c>
      <c r="Z400" t="str">
        <f>HYPERLINK("Melting_Curves/meltCurve_sp_P01859_IGHG2_HUMAN_.pdf", "Melting_Curves/meltCurve_sp_P01859_IGHG2_HUMAN_.pdf")</f>
        <v>Melting_Curves/meltCurve_sp_P01859_IGHG2_HUMAN_.pdf</v>
      </c>
      <c r="AA400" t="s">
        <v>11886</v>
      </c>
      <c r="AB400" t="s">
        <v>15641</v>
      </c>
    </row>
    <row r="401" spans="1:28" x14ac:dyDescent="0.25">
      <c r="A401" t="s">
        <v>405</v>
      </c>
      <c r="B401">
        <v>0.98876768158843997</v>
      </c>
      <c r="C401">
        <v>0.88532469376640499</v>
      </c>
      <c r="D401">
        <v>0.90452288705642203</v>
      </c>
      <c r="E401">
        <v>0.80805878755335903</v>
      </c>
      <c r="F401">
        <v>0.74188174960293196</v>
      </c>
      <c r="G401">
        <v>0.52362941050467904</v>
      </c>
      <c r="H401">
        <v>0.328350648451189</v>
      </c>
      <c r="I401">
        <v>0.31689694718647399</v>
      </c>
      <c r="J401">
        <v>0.292528977185539</v>
      </c>
      <c r="K401">
        <v>0.18717872553776899</v>
      </c>
      <c r="L401">
        <v>536.32063061143299</v>
      </c>
      <c r="M401">
        <v>9.4164917526544993</v>
      </c>
      <c r="N401">
        <v>57.799282597967803</v>
      </c>
      <c r="O401">
        <v>54.564003314269101</v>
      </c>
      <c r="P401">
        <v>-4.0398176786777401E-2</v>
      </c>
      <c r="Q401">
        <v>6.4221032800307207E-2</v>
      </c>
      <c r="R401">
        <v>0.98221899058311501</v>
      </c>
      <c r="S401" t="s">
        <v>4233</v>
      </c>
      <c r="T401" t="s">
        <v>7662</v>
      </c>
      <c r="U401" t="s">
        <v>7662</v>
      </c>
      <c r="V401" t="s">
        <v>7662</v>
      </c>
      <c r="W401">
        <v>7</v>
      </c>
      <c r="X401" t="s">
        <v>8063</v>
      </c>
      <c r="Y401">
        <v>0.60745277536175613</v>
      </c>
      <c r="Z401" t="str">
        <f>HYPERLINK("Melting_Curves/meltCurve_sp_P01860_IGHG3_HUMAN_.pdf", "Melting_Curves/meltCurve_sp_P01860_IGHG3_HUMAN_.pdf")</f>
        <v>Melting_Curves/meltCurve_sp_P01860_IGHG3_HUMAN_.pdf</v>
      </c>
      <c r="AA401" t="s">
        <v>11887</v>
      </c>
      <c r="AB401" t="s">
        <v>15642</v>
      </c>
    </row>
    <row r="402" spans="1:28" x14ac:dyDescent="0.25">
      <c r="A402" t="s">
        <v>406</v>
      </c>
      <c r="B402">
        <v>0.98876768158843997</v>
      </c>
      <c r="C402">
        <v>0.93205263699464902</v>
      </c>
      <c r="D402">
        <v>1.04150854287244</v>
      </c>
      <c r="E402">
        <v>0.83878008070417498</v>
      </c>
      <c r="F402">
        <v>0.516534111010862</v>
      </c>
      <c r="G402">
        <v>0.33025273562028101</v>
      </c>
      <c r="H402">
        <v>0.308668790960136</v>
      </c>
      <c r="I402">
        <v>0.26950739581703198</v>
      </c>
      <c r="J402">
        <v>0.25368112768700002</v>
      </c>
      <c r="K402">
        <v>0.209760565860588</v>
      </c>
      <c r="L402">
        <v>1603.7617507816601</v>
      </c>
      <c r="M402">
        <v>30.8198601984665</v>
      </c>
      <c r="N402">
        <v>53.313017165199902</v>
      </c>
      <c r="O402">
        <v>51.819025467833001</v>
      </c>
      <c r="P402">
        <v>-0.10989225970566199</v>
      </c>
      <c r="Q402">
        <v>0.26093415746473297</v>
      </c>
      <c r="R402">
        <v>0.98805088277421205</v>
      </c>
      <c r="S402" t="s">
        <v>4234</v>
      </c>
      <c r="T402" t="s">
        <v>7662</v>
      </c>
      <c r="U402" t="s">
        <v>7662</v>
      </c>
      <c r="V402" t="s">
        <v>7662</v>
      </c>
      <c r="W402">
        <v>4</v>
      </c>
      <c r="X402" t="s">
        <v>8064</v>
      </c>
      <c r="Y402">
        <v>0.56194161597879222</v>
      </c>
      <c r="Z402" t="str">
        <f>HYPERLINK("Melting_Curves/meltCurve_sp_P01871_IGHM_HUMAN_.pdf", "Melting_Curves/meltCurve_sp_P01871_IGHM_HUMAN_.pdf")</f>
        <v>Melting_Curves/meltCurve_sp_P01871_IGHM_HUMAN_.pdf</v>
      </c>
      <c r="AA402" t="s">
        <v>11888</v>
      </c>
      <c r="AB402" t="s">
        <v>15643</v>
      </c>
    </row>
    <row r="403" spans="1:28" x14ac:dyDescent="0.25">
      <c r="A403" t="s">
        <v>407</v>
      </c>
      <c r="B403">
        <v>0.98876768158843997</v>
      </c>
      <c r="C403">
        <v>0.93577832939774896</v>
      </c>
      <c r="D403">
        <v>1.00738424141122</v>
      </c>
      <c r="E403">
        <v>0.97318462876655099</v>
      </c>
      <c r="F403">
        <v>0.68240370332151201</v>
      </c>
      <c r="G403">
        <v>0.56057025372727398</v>
      </c>
      <c r="H403">
        <v>0.49457169625886699</v>
      </c>
      <c r="I403">
        <v>0.55112336389885797</v>
      </c>
      <c r="J403">
        <v>0.43569741151916103</v>
      </c>
      <c r="K403">
        <v>0.37779907775560101</v>
      </c>
      <c r="L403">
        <v>1823.80866216647</v>
      </c>
      <c r="M403">
        <v>34.5626658428585</v>
      </c>
      <c r="N403">
        <v>57.553722195477299</v>
      </c>
      <c r="O403">
        <v>52.592476259483298</v>
      </c>
      <c r="P403">
        <v>-8.6787447983168398E-2</v>
      </c>
      <c r="Q403">
        <v>0.47175968926183598</v>
      </c>
      <c r="R403">
        <v>0.95340381763484106</v>
      </c>
      <c r="S403" t="s">
        <v>4235</v>
      </c>
      <c r="T403" t="s">
        <v>7662</v>
      </c>
      <c r="U403" t="s">
        <v>7662</v>
      </c>
      <c r="V403" t="s">
        <v>7662</v>
      </c>
      <c r="W403">
        <v>7</v>
      </c>
      <c r="X403" t="s">
        <v>8065</v>
      </c>
      <c r="Y403">
        <v>0.69916090763755401</v>
      </c>
      <c r="Z403" t="str">
        <f>HYPERLINK("Melting_Curves/meltCurve_sp_P01876_IGHA1_HUMAN_.pdf", "Melting_Curves/meltCurve_sp_P01876_IGHA1_HUMAN_.pdf")</f>
        <v>Melting_Curves/meltCurve_sp_P01876_IGHA1_HUMAN_.pdf</v>
      </c>
      <c r="AA403" t="s">
        <v>11889</v>
      </c>
      <c r="AB403" t="s">
        <v>15644</v>
      </c>
    </row>
    <row r="404" spans="1:28" x14ac:dyDescent="0.25">
      <c r="A404" t="s">
        <v>408</v>
      </c>
      <c r="B404">
        <v>0.98876768158843997</v>
      </c>
      <c r="C404">
        <v>0.87616497684672601</v>
      </c>
      <c r="D404">
        <v>1.1057013789380199</v>
      </c>
      <c r="E404">
        <v>0.97161582456921802</v>
      </c>
      <c r="F404">
        <v>0.72955308887477999</v>
      </c>
      <c r="G404">
        <v>0.58368359798058</v>
      </c>
      <c r="H404">
        <v>0.49690946828987598</v>
      </c>
      <c r="I404">
        <v>0.59454483240326395</v>
      </c>
      <c r="J404">
        <v>0.60548481433783397</v>
      </c>
      <c r="K404">
        <v>0.62861485201080602</v>
      </c>
      <c r="L404">
        <v>2966.5209758982901</v>
      </c>
      <c r="M404">
        <v>56.580048791862701</v>
      </c>
      <c r="O404">
        <v>52.365137686788799</v>
      </c>
      <c r="P404">
        <v>-0.113178018370931</v>
      </c>
      <c r="Q404">
        <v>0.58101277446120103</v>
      </c>
      <c r="R404">
        <v>0.90789490768787195</v>
      </c>
      <c r="S404" t="s">
        <v>4236</v>
      </c>
      <c r="T404" t="s">
        <v>7662</v>
      </c>
      <c r="U404" t="s">
        <v>7662</v>
      </c>
      <c r="V404" t="s">
        <v>7662</v>
      </c>
      <c r="W404">
        <v>5</v>
      </c>
      <c r="X404" t="s">
        <v>8066</v>
      </c>
      <c r="Y404">
        <v>0.75537609050147447</v>
      </c>
      <c r="Z404" t="str">
        <f>HYPERLINK("Melting_Curves/meltCurve_sp_P01877_IGHA2_HUMAN_.pdf", "Melting_Curves/meltCurve_sp_P01877_IGHA2_HUMAN_.pdf")</f>
        <v>Melting_Curves/meltCurve_sp_P01877_IGHA2_HUMAN_.pdf</v>
      </c>
      <c r="AA404" t="s">
        <v>11890</v>
      </c>
      <c r="AB404" t="s">
        <v>15645</v>
      </c>
    </row>
    <row r="405" spans="1:28" x14ac:dyDescent="0.25">
      <c r="A405" t="s">
        <v>409</v>
      </c>
      <c r="B405">
        <v>0.98876768158843997</v>
      </c>
      <c r="C405">
        <v>0.85964953116068699</v>
      </c>
      <c r="D405">
        <v>0.88224984727843103</v>
      </c>
      <c r="E405">
        <v>0.75243844959156003</v>
      </c>
      <c r="F405">
        <v>0.56954032911909502</v>
      </c>
      <c r="G405">
        <v>0.44960251502470799</v>
      </c>
      <c r="H405">
        <v>0.43314753189453298</v>
      </c>
      <c r="I405">
        <v>0.60648816029220798</v>
      </c>
      <c r="J405">
        <v>0.81846843457138796</v>
      </c>
      <c r="K405">
        <v>0.71695792553204596</v>
      </c>
      <c r="L405">
        <v>989.62004762848801</v>
      </c>
      <c r="M405">
        <v>21.050806092794002</v>
      </c>
      <c r="O405">
        <v>46.592955776789701</v>
      </c>
      <c r="P405">
        <v>-4.5044888666183398E-2</v>
      </c>
      <c r="Q405">
        <v>0.60120886383116501</v>
      </c>
      <c r="R405">
        <v>0.57932819991440199</v>
      </c>
      <c r="S405" t="s">
        <v>4237</v>
      </c>
      <c r="T405" t="s">
        <v>7662</v>
      </c>
      <c r="U405" t="s">
        <v>7662</v>
      </c>
      <c r="V405" t="s">
        <v>7662</v>
      </c>
      <c r="W405">
        <v>2</v>
      </c>
      <c r="X405" t="s">
        <v>8067</v>
      </c>
      <c r="Y405">
        <v>0.69961682001115333</v>
      </c>
      <c r="Z405" t="str">
        <f>HYPERLINK("Melting_Curves/meltCurve_sp_P02462_2_CO4A1_HUMAN_.pdf", "Melting_Curves/meltCurve_sp_P02462_2_CO4A1_HUMAN_.pdf")</f>
        <v>Melting_Curves/meltCurve_sp_P02462_2_CO4A1_HUMAN_.pdf</v>
      </c>
      <c r="AA405" t="s">
        <v>11891</v>
      </c>
      <c r="AB405" t="s">
        <v>15646</v>
      </c>
    </row>
    <row r="406" spans="1:28" x14ac:dyDescent="0.25">
      <c r="A406" t="s">
        <v>410</v>
      </c>
      <c r="B406">
        <v>0.98876768158843997</v>
      </c>
      <c r="C406">
        <v>0.81974996108079001</v>
      </c>
      <c r="D406">
        <v>1.4202175197932401</v>
      </c>
      <c r="E406">
        <v>0.47501777880676799</v>
      </c>
      <c r="F406">
        <v>0.56293458707587096</v>
      </c>
      <c r="G406">
        <v>0.34908606524663199</v>
      </c>
      <c r="H406">
        <v>0.284771599048042</v>
      </c>
      <c r="I406">
        <v>0.43302720099465097</v>
      </c>
      <c r="J406">
        <v>0.27588493752557802</v>
      </c>
      <c r="K406">
        <v>0.62188968409559797</v>
      </c>
      <c r="L406">
        <v>12386.0511074283</v>
      </c>
      <c r="M406">
        <v>250</v>
      </c>
      <c r="N406">
        <v>49.913267373217202</v>
      </c>
      <c r="O406">
        <v>49.5410351745562</v>
      </c>
      <c r="P406">
        <v>-0.73011994981542006</v>
      </c>
      <c r="Q406">
        <v>0.42126564537309102</v>
      </c>
      <c r="R406">
        <v>0.73326329717684702</v>
      </c>
      <c r="S406" t="s">
        <v>4238</v>
      </c>
      <c r="T406" t="s">
        <v>7662</v>
      </c>
      <c r="U406" t="s">
        <v>7662</v>
      </c>
      <c r="V406" t="s">
        <v>7662</v>
      </c>
      <c r="W406">
        <v>11</v>
      </c>
      <c r="X406" t="s">
        <v>8068</v>
      </c>
      <c r="Y406">
        <v>0.60543459895981078</v>
      </c>
      <c r="Z406" t="str">
        <f>HYPERLINK("Melting_Curves/meltCurve_sp_P02533_K1C14_HUMAN_.pdf", "Melting_Curves/meltCurve_sp_P02533_K1C14_HUMAN_.pdf")</f>
        <v>Melting_Curves/meltCurve_sp_P02533_K1C14_HUMAN_.pdf</v>
      </c>
      <c r="AA406" t="s">
        <v>11892</v>
      </c>
      <c r="AB406" t="s">
        <v>15647</v>
      </c>
    </row>
    <row r="407" spans="1:28" x14ac:dyDescent="0.25">
      <c r="A407" t="s">
        <v>411</v>
      </c>
      <c r="B407">
        <v>0.98876768158843997</v>
      </c>
      <c r="C407">
        <v>0.64796382292966903</v>
      </c>
      <c r="D407">
        <v>1.2685853314967701</v>
      </c>
      <c r="E407">
        <v>0.47538275741504199</v>
      </c>
      <c r="F407">
        <v>0.52558211954228595</v>
      </c>
      <c r="G407">
        <v>0.31921985609446102</v>
      </c>
      <c r="H407">
        <v>0.26873980715507101</v>
      </c>
      <c r="I407">
        <v>0.298594461531134</v>
      </c>
      <c r="J407">
        <v>0.16646384383976601</v>
      </c>
      <c r="K407">
        <v>0.58279281861402299</v>
      </c>
      <c r="L407">
        <v>6500.4699075540202</v>
      </c>
      <c r="M407">
        <v>131.52261427519599</v>
      </c>
      <c r="N407">
        <v>49.9082670424377</v>
      </c>
      <c r="O407">
        <v>49.413319726519298</v>
      </c>
      <c r="P407">
        <v>-0.42574956713205198</v>
      </c>
      <c r="Q407">
        <v>0.36018018315186101</v>
      </c>
      <c r="R407">
        <v>0.69626322526340201</v>
      </c>
      <c r="S407" t="s">
        <v>4239</v>
      </c>
      <c r="T407" t="s">
        <v>7662</v>
      </c>
      <c r="U407" t="s">
        <v>7662</v>
      </c>
      <c r="V407" t="s">
        <v>7662</v>
      </c>
      <c r="W407">
        <v>12</v>
      </c>
      <c r="X407" t="s">
        <v>8069</v>
      </c>
      <c r="Y407">
        <v>0.56138515221908369</v>
      </c>
      <c r="Z407" t="str">
        <f>HYPERLINK("Melting_Curves/meltCurve_sp_P02538_K2C6A_HUMAN_.pdf", "Melting_Curves/meltCurve_sp_P02538_K2C6A_HUMAN_.pdf")</f>
        <v>Melting_Curves/meltCurve_sp_P02538_K2C6A_HUMAN_.pdf</v>
      </c>
      <c r="AA407" t="s">
        <v>11893</v>
      </c>
      <c r="AB407" t="s">
        <v>15648</v>
      </c>
    </row>
    <row r="408" spans="1:28" x14ac:dyDescent="0.25">
      <c r="A408" t="s">
        <v>412</v>
      </c>
      <c r="B408">
        <v>0.98876768158843997</v>
      </c>
      <c r="C408">
        <v>1.02484411497757</v>
      </c>
      <c r="D408">
        <v>0.89452956867787403</v>
      </c>
      <c r="E408">
        <v>0.78814099899295997</v>
      </c>
      <c r="F408">
        <v>0.80758723850795</v>
      </c>
      <c r="G408">
        <v>0.55922350295401302</v>
      </c>
      <c r="H408">
        <v>0.30278519584635999</v>
      </c>
      <c r="I408">
        <v>0.27163271552121698</v>
      </c>
      <c r="J408">
        <v>0.31767208574931199</v>
      </c>
      <c r="K408">
        <v>0.33544143910225999</v>
      </c>
      <c r="L408">
        <v>839.07907590642606</v>
      </c>
      <c r="M408">
        <v>15.2804461003043</v>
      </c>
      <c r="N408">
        <v>57.5140077332616</v>
      </c>
      <c r="O408">
        <v>53.997248818308499</v>
      </c>
      <c r="P408">
        <v>-5.3097069413332199E-2</v>
      </c>
      <c r="Q408">
        <v>0.24954384548932501</v>
      </c>
      <c r="R408">
        <v>0.96018186418405405</v>
      </c>
      <c r="S408" t="s">
        <v>4240</v>
      </c>
      <c r="T408" t="s">
        <v>7662</v>
      </c>
      <c r="U408" t="s">
        <v>7662</v>
      </c>
      <c r="V408" t="s">
        <v>7662</v>
      </c>
      <c r="W408">
        <v>45</v>
      </c>
      <c r="X408" t="s">
        <v>8070</v>
      </c>
      <c r="Y408">
        <v>0.63683776947699322</v>
      </c>
      <c r="Z408" t="str">
        <f>HYPERLINK("Melting_Curves/meltCurve_sp_P02545_LMNA_HUMAN_.pdf", "Melting_Curves/meltCurve_sp_P02545_LMNA_HUMAN_.pdf")</f>
        <v>Melting_Curves/meltCurve_sp_P02545_LMNA_HUMAN_.pdf</v>
      </c>
      <c r="AA408" t="s">
        <v>11894</v>
      </c>
      <c r="AB408" t="s">
        <v>15649</v>
      </c>
    </row>
    <row r="409" spans="1:28" x14ac:dyDescent="0.25">
      <c r="A409" t="s">
        <v>413</v>
      </c>
      <c r="B409">
        <v>0.98876768158843997</v>
      </c>
      <c r="C409">
        <v>1.031541373664</v>
      </c>
      <c r="D409">
        <v>0.931396677752654</v>
      </c>
      <c r="E409">
        <v>0.70866650298259504</v>
      </c>
      <c r="F409">
        <v>0.61220869616787499</v>
      </c>
      <c r="G409">
        <v>0.41844195663156097</v>
      </c>
      <c r="H409">
        <v>0.32774493427264401</v>
      </c>
      <c r="I409">
        <v>0.38291849097157998</v>
      </c>
      <c r="J409">
        <v>0.38412363521594101</v>
      </c>
      <c r="K409">
        <v>0.46966415354723201</v>
      </c>
      <c r="L409">
        <v>1082.7964036124699</v>
      </c>
      <c r="M409">
        <v>21.355351449317499</v>
      </c>
      <c r="N409">
        <v>54.473062825754504</v>
      </c>
      <c r="O409">
        <v>50.265412289461302</v>
      </c>
      <c r="P409">
        <v>-6.5224900964833493E-2</v>
      </c>
      <c r="Q409">
        <v>0.38591973983078698</v>
      </c>
      <c r="R409">
        <v>0.97243154003894805</v>
      </c>
      <c r="S409" t="s">
        <v>4241</v>
      </c>
      <c r="T409" t="s">
        <v>7662</v>
      </c>
      <c r="U409" t="s">
        <v>7662</v>
      </c>
      <c r="V409" t="s">
        <v>7662</v>
      </c>
      <c r="W409">
        <v>20</v>
      </c>
      <c r="X409" t="s">
        <v>8071</v>
      </c>
      <c r="Y409">
        <v>0.61254421836330786</v>
      </c>
      <c r="Z409" t="str">
        <f>HYPERLINK("Melting_Curves/meltCurve_sp_P02647_APOA1_HUMAN_.pdf", "Melting_Curves/meltCurve_sp_P02647_APOA1_HUMAN_.pdf")</f>
        <v>Melting_Curves/meltCurve_sp_P02647_APOA1_HUMAN_.pdf</v>
      </c>
      <c r="AA409" t="s">
        <v>11895</v>
      </c>
      <c r="AB409" t="s">
        <v>15650</v>
      </c>
    </row>
    <row r="410" spans="1:28" x14ac:dyDescent="0.25">
      <c r="A410" t="s">
        <v>414</v>
      </c>
      <c r="B410">
        <v>0.98876768158843997</v>
      </c>
      <c r="C410">
        <v>0.99962108727807997</v>
      </c>
      <c r="D410">
        <v>0.95136041711253805</v>
      </c>
      <c r="E410">
        <v>0.59914500779457003</v>
      </c>
      <c r="F410">
        <v>0.428924272740135</v>
      </c>
      <c r="G410">
        <v>0.23104862832908199</v>
      </c>
      <c r="H410">
        <v>0.147889016932721</v>
      </c>
      <c r="I410">
        <v>0.14030283848546901</v>
      </c>
      <c r="J410">
        <v>0.14098647460837899</v>
      </c>
      <c r="K410">
        <v>0.13847457341810701</v>
      </c>
      <c r="L410">
        <v>1039.1003364348701</v>
      </c>
      <c r="M410">
        <v>20.421280386130501</v>
      </c>
      <c r="N410">
        <v>51.668199830256299</v>
      </c>
      <c r="O410">
        <v>50.402819988358402</v>
      </c>
      <c r="P410">
        <v>-8.7783968625516504E-2</v>
      </c>
      <c r="Q410">
        <v>0.133369365972898</v>
      </c>
      <c r="R410">
        <v>0.995899216521963</v>
      </c>
      <c r="S410" t="s">
        <v>4242</v>
      </c>
      <c r="T410" t="s">
        <v>7662</v>
      </c>
      <c r="U410" t="s">
        <v>7662</v>
      </c>
      <c r="V410" t="s">
        <v>7662</v>
      </c>
      <c r="W410">
        <v>9</v>
      </c>
      <c r="X410" t="s">
        <v>8072</v>
      </c>
      <c r="Y410">
        <v>0.45932973505847591</v>
      </c>
      <c r="Z410" t="str">
        <f>HYPERLINK("Melting_Curves/meltCurve_sp_P02649_APOE_HUMAN_.pdf", "Melting_Curves/meltCurve_sp_P02649_APOE_HUMAN_.pdf")</f>
        <v>Melting_Curves/meltCurve_sp_P02649_APOE_HUMAN_.pdf</v>
      </c>
      <c r="AA410" t="s">
        <v>11896</v>
      </c>
      <c r="AB410" t="s">
        <v>15651</v>
      </c>
    </row>
    <row r="411" spans="1:28" x14ac:dyDescent="0.25">
      <c r="A411" t="s">
        <v>415</v>
      </c>
      <c r="B411">
        <v>0.98876768158843997</v>
      </c>
      <c r="C411">
        <v>1.1323559959512799</v>
      </c>
      <c r="D411">
        <v>0.95188446662715698</v>
      </c>
      <c r="E411">
        <v>0.68305898741076798</v>
      </c>
      <c r="F411">
        <v>0.80995458408047505</v>
      </c>
      <c r="G411">
        <v>0.47331374300219098</v>
      </c>
      <c r="H411">
        <v>0.40948831124729601</v>
      </c>
      <c r="I411">
        <v>0.42862745581221101</v>
      </c>
      <c r="J411">
        <v>0.54082897907761895</v>
      </c>
      <c r="K411">
        <v>0.59111186311419195</v>
      </c>
      <c r="L411">
        <v>1025.1189986428999</v>
      </c>
      <c r="M411">
        <v>20.0715415745759</v>
      </c>
      <c r="N411">
        <v>62.033484378460301</v>
      </c>
      <c r="O411">
        <v>50.574393239259599</v>
      </c>
      <c r="P411">
        <v>-5.1040879160746601E-2</v>
      </c>
      <c r="Q411">
        <v>0.48558437418624101</v>
      </c>
      <c r="R411">
        <v>0.84860137731505303</v>
      </c>
      <c r="S411" t="s">
        <v>4243</v>
      </c>
      <c r="T411" t="s">
        <v>7662</v>
      </c>
      <c r="U411" t="s">
        <v>7662</v>
      </c>
      <c r="V411" t="s">
        <v>7662</v>
      </c>
      <c r="W411">
        <v>2</v>
      </c>
      <c r="X411" t="s">
        <v>8073</v>
      </c>
      <c r="Y411">
        <v>0.68255173921795476</v>
      </c>
      <c r="Z411" t="str">
        <f>HYPERLINK("Melting_Curves/meltCurve_sp_P02652_APOA2_HUMAN_.pdf", "Melting_Curves/meltCurve_sp_P02652_APOA2_HUMAN_.pdf")</f>
        <v>Melting_Curves/meltCurve_sp_P02652_APOA2_HUMAN_.pdf</v>
      </c>
      <c r="AA411" t="s">
        <v>11897</v>
      </c>
      <c r="AB411" t="s">
        <v>15652</v>
      </c>
    </row>
    <row r="412" spans="1:28" x14ac:dyDescent="0.25">
      <c r="A412" t="s">
        <v>416</v>
      </c>
      <c r="B412">
        <v>0.98876768158843997</v>
      </c>
      <c r="C412">
        <v>0.91748378249575901</v>
      </c>
      <c r="D412">
        <v>1.0153741990824099</v>
      </c>
      <c r="E412">
        <v>0.44911193035535601</v>
      </c>
      <c r="F412">
        <v>0.295045842593119</v>
      </c>
      <c r="G412">
        <v>0.16285866489976</v>
      </c>
      <c r="H412">
        <v>0.13003061913493899</v>
      </c>
      <c r="I412">
        <v>0.152903191134663</v>
      </c>
      <c r="J412">
        <v>0.16707842109013199</v>
      </c>
      <c r="K412">
        <v>0.15300096530196799</v>
      </c>
      <c r="L412">
        <v>1872.9119114760299</v>
      </c>
      <c r="M412">
        <v>37.935448395099698</v>
      </c>
      <c r="N412">
        <v>49.887428050657199</v>
      </c>
      <c r="O412">
        <v>49.234427990169699</v>
      </c>
      <c r="P412">
        <v>-0.161348479656066</v>
      </c>
      <c r="Q412">
        <v>0.16237923789422801</v>
      </c>
      <c r="R412">
        <v>0.98557351290675099</v>
      </c>
      <c r="S412" t="s">
        <v>4244</v>
      </c>
      <c r="T412" t="s">
        <v>7662</v>
      </c>
      <c r="U412" t="s">
        <v>7662</v>
      </c>
      <c r="V412" t="s">
        <v>7662</v>
      </c>
      <c r="W412">
        <v>2</v>
      </c>
      <c r="X412" t="s">
        <v>8074</v>
      </c>
      <c r="Y412">
        <v>0.42720896979658901</v>
      </c>
      <c r="Z412" t="str">
        <f>HYPERLINK("Melting_Curves/meltCurve_sp_P02656_APOC3_HUMAN_.pdf", "Melting_Curves/meltCurve_sp_P02656_APOC3_HUMAN_.pdf")</f>
        <v>Melting_Curves/meltCurve_sp_P02656_APOC3_HUMAN_.pdf</v>
      </c>
      <c r="AA412" t="s">
        <v>11898</v>
      </c>
      <c r="AB412" t="s">
        <v>15653</v>
      </c>
    </row>
    <row r="413" spans="1:28" x14ac:dyDescent="0.25">
      <c r="A413" t="s">
        <v>417</v>
      </c>
      <c r="B413">
        <v>0.98876768158843997</v>
      </c>
      <c r="C413">
        <v>0.92420286894075798</v>
      </c>
      <c r="D413">
        <v>0.97617106704662604</v>
      </c>
      <c r="E413">
        <v>0.62887968821694995</v>
      </c>
      <c r="F413">
        <v>0.26915331532169401</v>
      </c>
      <c r="G413">
        <v>0.179282234675915</v>
      </c>
      <c r="H413">
        <v>0.12238685875178899</v>
      </c>
      <c r="I413">
        <v>0.141705164832123</v>
      </c>
      <c r="J413">
        <v>0.14723789060314599</v>
      </c>
      <c r="K413">
        <v>0.19136541369424701</v>
      </c>
      <c r="L413">
        <v>1804.27966932597</v>
      </c>
      <c r="M413">
        <v>35.843470607034597</v>
      </c>
      <c r="N413">
        <v>50.8554951620468</v>
      </c>
      <c r="O413">
        <v>50.181835397437098</v>
      </c>
      <c r="P413">
        <v>-0.15127084796102999</v>
      </c>
      <c r="Q413">
        <v>0.15286948522083799</v>
      </c>
      <c r="R413">
        <v>0.993401834467178</v>
      </c>
      <c r="S413" t="s">
        <v>4245</v>
      </c>
      <c r="T413" t="s">
        <v>7662</v>
      </c>
      <c r="U413" t="s">
        <v>7662</v>
      </c>
      <c r="V413" t="s">
        <v>7662</v>
      </c>
      <c r="W413">
        <v>24</v>
      </c>
      <c r="X413" t="s">
        <v>8075</v>
      </c>
      <c r="Y413">
        <v>0.44846231591279367</v>
      </c>
      <c r="Z413" t="str">
        <f>HYPERLINK("Melting_Curves/meltCurve_sp_P02671_2_FIBA_HUMAN_.pdf", "Melting_Curves/meltCurve_sp_P02671_2_FIBA_HUMAN_.pdf")</f>
        <v>Melting_Curves/meltCurve_sp_P02671_2_FIBA_HUMAN_.pdf</v>
      </c>
      <c r="AA413" t="s">
        <v>11899</v>
      </c>
      <c r="AB413" t="s">
        <v>15654</v>
      </c>
    </row>
    <row r="414" spans="1:28" x14ac:dyDescent="0.25">
      <c r="A414" t="s">
        <v>418</v>
      </c>
      <c r="B414">
        <v>0.98876768158843997</v>
      </c>
      <c r="C414">
        <v>0.861891099972945</v>
      </c>
      <c r="D414">
        <v>1.0115446007599</v>
      </c>
      <c r="E414">
        <v>0.61652080542989096</v>
      </c>
      <c r="F414">
        <v>0.132540333849576</v>
      </c>
      <c r="G414">
        <v>7.78974319766602E-2</v>
      </c>
      <c r="H414">
        <v>5.0257179940617E-2</v>
      </c>
      <c r="I414">
        <v>4.4390352860931501E-2</v>
      </c>
      <c r="J414">
        <v>4.6683720775016098E-2</v>
      </c>
      <c r="K414">
        <v>4.8023467583375098E-2</v>
      </c>
      <c r="L414">
        <v>2460.3149312682399</v>
      </c>
      <c r="M414">
        <v>48.815850930840803</v>
      </c>
      <c r="N414">
        <v>50.515349874757199</v>
      </c>
      <c r="O414">
        <v>50.315556112528199</v>
      </c>
      <c r="P414">
        <v>-0.229748093688141</v>
      </c>
      <c r="Q414">
        <v>5.2775532133709203E-2</v>
      </c>
      <c r="R414">
        <v>0.98778689133127395</v>
      </c>
      <c r="S414" t="s">
        <v>4246</v>
      </c>
      <c r="T414" t="s">
        <v>7662</v>
      </c>
      <c r="U414" t="s">
        <v>7662</v>
      </c>
      <c r="V414" t="s">
        <v>7662</v>
      </c>
      <c r="W414">
        <v>22</v>
      </c>
      <c r="X414" t="s">
        <v>8076</v>
      </c>
      <c r="Y414">
        <v>0.38335395626579699</v>
      </c>
      <c r="Z414" t="str">
        <f>HYPERLINK("Melting_Curves/meltCurve_sp_P02675_FIBB_HUMAN_.pdf", "Melting_Curves/meltCurve_sp_P02675_FIBB_HUMAN_.pdf")</f>
        <v>Melting_Curves/meltCurve_sp_P02675_FIBB_HUMAN_.pdf</v>
      </c>
      <c r="AA414" t="s">
        <v>11900</v>
      </c>
      <c r="AB414" t="s">
        <v>15655</v>
      </c>
    </row>
    <row r="415" spans="1:28" x14ac:dyDescent="0.25">
      <c r="A415" t="s">
        <v>419</v>
      </c>
      <c r="B415">
        <v>0.98876768158843997</v>
      </c>
      <c r="C415">
        <v>0.92470002769097004</v>
      </c>
      <c r="D415">
        <v>0.97297508391176701</v>
      </c>
      <c r="E415">
        <v>0.59734832666248605</v>
      </c>
      <c r="F415">
        <v>0.13213063550712001</v>
      </c>
      <c r="G415">
        <v>6.9666215188309899E-2</v>
      </c>
      <c r="H415">
        <v>4.1904810095922097E-2</v>
      </c>
      <c r="I415">
        <v>3.6489790417474702E-2</v>
      </c>
      <c r="J415">
        <v>4.24113799881067E-2</v>
      </c>
      <c r="K415">
        <v>3.8306211363353701E-2</v>
      </c>
      <c r="L415">
        <v>2207.8044577105802</v>
      </c>
      <c r="M415">
        <v>43.8503347250169</v>
      </c>
      <c r="N415">
        <v>50.453095754065302</v>
      </c>
      <c r="O415">
        <v>50.244258402954102</v>
      </c>
      <c r="P415">
        <v>-0.20871778349657899</v>
      </c>
      <c r="Q415">
        <v>4.3395654594869403E-2</v>
      </c>
      <c r="R415">
        <v>0.996184079391079</v>
      </c>
      <c r="S415" t="s">
        <v>4247</v>
      </c>
      <c r="T415" t="s">
        <v>7662</v>
      </c>
      <c r="U415" t="s">
        <v>7662</v>
      </c>
      <c r="V415" t="s">
        <v>7662</v>
      </c>
      <c r="W415">
        <v>13</v>
      </c>
      <c r="X415" t="s">
        <v>8077</v>
      </c>
      <c r="Y415">
        <v>0.37614741868832191</v>
      </c>
      <c r="Z415" t="str">
        <f>HYPERLINK("Melting_Curves/meltCurve_sp_P02679_2_FIBG_HUMAN_.pdf", "Melting_Curves/meltCurve_sp_P02679_2_FIBG_HUMAN_.pdf")</f>
        <v>Melting_Curves/meltCurve_sp_P02679_2_FIBG_HUMAN_.pdf</v>
      </c>
      <c r="AA415" t="s">
        <v>11901</v>
      </c>
      <c r="AB415" t="s">
        <v>15656</v>
      </c>
    </row>
    <row r="416" spans="1:28" x14ac:dyDescent="0.25">
      <c r="A416" t="s">
        <v>420</v>
      </c>
      <c r="B416">
        <v>0.98876768158843997</v>
      </c>
      <c r="C416">
        <v>0.69650966199737596</v>
      </c>
      <c r="D416">
        <v>0.96954287175465403</v>
      </c>
      <c r="E416">
        <v>0.73518698184411302</v>
      </c>
      <c r="F416">
        <v>0.61293337934126801</v>
      </c>
      <c r="G416">
        <v>0.36388515285408302</v>
      </c>
      <c r="H416">
        <v>0.26998563106016898</v>
      </c>
      <c r="I416">
        <v>0.32365761795505399</v>
      </c>
      <c r="J416">
        <v>0.26968821944931898</v>
      </c>
      <c r="K416">
        <v>0.47120702251637803</v>
      </c>
      <c r="L416">
        <v>782.48772444663302</v>
      </c>
      <c r="M416">
        <v>15.295147501477899</v>
      </c>
      <c r="N416">
        <v>54.494924761681098</v>
      </c>
      <c r="O416">
        <v>50.308615864043297</v>
      </c>
      <c r="P416">
        <v>-5.29093317834489E-2</v>
      </c>
      <c r="Q416">
        <v>0.30395019103640503</v>
      </c>
      <c r="R416">
        <v>0.82217061147241399</v>
      </c>
      <c r="S416" t="s">
        <v>4248</v>
      </c>
      <c r="T416" t="s">
        <v>7662</v>
      </c>
      <c r="U416" t="s">
        <v>7662</v>
      </c>
      <c r="V416" t="s">
        <v>7662</v>
      </c>
      <c r="W416">
        <v>5</v>
      </c>
      <c r="X416" t="s">
        <v>8078</v>
      </c>
      <c r="Y416">
        <v>0.57835934315355286</v>
      </c>
      <c r="Z416" t="str">
        <f>HYPERLINK("Melting_Curves/meltCurve_sp_P02743_SAMP_HUMAN_.pdf", "Melting_Curves/meltCurve_sp_P02743_SAMP_HUMAN_.pdf")</f>
        <v>Melting_Curves/meltCurve_sp_P02743_SAMP_HUMAN_.pdf</v>
      </c>
      <c r="AA416" t="s">
        <v>11902</v>
      </c>
      <c r="AB416" t="s">
        <v>15657</v>
      </c>
    </row>
    <row r="417" spans="1:28" x14ac:dyDescent="0.25">
      <c r="A417" t="s">
        <v>421</v>
      </c>
      <c r="B417">
        <v>0.98876768158843997</v>
      </c>
      <c r="C417">
        <v>0.96035912853164296</v>
      </c>
      <c r="D417">
        <v>0.86190598363728099</v>
      </c>
      <c r="E417">
        <v>0.72984413063231002</v>
      </c>
      <c r="F417">
        <v>0.230286070240666</v>
      </c>
      <c r="G417">
        <v>8.90600862159769E-2</v>
      </c>
      <c r="H417">
        <v>5.5829526643227698E-2</v>
      </c>
      <c r="I417">
        <v>4.3101938620084497E-2</v>
      </c>
      <c r="J417">
        <v>5.5842651929799203E-2</v>
      </c>
      <c r="K417">
        <v>4.66176699178504E-2</v>
      </c>
      <c r="L417">
        <v>1817.56043739047</v>
      </c>
      <c r="M417">
        <v>35.575413724404498</v>
      </c>
      <c r="N417">
        <v>51.241790981436097</v>
      </c>
      <c r="O417">
        <v>50.929728435224597</v>
      </c>
      <c r="P417">
        <v>-0.16591642351048899</v>
      </c>
      <c r="Q417">
        <v>4.9900017164706899E-2</v>
      </c>
      <c r="R417">
        <v>0.98879541204478505</v>
      </c>
      <c r="S417" t="s">
        <v>4249</v>
      </c>
      <c r="T417" t="s">
        <v>7662</v>
      </c>
      <c r="U417" t="s">
        <v>7662</v>
      </c>
      <c r="V417" t="s">
        <v>7662</v>
      </c>
      <c r="W417">
        <v>6</v>
      </c>
      <c r="X417" t="s">
        <v>8079</v>
      </c>
      <c r="Y417">
        <v>0.40537971924078448</v>
      </c>
      <c r="Z417" t="str">
        <f>HYPERLINK("Melting_Curves/meltCurve_sp_P02748_CO9_HUMAN_.pdf", "Melting_Curves/meltCurve_sp_P02748_CO9_HUMAN_.pdf")</f>
        <v>Melting_Curves/meltCurve_sp_P02748_CO9_HUMAN_.pdf</v>
      </c>
      <c r="AA417" t="s">
        <v>11903</v>
      </c>
      <c r="AB417" t="s">
        <v>15658</v>
      </c>
    </row>
    <row r="418" spans="1:28" x14ac:dyDescent="0.25">
      <c r="A418" t="s">
        <v>422</v>
      </c>
      <c r="B418">
        <v>0.98876768158843997</v>
      </c>
      <c r="C418">
        <v>0.98631572896873698</v>
      </c>
      <c r="D418">
        <v>0.89378157386386903</v>
      </c>
      <c r="E418">
        <v>0.67724747320513301</v>
      </c>
      <c r="F418">
        <v>0.50358246392327799</v>
      </c>
      <c r="G418">
        <v>0.31753359768694001</v>
      </c>
      <c r="H418">
        <v>0.23072868881272601</v>
      </c>
      <c r="I418">
        <v>0.21908481873185201</v>
      </c>
      <c r="J418">
        <v>0.38383727320768801</v>
      </c>
      <c r="K418">
        <v>0.29157048310739597</v>
      </c>
      <c r="L418">
        <v>1037.50841773048</v>
      </c>
      <c r="M418">
        <v>20.522732899044701</v>
      </c>
      <c r="N418">
        <v>52.568265018321597</v>
      </c>
      <c r="O418">
        <v>50.081454429794299</v>
      </c>
      <c r="P418">
        <v>-7.4558544988428593E-2</v>
      </c>
      <c r="Q418">
        <v>0.272243010351366</v>
      </c>
      <c r="R418">
        <v>0.97577086251206302</v>
      </c>
      <c r="S418" t="s">
        <v>4250</v>
      </c>
      <c r="T418" t="s">
        <v>7662</v>
      </c>
      <c r="U418" t="s">
        <v>7662</v>
      </c>
      <c r="V418" t="s">
        <v>7662</v>
      </c>
      <c r="W418">
        <v>2</v>
      </c>
      <c r="X418" t="s">
        <v>8080</v>
      </c>
      <c r="Y418">
        <v>0.53789706201023202</v>
      </c>
      <c r="Z418" t="str">
        <f>HYPERLINK("Melting_Curves/meltCurve_sp_P02749_APOH_HUMAN_.pdf", "Melting_Curves/meltCurve_sp_P02749_APOH_HUMAN_.pdf")</f>
        <v>Melting_Curves/meltCurve_sp_P02749_APOH_HUMAN_.pdf</v>
      </c>
      <c r="AA418" t="s">
        <v>11904</v>
      </c>
      <c r="AB418" t="s">
        <v>15659</v>
      </c>
    </row>
    <row r="419" spans="1:28" x14ac:dyDescent="0.25">
      <c r="A419" t="s">
        <v>423</v>
      </c>
      <c r="B419">
        <v>0.98876768158843997</v>
      </c>
      <c r="C419">
        <v>0.96734520295375304</v>
      </c>
      <c r="D419">
        <v>0.96497072286266605</v>
      </c>
      <c r="E419">
        <v>0.79215515339912301</v>
      </c>
      <c r="F419">
        <v>0.73793411568595801</v>
      </c>
      <c r="G419">
        <v>0.58892800421522395</v>
      </c>
      <c r="H419">
        <v>0.46652982114228803</v>
      </c>
      <c r="I419">
        <v>0.523563065890704</v>
      </c>
      <c r="J419">
        <v>0.55282703393739097</v>
      </c>
      <c r="K419">
        <v>0.53013610355180696</v>
      </c>
      <c r="L419">
        <v>919.64018067286997</v>
      </c>
      <c r="M419">
        <v>17.8161939939659</v>
      </c>
      <c r="O419">
        <v>50.981078562630699</v>
      </c>
      <c r="P419">
        <v>-4.2906054727816403E-2</v>
      </c>
      <c r="Q419">
        <v>0.508922147268146</v>
      </c>
      <c r="R419">
        <v>0.97382309737527695</v>
      </c>
      <c r="S419" t="s">
        <v>4251</v>
      </c>
      <c r="T419" t="s">
        <v>7662</v>
      </c>
      <c r="U419" t="s">
        <v>7662</v>
      </c>
      <c r="V419" t="s">
        <v>7662</v>
      </c>
      <c r="W419">
        <v>3</v>
      </c>
      <c r="X419" t="s">
        <v>8081</v>
      </c>
      <c r="Y419">
        <v>0.70746483395163307</v>
      </c>
      <c r="Z419" t="str">
        <f>HYPERLINK("Melting_Curves/meltCurve_sp_P02750_A2GL_HUMAN_.pdf", "Melting_Curves/meltCurve_sp_P02750_A2GL_HUMAN_.pdf")</f>
        <v>Melting_Curves/meltCurve_sp_P02750_A2GL_HUMAN_.pdf</v>
      </c>
      <c r="AA419" t="s">
        <v>11905</v>
      </c>
      <c r="AB419" t="s">
        <v>15660</v>
      </c>
    </row>
    <row r="420" spans="1:28" x14ac:dyDescent="0.25">
      <c r="A420" t="s">
        <v>424</v>
      </c>
      <c r="B420">
        <v>0.98876768158843997</v>
      </c>
      <c r="C420">
        <v>0.89734359787946305</v>
      </c>
      <c r="D420">
        <v>0.90846661833377595</v>
      </c>
      <c r="E420">
        <v>0.72585976707989097</v>
      </c>
      <c r="F420">
        <v>0.51674491683764401</v>
      </c>
      <c r="G420">
        <v>0.36595362416862998</v>
      </c>
      <c r="H420">
        <v>0.27134131629100899</v>
      </c>
      <c r="I420">
        <v>0.27909595528803599</v>
      </c>
      <c r="J420">
        <v>0.27294879298278102</v>
      </c>
      <c r="K420">
        <v>0.259609373152274</v>
      </c>
      <c r="L420">
        <v>825.55106592732102</v>
      </c>
      <c r="M420">
        <v>16.081572392197099</v>
      </c>
      <c r="N420">
        <v>53.543571957118303</v>
      </c>
      <c r="O420">
        <v>50.561103138710003</v>
      </c>
      <c r="P420">
        <v>-6.0244196531861603E-2</v>
      </c>
      <c r="Q420">
        <v>0.242417647010161</v>
      </c>
      <c r="R420">
        <v>0.99150991557037105</v>
      </c>
      <c r="S420" t="s">
        <v>4252</v>
      </c>
      <c r="T420" t="s">
        <v>7662</v>
      </c>
      <c r="U420" t="s">
        <v>7662</v>
      </c>
      <c r="V420" t="s">
        <v>7662</v>
      </c>
      <c r="W420">
        <v>6</v>
      </c>
      <c r="X420" t="s">
        <v>8082</v>
      </c>
      <c r="Y420">
        <v>0.54410648322724298</v>
      </c>
      <c r="Z420" t="str">
        <f>HYPERLINK("Melting_Curves/meltCurve_sp_P02751_12_FINC_HUMAN_.pdf", "Melting_Curves/meltCurve_sp_P02751_12_FINC_HUMAN_.pdf")</f>
        <v>Melting_Curves/meltCurve_sp_P02751_12_FINC_HUMAN_.pdf</v>
      </c>
      <c r="AA420" t="s">
        <v>11906</v>
      </c>
      <c r="AB420" t="s">
        <v>15661</v>
      </c>
    </row>
    <row r="421" spans="1:28" x14ac:dyDescent="0.25">
      <c r="A421" t="s">
        <v>425</v>
      </c>
      <c r="B421">
        <v>0.98876768158843997</v>
      </c>
      <c r="C421">
        <v>1.24296039982533</v>
      </c>
      <c r="D421">
        <v>0.98390598538133101</v>
      </c>
      <c r="E421">
        <v>0.92607523681243697</v>
      </c>
      <c r="F421">
        <v>0.99386676505882798</v>
      </c>
      <c r="G421">
        <v>0.63729958677494802</v>
      </c>
      <c r="H421">
        <v>0.36510564423033998</v>
      </c>
      <c r="I421">
        <v>0.36946344590004498</v>
      </c>
      <c r="J421">
        <v>0.36705396896672399</v>
      </c>
      <c r="K421">
        <v>0.492750543301264</v>
      </c>
      <c r="L421">
        <v>14226.154405748</v>
      </c>
      <c r="M421">
        <v>250</v>
      </c>
      <c r="N421">
        <v>57.270095050538004</v>
      </c>
      <c r="O421">
        <v>56.900975791023797</v>
      </c>
      <c r="P421">
        <v>-0.66058467658468401</v>
      </c>
      <c r="Q421">
        <v>0.39859339434285201</v>
      </c>
      <c r="R421">
        <v>0.92021413918217898</v>
      </c>
      <c r="S421" t="s">
        <v>4253</v>
      </c>
      <c r="T421" t="s">
        <v>7662</v>
      </c>
      <c r="U421" t="s">
        <v>7662</v>
      </c>
      <c r="V421" t="s">
        <v>7662</v>
      </c>
      <c r="W421">
        <v>9</v>
      </c>
      <c r="X421" t="s">
        <v>8083</v>
      </c>
      <c r="Y421">
        <v>0.73753841166610856</v>
      </c>
      <c r="Z421" t="str">
        <f>HYPERLINK("Melting_Curves/meltCurve_sp_P02760_AMBP_HUMAN_.pdf", "Melting_Curves/meltCurve_sp_P02760_AMBP_HUMAN_.pdf")</f>
        <v>Melting_Curves/meltCurve_sp_P02760_AMBP_HUMAN_.pdf</v>
      </c>
      <c r="AA421" t="s">
        <v>11907</v>
      </c>
      <c r="AB421" t="s">
        <v>15662</v>
      </c>
    </row>
    <row r="422" spans="1:28" x14ac:dyDescent="0.25">
      <c r="A422" t="s">
        <v>426</v>
      </c>
      <c r="B422">
        <v>0.98876768158843997</v>
      </c>
      <c r="C422">
        <v>1.0614019965777099</v>
      </c>
      <c r="D422">
        <v>0.92173410810614098</v>
      </c>
      <c r="E422">
        <v>0.79979268174352303</v>
      </c>
      <c r="F422">
        <v>0.81609399208120104</v>
      </c>
      <c r="G422">
        <v>0.528343835131725</v>
      </c>
      <c r="H422">
        <v>0.42098593392426498</v>
      </c>
      <c r="I422">
        <v>0.48534921226429301</v>
      </c>
      <c r="J422">
        <v>0.51915999407861302</v>
      </c>
      <c r="K422">
        <v>0.654537562137679</v>
      </c>
      <c r="L422">
        <v>1111.04297339808</v>
      </c>
      <c r="M422">
        <v>21.314706022323101</v>
      </c>
      <c r="O422">
        <v>51.673339097601399</v>
      </c>
      <c r="P422">
        <v>-5.0390832970424501E-2</v>
      </c>
      <c r="Q422">
        <v>0.51136145917313103</v>
      </c>
      <c r="R422">
        <v>0.87800238934634101</v>
      </c>
      <c r="S422" t="s">
        <v>4254</v>
      </c>
      <c r="T422" t="s">
        <v>7662</v>
      </c>
      <c r="U422" t="s">
        <v>7662</v>
      </c>
      <c r="V422" t="s">
        <v>7662</v>
      </c>
      <c r="W422">
        <v>7</v>
      </c>
      <c r="X422" t="s">
        <v>8084</v>
      </c>
      <c r="Y422">
        <v>0.71488805989493476</v>
      </c>
      <c r="Z422" t="str">
        <f>HYPERLINK("Melting_Curves/meltCurve_sp_P02763_A1AG1_HUMAN_.pdf", "Melting_Curves/meltCurve_sp_P02763_A1AG1_HUMAN_.pdf")</f>
        <v>Melting_Curves/meltCurve_sp_P02763_A1AG1_HUMAN_.pdf</v>
      </c>
      <c r="AA422" t="s">
        <v>11908</v>
      </c>
      <c r="AB422" t="s">
        <v>15663</v>
      </c>
    </row>
    <row r="423" spans="1:28" x14ac:dyDescent="0.25">
      <c r="A423" t="s">
        <v>427</v>
      </c>
      <c r="B423">
        <v>0.98876768158843997</v>
      </c>
      <c r="C423">
        <v>1.05516165091688</v>
      </c>
      <c r="D423">
        <v>0.84806950894688304</v>
      </c>
      <c r="E423">
        <v>0.65856166289270901</v>
      </c>
      <c r="F423">
        <v>0.81660708872459598</v>
      </c>
      <c r="G423">
        <v>0.57187543122261897</v>
      </c>
      <c r="H423">
        <v>0.42019515485615</v>
      </c>
      <c r="I423">
        <v>0.50222139370173302</v>
      </c>
      <c r="J423">
        <v>0.621915225435686</v>
      </c>
      <c r="K423">
        <v>0.72819809738228303</v>
      </c>
      <c r="L423">
        <v>893.010156809156</v>
      </c>
      <c r="M423">
        <v>18.412384094240799</v>
      </c>
      <c r="O423">
        <v>47.939288598897697</v>
      </c>
      <c r="P423">
        <v>-4.0464517860748499E-2</v>
      </c>
      <c r="Q423">
        <v>0.57859841486136998</v>
      </c>
      <c r="R423">
        <v>0.73436890709346103</v>
      </c>
      <c r="S423" t="s">
        <v>4255</v>
      </c>
      <c r="T423" t="s">
        <v>7662</v>
      </c>
      <c r="U423" t="s">
        <v>7662</v>
      </c>
      <c r="V423" t="s">
        <v>7662</v>
      </c>
      <c r="W423">
        <v>6</v>
      </c>
      <c r="X423" t="s">
        <v>8085</v>
      </c>
      <c r="Y423">
        <v>0.70504539218477424</v>
      </c>
      <c r="Z423" t="str">
        <f>HYPERLINK("Melting_Curves/meltCurve_sp_P02765_FETUA_HUMAN_.pdf", "Melting_Curves/meltCurve_sp_P02765_FETUA_HUMAN_.pdf")</f>
        <v>Melting_Curves/meltCurve_sp_P02765_FETUA_HUMAN_.pdf</v>
      </c>
      <c r="AA423" t="s">
        <v>11909</v>
      </c>
      <c r="AB423" t="s">
        <v>15664</v>
      </c>
    </row>
    <row r="424" spans="1:28" x14ac:dyDescent="0.25">
      <c r="A424" t="s">
        <v>428</v>
      </c>
      <c r="B424">
        <v>0.98876768158843997</v>
      </c>
      <c r="C424">
        <v>1.09388765069637</v>
      </c>
      <c r="D424">
        <v>0.934431957993344</v>
      </c>
      <c r="E424">
        <v>0.82700514725197605</v>
      </c>
      <c r="F424">
        <v>0.76353829074187596</v>
      </c>
      <c r="G424">
        <v>0.55690865156577196</v>
      </c>
      <c r="H424">
        <v>0.43708792139035901</v>
      </c>
      <c r="I424">
        <v>0.48227112539301897</v>
      </c>
      <c r="J424">
        <v>0.48735685062181699</v>
      </c>
      <c r="K424">
        <v>0.60173269272588303</v>
      </c>
      <c r="L424">
        <v>1132.7958149359199</v>
      </c>
      <c r="M424">
        <v>21.672973195767899</v>
      </c>
      <c r="N424">
        <v>67.482105018155906</v>
      </c>
      <c r="O424">
        <v>51.8287874233271</v>
      </c>
      <c r="P424">
        <v>-5.2666426441783203E-2</v>
      </c>
      <c r="Q424">
        <v>0.496225582600334</v>
      </c>
      <c r="R424">
        <v>0.93323209324013201</v>
      </c>
      <c r="S424" t="s">
        <v>4256</v>
      </c>
      <c r="T424" t="s">
        <v>7662</v>
      </c>
      <c r="U424" t="s">
        <v>7662</v>
      </c>
      <c r="V424" t="s">
        <v>7662</v>
      </c>
      <c r="W424">
        <v>3</v>
      </c>
      <c r="X424" t="s">
        <v>8086</v>
      </c>
      <c r="Y424">
        <v>0.70825543290585269</v>
      </c>
      <c r="Z424" t="str">
        <f>HYPERLINK("Melting_Curves/meltCurve_sp_P02766_TTHY_HUMAN_.pdf", "Melting_Curves/meltCurve_sp_P02766_TTHY_HUMAN_.pdf")</f>
        <v>Melting_Curves/meltCurve_sp_P02766_TTHY_HUMAN_.pdf</v>
      </c>
      <c r="AA424" t="s">
        <v>11910</v>
      </c>
      <c r="AB424" t="s">
        <v>15665</v>
      </c>
    </row>
    <row r="425" spans="1:28" x14ac:dyDescent="0.25">
      <c r="A425" t="s">
        <v>429</v>
      </c>
      <c r="B425">
        <v>0.98876768158843997</v>
      </c>
      <c r="C425">
        <v>0.98506838431641996</v>
      </c>
      <c r="D425">
        <v>0.92218888265880095</v>
      </c>
      <c r="E425">
        <v>0.89025974910709504</v>
      </c>
      <c r="F425">
        <v>0.85553453129174395</v>
      </c>
      <c r="G425">
        <v>0.69000065855552895</v>
      </c>
      <c r="H425">
        <v>0.48951411776861797</v>
      </c>
      <c r="I425">
        <v>0.33421522524910702</v>
      </c>
      <c r="J425">
        <v>0.20582087151154299</v>
      </c>
      <c r="K425">
        <v>0.17973072872214599</v>
      </c>
      <c r="L425">
        <v>715.94252863081101</v>
      </c>
      <c r="M425">
        <v>11.840966139701401</v>
      </c>
      <c r="N425">
        <v>60.463185246682997</v>
      </c>
      <c r="O425">
        <v>58.816008288119697</v>
      </c>
      <c r="P425">
        <v>-5.0343317918962599E-2</v>
      </c>
      <c r="Q425">
        <v>0</v>
      </c>
      <c r="R425">
        <v>0.99339712735388797</v>
      </c>
      <c r="S425" t="s">
        <v>4257</v>
      </c>
      <c r="T425" t="s">
        <v>7662</v>
      </c>
      <c r="U425" t="s">
        <v>7662</v>
      </c>
      <c r="V425" t="s">
        <v>7662</v>
      </c>
      <c r="W425">
        <v>3</v>
      </c>
      <c r="X425" t="s">
        <v>8087</v>
      </c>
      <c r="Y425">
        <v>0.68118921163224233</v>
      </c>
      <c r="Z425" t="str">
        <f>HYPERLINK("Melting_Curves/meltCurve_sp_P02771_FETA_HUMAN_.pdf", "Melting_Curves/meltCurve_sp_P02771_FETA_HUMAN_.pdf")</f>
        <v>Melting_Curves/meltCurve_sp_P02771_FETA_HUMAN_.pdf</v>
      </c>
      <c r="AA425" t="s">
        <v>11911</v>
      </c>
      <c r="AB425" t="s">
        <v>15666</v>
      </c>
    </row>
    <row r="426" spans="1:28" x14ac:dyDescent="0.25">
      <c r="A426" t="s">
        <v>430</v>
      </c>
      <c r="B426">
        <v>0.98876768158843997</v>
      </c>
      <c r="C426">
        <v>0.98894523481684604</v>
      </c>
      <c r="D426">
        <v>0.921821507544763</v>
      </c>
      <c r="E426">
        <v>0.90070122755751902</v>
      </c>
      <c r="F426">
        <v>0.82260935102635702</v>
      </c>
      <c r="G426">
        <v>0.63339769231109799</v>
      </c>
      <c r="H426">
        <v>0.54845797870375901</v>
      </c>
      <c r="I426">
        <v>0.647495109535284</v>
      </c>
      <c r="J426">
        <v>0.45318432195270503</v>
      </c>
      <c r="K426">
        <v>0.39702230167948599</v>
      </c>
      <c r="L426">
        <v>495.05580825538698</v>
      </c>
      <c r="M426">
        <v>8.3459632692375507</v>
      </c>
      <c r="N426">
        <v>65.350659231458295</v>
      </c>
      <c r="O426">
        <v>56.2043302810821</v>
      </c>
      <c r="P426">
        <v>-2.71771223390842E-2</v>
      </c>
      <c r="Q426">
        <v>0.26862889182057698</v>
      </c>
      <c r="R426">
        <v>0.946623120546359</v>
      </c>
      <c r="S426" t="s">
        <v>4258</v>
      </c>
      <c r="T426" t="s">
        <v>7662</v>
      </c>
      <c r="U426" t="s">
        <v>7662</v>
      </c>
      <c r="V426" t="s">
        <v>7662</v>
      </c>
      <c r="W426">
        <v>22</v>
      </c>
      <c r="X426" t="s">
        <v>8088</v>
      </c>
      <c r="Y426">
        <v>0.73490730652068237</v>
      </c>
      <c r="Z426" t="str">
        <f>HYPERLINK("Melting_Curves/meltCurve_sp_P02774_VTDB_HUMAN_.pdf", "Melting_Curves/meltCurve_sp_P02774_VTDB_HUMAN_.pdf")</f>
        <v>Melting_Curves/meltCurve_sp_P02774_VTDB_HUMAN_.pdf</v>
      </c>
      <c r="AA426" t="s">
        <v>11912</v>
      </c>
      <c r="AB426" t="s">
        <v>15667</v>
      </c>
    </row>
    <row r="427" spans="1:28" x14ac:dyDescent="0.25">
      <c r="A427" t="s">
        <v>431</v>
      </c>
      <c r="B427">
        <v>0.98876768158843997</v>
      </c>
      <c r="C427">
        <v>0.98954889695436599</v>
      </c>
      <c r="D427">
        <v>0.84522295954814197</v>
      </c>
      <c r="E427">
        <v>0.73979825463352</v>
      </c>
      <c r="F427">
        <v>0.626587848995385</v>
      </c>
      <c r="G427">
        <v>0.46608060376514798</v>
      </c>
      <c r="H427">
        <v>0.37936566955213302</v>
      </c>
      <c r="I427">
        <v>0.43299475792867798</v>
      </c>
      <c r="J427">
        <v>0.52558852003775303</v>
      </c>
      <c r="K427">
        <v>0.32237315454280502</v>
      </c>
      <c r="L427">
        <v>738.18924793473195</v>
      </c>
      <c r="M427">
        <v>14.5599987919969</v>
      </c>
      <c r="N427">
        <v>56.532347100278301</v>
      </c>
      <c r="O427">
        <v>49.772220220887597</v>
      </c>
      <c r="P427">
        <v>-4.47129988329917E-2</v>
      </c>
      <c r="Q427">
        <v>0.38867780135765101</v>
      </c>
      <c r="R427">
        <v>0.94914515931048105</v>
      </c>
      <c r="S427" t="s">
        <v>4259</v>
      </c>
      <c r="T427" t="s">
        <v>7662</v>
      </c>
      <c r="U427" t="s">
        <v>7662</v>
      </c>
      <c r="V427" t="s">
        <v>7662</v>
      </c>
      <c r="W427">
        <v>9</v>
      </c>
      <c r="X427" t="s">
        <v>8089</v>
      </c>
      <c r="Y427">
        <v>0.62170045190159207</v>
      </c>
      <c r="Z427" t="str">
        <f>HYPERLINK("Melting_Curves/meltCurve_sp_P02790_HEMO_HUMAN_.pdf", "Melting_Curves/meltCurve_sp_P02790_HEMO_HUMAN_.pdf")</f>
        <v>Melting_Curves/meltCurve_sp_P02790_HEMO_HUMAN_.pdf</v>
      </c>
      <c r="AA427" t="s">
        <v>11913</v>
      </c>
      <c r="AB427" t="s">
        <v>15668</v>
      </c>
    </row>
    <row r="428" spans="1:28" x14ac:dyDescent="0.25">
      <c r="A428" t="s">
        <v>432</v>
      </c>
      <c r="B428">
        <v>0.98876768158843997</v>
      </c>
      <c r="C428">
        <v>0.54191201759196705</v>
      </c>
      <c r="D428">
        <v>1.1405113185090701</v>
      </c>
      <c r="E428">
        <v>0.71695122515376897</v>
      </c>
      <c r="F428">
        <v>0.32125665104967699</v>
      </c>
      <c r="G428">
        <v>0.24821780739028501</v>
      </c>
      <c r="H428">
        <v>0.18822593463855</v>
      </c>
      <c r="I428">
        <v>0.22622353389783301</v>
      </c>
      <c r="J428">
        <v>0.23622627414059799</v>
      </c>
      <c r="K428">
        <v>0.37141631716107898</v>
      </c>
      <c r="L428">
        <v>2801.58219643349</v>
      </c>
      <c r="M428">
        <v>55.506257278228198</v>
      </c>
      <c r="N428">
        <v>51.135540950056701</v>
      </c>
      <c r="O428">
        <v>50.4078801048598</v>
      </c>
      <c r="P428">
        <v>-0.20471696041884499</v>
      </c>
      <c r="Q428">
        <v>0.25634747087944298</v>
      </c>
      <c r="R428">
        <v>0.76205469813837601</v>
      </c>
      <c r="S428" t="s">
        <v>4260</v>
      </c>
      <c r="T428" t="s">
        <v>7662</v>
      </c>
      <c r="U428" t="s">
        <v>7662</v>
      </c>
      <c r="V428" t="s">
        <v>7662</v>
      </c>
      <c r="W428">
        <v>13</v>
      </c>
      <c r="X428" t="s">
        <v>8090</v>
      </c>
      <c r="Y428">
        <v>0.51730525745879019</v>
      </c>
      <c r="Z428" t="str">
        <f>HYPERLINK("Melting_Curves/meltCurve_sp_P02792_FRIL_HUMAN_.pdf", "Melting_Curves/meltCurve_sp_P02792_FRIL_HUMAN_.pdf")</f>
        <v>Melting_Curves/meltCurve_sp_P02792_FRIL_HUMAN_.pdf</v>
      </c>
      <c r="AA428" t="s">
        <v>11914</v>
      </c>
      <c r="AB428" t="s">
        <v>15669</v>
      </c>
    </row>
    <row r="429" spans="1:28" x14ac:dyDescent="0.25">
      <c r="A429" t="s">
        <v>433</v>
      </c>
      <c r="B429">
        <v>0.98876768158843997</v>
      </c>
      <c r="C429">
        <v>0.41756309347756398</v>
      </c>
      <c r="D429">
        <v>1.0194121962307501</v>
      </c>
      <c r="E429">
        <v>0.49892716155061201</v>
      </c>
      <c r="F429">
        <v>0.290485972480579</v>
      </c>
      <c r="G429">
        <v>0.16502884508558899</v>
      </c>
      <c r="H429">
        <v>0.105939101059299</v>
      </c>
      <c r="I429">
        <v>0.112328110606706</v>
      </c>
      <c r="J429">
        <v>8.7629288900257105E-2</v>
      </c>
      <c r="K429">
        <v>0.18563525346222201</v>
      </c>
      <c r="L429">
        <v>495.38304075672602</v>
      </c>
      <c r="M429">
        <v>10.073267647445499</v>
      </c>
      <c r="N429">
        <v>49.549497193661203</v>
      </c>
      <c r="O429">
        <v>47.357827425083698</v>
      </c>
      <c r="P429">
        <v>-5.1266443777194803E-2</v>
      </c>
      <c r="Q429">
        <v>3.6372441683066803E-2</v>
      </c>
      <c r="R429">
        <v>0.72710927110690504</v>
      </c>
      <c r="S429" t="s">
        <v>4261</v>
      </c>
      <c r="T429" t="s">
        <v>7662</v>
      </c>
      <c r="U429" t="s">
        <v>7662</v>
      </c>
      <c r="V429" t="s">
        <v>7662</v>
      </c>
      <c r="W429">
        <v>4</v>
      </c>
      <c r="X429" t="s">
        <v>8091</v>
      </c>
      <c r="Y429">
        <v>0.37719511412384871</v>
      </c>
      <c r="Z429" t="str">
        <f>HYPERLINK("Melting_Curves/meltCurve_sp_P02794_FRIH_HUMAN_.pdf", "Melting_Curves/meltCurve_sp_P02794_FRIH_HUMAN_.pdf")</f>
        <v>Melting_Curves/meltCurve_sp_P02794_FRIH_HUMAN_.pdf</v>
      </c>
      <c r="AA429" t="s">
        <v>11915</v>
      </c>
      <c r="AB429" t="s">
        <v>15670</v>
      </c>
    </row>
    <row r="430" spans="1:28" x14ac:dyDescent="0.25">
      <c r="A430" t="s">
        <v>434</v>
      </c>
      <c r="B430">
        <v>0.98876768158843997</v>
      </c>
      <c r="C430">
        <v>1.5189250559812399</v>
      </c>
      <c r="D430">
        <v>0.92745112394249096</v>
      </c>
      <c r="E430">
        <v>0.87816722027299898</v>
      </c>
      <c r="F430">
        <v>1.1963054242373801</v>
      </c>
      <c r="G430">
        <v>0.95534591848209605</v>
      </c>
      <c r="H430">
        <v>0.78285013029641404</v>
      </c>
      <c r="I430">
        <v>1.1588019464501</v>
      </c>
      <c r="J430">
        <v>1.3837995620444601</v>
      </c>
      <c r="K430">
        <v>2.4690608718275802</v>
      </c>
      <c r="L430">
        <v>5469.9419348509</v>
      </c>
      <c r="M430">
        <v>84.504973330025294</v>
      </c>
      <c r="O430">
        <v>64.693007424155297</v>
      </c>
      <c r="P430">
        <v>0.16328074996634401</v>
      </c>
      <c r="Q430">
        <v>1.5</v>
      </c>
      <c r="R430">
        <v>0.395825568793852</v>
      </c>
      <c r="S430" t="s">
        <v>4262</v>
      </c>
      <c r="T430" t="s">
        <v>7662</v>
      </c>
      <c r="U430" t="s">
        <v>7662</v>
      </c>
      <c r="V430" t="s">
        <v>7662</v>
      </c>
      <c r="W430">
        <v>4</v>
      </c>
      <c r="X430" t="s">
        <v>8092</v>
      </c>
      <c r="Y430">
        <v>1.08737458399056</v>
      </c>
      <c r="Z430" t="str">
        <f>HYPERLINK("Melting_Curves/meltCurve_sp_P02795_MT2_HUMAN_.pdf", "Melting_Curves/meltCurve_sp_P02795_MT2_HUMAN_.pdf")</f>
        <v>Melting_Curves/meltCurve_sp_P02795_MT2_HUMAN_.pdf</v>
      </c>
      <c r="AA430" t="s">
        <v>11916</v>
      </c>
      <c r="AB430" t="s">
        <v>15671</v>
      </c>
    </row>
    <row r="431" spans="1:28" x14ac:dyDescent="0.25">
      <c r="A431" t="s">
        <v>435</v>
      </c>
      <c r="B431">
        <v>0.98876768158843997</v>
      </c>
      <c r="C431">
        <v>1.03756969588144</v>
      </c>
      <c r="D431">
        <v>0.83245684105589901</v>
      </c>
      <c r="E431">
        <v>0.75811394887239503</v>
      </c>
      <c r="F431">
        <v>0.98417850398743301</v>
      </c>
      <c r="G431">
        <v>0.66532952354538599</v>
      </c>
      <c r="H431">
        <v>0.45549668775862601</v>
      </c>
      <c r="I431">
        <v>0.29589916286715501</v>
      </c>
      <c r="J431">
        <v>9.2894583710335807E-2</v>
      </c>
      <c r="K431">
        <v>9.1521240830650497E-2</v>
      </c>
      <c r="L431">
        <v>895.36482580222298</v>
      </c>
      <c r="M431">
        <v>14.9734314340248</v>
      </c>
      <c r="N431">
        <v>59.7969031369174</v>
      </c>
      <c r="O431">
        <v>58.760744141546603</v>
      </c>
      <c r="P431">
        <v>-6.3711559359530004E-2</v>
      </c>
      <c r="Q431">
        <v>0</v>
      </c>
      <c r="R431">
        <v>0.93122769717475695</v>
      </c>
      <c r="S431" t="s">
        <v>4263</v>
      </c>
      <c r="T431" t="s">
        <v>7662</v>
      </c>
      <c r="U431" t="s">
        <v>7662</v>
      </c>
      <c r="V431" t="s">
        <v>7662</v>
      </c>
      <c r="W431">
        <v>3</v>
      </c>
      <c r="X431" t="s">
        <v>8093</v>
      </c>
      <c r="Y431">
        <v>0.66754158852208678</v>
      </c>
      <c r="Z431" t="str">
        <f>HYPERLINK("Melting_Curves/meltCurve_sp_P03950_ANGI_HUMAN_.pdf", "Melting_Curves/meltCurve_sp_P03950_ANGI_HUMAN_.pdf")</f>
        <v>Melting_Curves/meltCurve_sp_P03950_ANGI_HUMAN_.pdf</v>
      </c>
      <c r="AA431" t="s">
        <v>11917</v>
      </c>
      <c r="AB431" t="s">
        <v>15672</v>
      </c>
    </row>
    <row r="432" spans="1:28" x14ac:dyDescent="0.25">
      <c r="A432" t="s">
        <v>436</v>
      </c>
      <c r="B432">
        <v>0.98876768158843997</v>
      </c>
      <c r="C432">
        <v>0.95961459212393097</v>
      </c>
      <c r="D432">
        <v>0.84376084845650301</v>
      </c>
      <c r="E432">
        <v>0.69248908313171498</v>
      </c>
      <c r="F432">
        <v>0.57727994418108797</v>
      </c>
      <c r="G432">
        <v>0.39486167622345297</v>
      </c>
      <c r="H432">
        <v>0.25208710887588098</v>
      </c>
      <c r="I432">
        <v>0.29204243814516501</v>
      </c>
      <c r="J432">
        <v>0.41540797699023901</v>
      </c>
      <c r="K432">
        <v>0.39059145566185399</v>
      </c>
      <c r="L432">
        <v>823.64741133162397</v>
      </c>
      <c r="M432">
        <v>16.360011192597899</v>
      </c>
      <c r="N432">
        <v>53.782801362319297</v>
      </c>
      <c r="O432">
        <v>49.610976616033398</v>
      </c>
      <c r="P432">
        <v>-5.5711860660491601E-2</v>
      </c>
      <c r="Q432">
        <v>0.32427398940049901</v>
      </c>
      <c r="R432">
        <v>0.95822930481205804</v>
      </c>
      <c r="S432" t="s">
        <v>4264</v>
      </c>
      <c r="T432" t="s">
        <v>7662</v>
      </c>
      <c r="U432" t="s">
        <v>7662</v>
      </c>
      <c r="V432" t="s">
        <v>7662</v>
      </c>
      <c r="W432">
        <v>4</v>
      </c>
      <c r="X432" t="s">
        <v>8094</v>
      </c>
      <c r="Y432">
        <v>0.57096189310930645</v>
      </c>
      <c r="Z432" t="str">
        <f>HYPERLINK("Melting_Curves/meltCurve_sp_P04003_C4BPA_HUMAN_.pdf", "Melting_Curves/meltCurve_sp_P04003_C4BPA_HUMAN_.pdf")</f>
        <v>Melting_Curves/meltCurve_sp_P04003_C4BPA_HUMAN_.pdf</v>
      </c>
      <c r="AA432" t="s">
        <v>11918</v>
      </c>
      <c r="AB432" t="s">
        <v>15673</v>
      </c>
    </row>
    <row r="433" spans="1:28" x14ac:dyDescent="0.25">
      <c r="A433" t="s">
        <v>437</v>
      </c>
      <c r="B433">
        <v>0.98876768158843997</v>
      </c>
      <c r="C433">
        <v>1.1101443569315399</v>
      </c>
      <c r="D433">
        <v>0.89141511959824904</v>
      </c>
      <c r="E433">
        <v>0.81428240505247296</v>
      </c>
      <c r="F433">
        <v>0.81929806234361002</v>
      </c>
      <c r="G433">
        <v>0.53247994427919698</v>
      </c>
      <c r="H433">
        <v>0.29616781820568699</v>
      </c>
      <c r="I433">
        <v>0.30545504628658998</v>
      </c>
      <c r="J433">
        <v>0.35106613493677202</v>
      </c>
      <c r="K433">
        <v>0.43654034301257</v>
      </c>
      <c r="L433">
        <v>1111.12097000311</v>
      </c>
      <c r="M433">
        <v>20.478843461557702</v>
      </c>
      <c r="N433">
        <v>57.260755313907403</v>
      </c>
      <c r="O433">
        <v>53.747602778033702</v>
      </c>
      <c r="P433">
        <v>-6.3896365190861795E-2</v>
      </c>
      <c r="Q433">
        <v>0.32922488777742298</v>
      </c>
      <c r="R433">
        <v>0.93159456609715496</v>
      </c>
      <c r="S433" t="s">
        <v>4265</v>
      </c>
      <c r="T433" t="s">
        <v>7662</v>
      </c>
      <c r="U433" t="s">
        <v>7662</v>
      </c>
      <c r="V433" t="s">
        <v>7662</v>
      </c>
      <c r="W433">
        <v>4</v>
      </c>
      <c r="X433" t="s">
        <v>8095</v>
      </c>
      <c r="Y433">
        <v>0.65674083400329952</v>
      </c>
      <c r="Z433" t="str">
        <f>HYPERLINK("Melting_Curves/meltCurve_sp_P04004_VTNC_HUMAN_.pdf", "Melting_Curves/meltCurve_sp_P04004_VTNC_HUMAN_.pdf")</f>
        <v>Melting_Curves/meltCurve_sp_P04004_VTNC_HUMAN_.pdf</v>
      </c>
      <c r="AA433" t="s">
        <v>11919</v>
      </c>
      <c r="AB433" t="s">
        <v>15674</v>
      </c>
    </row>
    <row r="434" spans="1:28" x14ac:dyDescent="0.25">
      <c r="A434" t="s">
        <v>438</v>
      </c>
      <c r="B434">
        <v>0.98876768158843997</v>
      </c>
      <c r="C434">
        <v>1.0005466411831601</v>
      </c>
      <c r="D434">
        <v>0.85247416428894296</v>
      </c>
      <c r="E434">
        <v>0.68153213110696198</v>
      </c>
      <c r="F434">
        <v>0.53586815106180996</v>
      </c>
      <c r="G434">
        <v>0.250548329210177</v>
      </c>
      <c r="H434">
        <v>0.11546741472383799</v>
      </c>
      <c r="I434">
        <v>7.6902568311317102E-2</v>
      </c>
      <c r="J434">
        <v>0.106521161068391</v>
      </c>
      <c r="K434">
        <v>5.3050523468228E-2</v>
      </c>
      <c r="L434">
        <v>765.635063407958</v>
      </c>
      <c r="M434">
        <v>14.537077485288201</v>
      </c>
      <c r="N434">
        <v>52.862060809118901</v>
      </c>
      <c r="O434">
        <v>51.701194427404403</v>
      </c>
      <c r="P434">
        <v>-6.8472581014179995E-2</v>
      </c>
      <c r="Q434">
        <v>2.6018837198639701E-2</v>
      </c>
      <c r="R434">
        <v>0.99414093795561498</v>
      </c>
      <c r="S434" t="s">
        <v>4266</v>
      </c>
      <c r="T434" t="s">
        <v>7662</v>
      </c>
      <c r="U434" t="s">
        <v>7662</v>
      </c>
      <c r="V434" t="s">
        <v>7662</v>
      </c>
      <c r="W434">
        <v>6</v>
      </c>
      <c r="X434" t="s">
        <v>8096</v>
      </c>
      <c r="Y434">
        <v>0.45950179123429508</v>
      </c>
      <c r="Z434" t="str">
        <f>HYPERLINK("Melting_Curves/meltCurve_sp_P04066_FUCO_HUMAN_.pdf", "Melting_Curves/meltCurve_sp_P04066_FUCO_HUMAN_.pdf")</f>
        <v>Melting_Curves/meltCurve_sp_P04066_FUCO_HUMAN_.pdf</v>
      </c>
      <c r="AA434" t="s">
        <v>11920</v>
      </c>
      <c r="AB434" t="s">
        <v>15675</v>
      </c>
    </row>
    <row r="435" spans="1:28" x14ac:dyDescent="0.25">
      <c r="A435" t="s">
        <v>439</v>
      </c>
      <c r="B435">
        <v>0.98876768158843997</v>
      </c>
      <c r="C435">
        <v>0.92006194892311999</v>
      </c>
      <c r="D435">
        <v>0.90309188487516101</v>
      </c>
      <c r="E435">
        <v>0.74037616613625601</v>
      </c>
      <c r="F435">
        <v>0.67620415625922103</v>
      </c>
      <c r="G435">
        <v>0.50660210224139401</v>
      </c>
      <c r="H435">
        <v>0.35540644124423898</v>
      </c>
      <c r="I435">
        <v>0.39229920843476102</v>
      </c>
      <c r="J435">
        <v>0.35609900768686398</v>
      </c>
      <c r="K435">
        <v>0.40137563729381398</v>
      </c>
      <c r="L435">
        <v>663.83023363404902</v>
      </c>
      <c r="M435">
        <v>12.7157219065422</v>
      </c>
      <c r="N435">
        <v>57.036144144767</v>
      </c>
      <c r="O435">
        <v>50.9648137918741</v>
      </c>
      <c r="P435">
        <v>-4.1818958934780402E-2</v>
      </c>
      <c r="Q435">
        <v>0.329684871055058</v>
      </c>
      <c r="R435">
        <v>0.981719610048297</v>
      </c>
      <c r="S435" t="s">
        <v>4267</v>
      </c>
      <c r="T435" t="s">
        <v>7662</v>
      </c>
      <c r="U435" t="s">
        <v>7662</v>
      </c>
      <c r="V435" t="s">
        <v>7662</v>
      </c>
      <c r="W435">
        <v>6</v>
      </c>
      <c r="X435" t="s">
        <v>8097</v>
      </c>
      <c r="Y435">
        <v>0.62118089932647413</v>
      </c>
      <c r="Z435" t="str">
        <f>HYPERLINK("Melting_Curves/meltCurve_sp_P04080_CYTB_HUMAN_.pdf", "Melting_Curves/meltCurve_sp_P04080_CYTB_HUMAN_.pdf")</f>
        <v>Melting_Curves/meltCurve_sp_P04080_CYTB_HUMAN_.pdf</v>
      </c>
      <c r="AA435" t="s">
        <v>11921</v>
      </c>
      <c r="AB435" t="s">
        <v>15676</v>
      </c>
    </row>
    <row r="436" spans="1:28" x14ac:dyDescent="0.25">
      <c r="A436" t="s">
        <v>440</v>
      </c>
      <c r="B436">
        <v>0.98876768158843997</v>
      </c>
      <c r="C436">
        <v>0.91729631548948998</v>
      </c>
      <c r="D436">
        <v>1.0146611854493199</v>
      </c>
      <c r="E436">
        <v>0.72945853732908095</v>
      </c>
      <c r="F436">
        <v>0.259801868129235</v>
      </c>
      <c r="G436">
        <v>0.13145911629997101</v>
      </c>
      <c r="H436">
        <v>4.63624757628643E-2</v>
      </c>
      <c r="I436">
        <v>2.8052507440993201E-2</v>
      </c>
      <c r="J436">
        <v>8.9700709985136906E-2</v>
      </c>
      <c r="K436">
        <v>0</v>
      </c>
      <c r="L436">
        <v>1846.1767274993299</v>
      </c>
      <c r="M436">
        <v>36.020531727611498</v>
      </c>
      <c r="N436">
        <v>51.408144047480498</v>
      </c>
      <c r="O436">
        <v>51.096254962146503</v>
      </c>
      <c r="P436">
        <v>-0.16718757769532699</v>
      </c>
      <c r="Q436">
        <v>5.13597036207925E-2</v>
      </c>
      <c r="R436">
        <v>0.99078205524789598</v>
      </c>
      <c r="S436" t="s">
        <v>4268</v>
      </c>
      <c r="T436" t="s">
        <v>7662</v>
      </c>
      <c r="U436" t="s">
        <v>7662</v>
      </c>
      <c r="V436" t="s">
        <v>7662</v>
      </c>
      <c r="W436">
        <v>1</v>
      </c>
      <c r="X436" t="s">
        <v>8098</v>
      </c>
      <c r="Y436">
        <v>0.41135853732500649</v>
      </c>
      <c r="Z436" t="str">
        <f>HYPERLINK("Melting_Curves/meltCurve_sp_P04083_ANXA1_HUMAN_.pdf", "Melting_Curves/meltCurve_sp_P04083_ANXA1_HUMAN_.pdf")</f>
        <v>Melting_Curves/meltCurve_sp_P04083_ANXA1_HUMAN_.pdf</v>
      </c>
      <c r="AA436" t="s">
        <v>11922</v>
      </c>
      <c r="AB436" t="s">
        <v>15677</v>
      </c>
    </row>
    <row r="437" spans="1:28" x14ac:dyDescent="0.25">
      <c r="A437" t="s">
        <v>441</v>
      </c>
      <c r="B437">
        <v>0.98876768158843997</v>
      </c>
      <c r="C437">
        <v>0.94716566475636799</v>
      </c>
      <c r="D437">
        <v>1.0545522132859799</v>
      </c>
      <c r="E437">
        <v>0.78082807619483297</v>
      </c>
      <c r="F437">
        <v>0.46652755646639199</v>
      </c>
      <c r="G437">
        <v>0.27481147476270801</v>
      </c>
      <c r="H437">
        <v>0.171880038572223</v>
      </c>
      <c r="I437">
        <v>0.125200638872734</v>
      </c>
      <c r="J437">
        <v>0.109543608071331</v>
      </c>
      <c r="K437">
        <v>0.10330743212669</v>
      </c>
      <c r="L437">
        <v>1240.5962556084701</v>
      </c>
      <c r="M437">
        <v>23.695990164648698</v>
      </c>
      <c r="N437">
        <v>52.972746846896101</v>
      </c>
      <c r="O437">
        <v>51.986096947546002</v>
      </c>
      <c r="P437">
        <v>-0.100192698721546</v>
      </c>
      <c r="Q437">
        <v>0.120772639877108</v>
      </c>
      <c r="R437">
        <v>0.990326120851035</v>
      </c>
      <c r="S437" t="s">
        <v>4269</v>
      </c>
      <c r="T437" t="s">
        <v>7662</v>
      </c>
      <c r="U437" t="s">
        <v>7662</v>
      </c>
      <c r="V437" t="s">
        <v>7662</v>
      </c>
      <c r="W437">
        <v>26</v>
      </c>
      <c r="X437" t="s">
        <v>8099</v>
      </c>
      <c r="Y437">
        <v>0.49177237409971652</v>
      </c>
      <c r="Z437" t="str">
        <f>HYPERLINK("Melting_Curves/meltCurve_sp_P04114_APOB_HUMAN_.pdf", "Melting_Curves/meltCurve_sp_P04114_APOB_HUMAN_.pdf")</f>
        <v>Melting_Curves/meltCurve_sp_P04114_APOB_HUMAN_.pdf</v>
      </c>
      <c r="AA437" t="s">
        <v>11923</v>
      </c>
      <c r="AB437" t="s">
        <v>15678</v>
      </c>
    </row>
    <row r="438" spans="1:28" x14ac:dyDescent="0.25">
      <c r="A438" t="s">
        <v>442</v>
      </c>
      <c r="B438">
        <v>0.98876768158843997</v>
      </c>
      <c r="C438">
        <v>1.0611063058867201</v>
      </c>
      <c r="D438">
        <v>0.83965744067817105</v>
      </c>
      <c r="E438">
        <v>0.61093239383404296</v>
      </c>
      <c r="F438">
        <v>0.81775269239611803</v>
      </c>
      <c r="G438">
        <v>0.58625177153749797</v>
      </c>
      <c r="H438">
        <v>0.45358265142097698</v>
      </c>
      <c r="I438">
        <v>0.55156488876777598</v>
      </c>
      <c r="J438">
        <v>0.65413289944648201</v>
      </c>
      <c r="K438">
        <v>0.75626176667869605</v>
      </c>
      <c r="L438">
        <v>11511.689064579699</v>
      </c>
      <c r="M438">
        <v>250</v>
      </c>
      <c r="O438">
        <v>46.043809387677399</v>
      </c>
      <c r="P438">
        <v>-0.49826787705416498</v>
      </c>
      <c r="Q438">
        <v>0.63292558048459702</v>
      </c>
      <c r="R438">
        <v>0.72491077549089999</v>
      </c>
      <c r="S438" t="s">
        <v>4270</v>
      </c>
      <c r="T438" t="s">
        <v>7662</v>
      </c>
      <c r="U438" t="s">
        <v>7662</v>
      </c>
      <c r="V438" t="s">
        <v>7662</v>
      </c>
      <c r="W438">
        <v>5</v>
      </c>
      <c r="X438" t="s">
        <v>8100</v>
      </c>
      <c r="Y438">
        <v>0.70694222904298343</v>
      </c>
      <c r="Z438" t="str">
        <f>HYPERLINK("Melting_Curves/meltCurve_sp_P04150_7_GCR_HUMAN_.pdf", "Melting_Curves/meltCurve_sp_P04150_7_GCR_HUMAN_.pdf")</f>
        <v>Melting_Curves/meltCurve_sp_P04150_7_GCR_HUMAN_.pdf</v>
      </c>
      <c r="AA438" t="s">
        <v>11924</v>
      </c>
      <c r="AB438" t="s">
        <v>15679</v>
      </c>
    </row>
    <row r="439" spans="1:28" x14ac:dyDescent="0.25">
      <c r="A439" t="s">
        <v>443</v>
      </c>
      <c r="B439">
        <v>0.98876768158843997</v>
      </c>
      <c r="C439">
        <v>0.52644595329005495</v>
      </c>
      <c r="D439">
        <v>0.94476375291085601</v>
      </c>
      <c r="E439">
        <v>0.51383636815638201</v>
      </c>
      <c r="F439">
        <v>0.55069406703435098</v>
      </c>
      <c r="G439">
        <v>0.28240925188668897</v>
      </c>
      <c r="H439">
        <v>0.21064174078648901</v>
      </c>
      <c r="I439">
        <v>0.236463749994057</v>
      </c>
      <c r="J439">
        <v>0.22691873748410399</v>
      </c>
      <c r="K439">
        <v>0.39116813014916901</v>
      </c>
      <c r="L439">
        <v>449.16200885177602</v>
      </c>
      <c r="M439">
        <v>9.1987663219912807</v>
      </c>
      <c r="N439">
        <v>51.602431784012801</v>
      </c>
      <c r="O439">
        <v>46.687103277305297</v>
      </c>
      <c r="P439">
        <v>-3.9675967340021698E-2</v>
      </c>
      <c r="Q439">
        <v>0.19505791844991399</v>
      </c>
      <c r="R439">
        <v>0.72179220521705401</v>
      </c>
      <c r="S439" t="s">
        <v>4271</v>
      </c>
      <c r="T439" t="s">
        <v>7662</v>
      </c>
      <c r="U439" t="s">
        <v>7662</v>
      </c>
      <c r="V439" t="s">
        <v>7662</v>
      </c>
      <c r="W439">
        <v>15</v>
      </c>
      <c r="X439" t="s">
        <v>8101</v>
      </c>
      <c r="Y439">
        <v>0.47696601341723949</v>
      </c>
      <c r="Z439" t="str">
        <f>HYPERLINK("Melting_Curves/meltCurve_sp_P04179_SODM_HUMAN_.pdf", "Melting_Curves/meltCurve_sp_P04179_SODM_HUMAN_.pdf")</f>
        <v>Melting_Curves/meltCurve_sp_P04179_SODM_HUMAN_.pdf</v>
      </c>
      <c r="AA439" t="s">
        <v>11925</v>
      </c>
      <c r="AB439" t="s">
        <v>15680</v>
      </c>
    </row>
    <row r="440" spans="1:28" x14ac:dyDescent="0.25">
      <c r="A440" t="s">
        <v>444</v>
      </c>
      <c r="B440">
        <v>0.98876768158843997</v>
      </c>
      <c r="C440">
        <v>0.816465406721405</v>
      </c>
      <c r="D440">
        <v>0.54314331870230703</v>
      </c>
      <c r="E440">
        <v>0.31201636289099399</v>
      </c>
      <c r="F440">
        <v>0.16636168576989599</v>
      </c>
      <c r="G440">
        <v>0.113228105413214</v>
      </c>
      <c r="H440">
        <v>7.4496546413888601E-2</v>
      </c>
      <c r="I440">
        <v>6.7651158135197703E-2</v>
      </c>
      <c r="J440">
        <v>4.8419857495647402E-2</v>
      </c>
      <c r="K440">
        <v>2.3519437948032799E-2</v>
      </c>
      <c r="L440">
        <v>752.42472442584199</v>
      </c>
      <c r="M440">
        <v>16.128922462789401</v>
      </c>
      <c r="N440">
        <v>46.941752294342798</v>
      </c>
      <c r="O440">
        <v>45.951200580733001</v>
      </c>
      <c r="P440">
        <v>-8.3580532670432403E-2</v>
      </c>
      <c r="Q440">
        <v>4.7590774371931502E-2</v>
      </c>
      <c r="R440">
        <v>0.99499733009756597</v>
      </c>
      <c r="S440" t="s">
        <v>4272</v>
      </c>
      <c r="T440" t="s">
        <v>7662</v>
      </c>
      <c r="U440" t="s">
        <v>7662</v>
      </c>
      <c r="V440" t="s">
        <v>7662</v>
      </c>
      <c r="W440">
        <v>5</v>
      </c>
      <c r="X440" t="s">
        <v>8102</v>
      </c>
      <c r="Y440">
        <v>0.2814498070088049</v>
      </c>
      <c r="Z440" t="str">
        <f>HYPERLINK("Melting_Curves/meltCurve_sp_P04181_OAT_HUMAN_.pdf", "Melting_Curves/meltCurve_sp_P04181_OAT_HUMAN_.pdf")</f>
        <v>Melting_Curves/meltCurve_sp_P04181_OAT_HUMAN_.pdf</v>
      </c>
      <c r="AA440" t="s">
        <v>11926</v>
      </c>
      <c r="AB440" t="s">
        <v>15681</v>
      </c>
    </row>
    <row r="441" spans="1:28" x14ac:dyDescent="0.25">
      <c r="A441" t="s">
        <v>445</v>
      </c>
      <c r="B441">
        <v>0.98876768158843997</v>
      </c>
      <c r="C441">
        <v>0.95396018353924905</v>
      </c>
      <c r="D441">
        <v>0.90739746101746199</v>
      </c>
      <c r="E441">
        <v>0.86671965416610797</v>
      </c>
      <c r="F441">
        <v>0.68812346989306905</v>
      </c>
      <c r="G441">
        <v>0.57288804235081903</v>
      </c>
      <c r="H441">
        <v>0.47887530872869599</v>
      </c>
      <c r="I441">
        <v>0.55907030549682302</v>
      </c>
      <c r="J441">
        <v>0.52535830591239996</v>
      </c>
      <c r="K441">
        <v>0.54784356881894403</v>
      </c>
      <c r="L441">
        <v>1009.16479874764</v>
      </c>
      <c r="M441">
        <v>19.592037720284399</v>
      </c>
      <c r="O441">
        <v>50.981299890681903</v>
      </c>
      <c r="P441">
        <v>-4.6339753351826898E-2</v>
      </c>
      <c r="Q441">
        <v>0.51768621117437197</v>
      </c>
      <c r="R441">
        <v>0.96919514127427497</v>
      </c>
      <c r="S441" t="s">
        <v>4273</v>
      </c>
      <c r="T441" t="s">
        <v>7662</v>
      </c>
      <c r="U441" t="s">
        <v>7662</v>
      </c>
      <c r="V441" t="s">
        <v>7662</v>
      </c>
      <c r="W441">
        <v>8</v>
      </c>
      <c r="X441" t="s">
        <v>8103</v>
      </c>
      <c r="Y441">
        <v>0.7096590740028047</v>
      </c>
      <c r="Z441" t="str">
        <f>HYPERLINK("Melting_Curves/meltCurve_sp_P04196_HRG_HUMAN_.pdf", "Melting_Curves/meltCurve_sp_P04196_HRG_HUMAN_.pdf")</f>
        <v>Melting_Curves/meltCurve_sp_P04196_HRG_HUMAN_.pdf</v>
      </c>
      <c r="AA441" t="s">
        <v>11927</v>
      </c>
      <c r="AB441" t="s">
        <v>15682</v>
      </c>
    </row>
    <row r="442" spans="1:28" x14ac:dyDescent="0.25">
      <c r="A442" t="s">
        <v>446</v>
      </c>
      <c r="B442">
        <v>0.98876768158843997</v>
      </c>
      <c r="C442">
        <v>1.0363547981036201</v>
      </c>
      <c r="D442">
        <v>0.971612063138519</v>
      </c>
      <c r="E442">
        <v>0.72653933706406704</v>
      </c>
      <c r="F442">
        <v>0.61693740686965604</v>
      </c>
      <c r="G442">
        <v>0.42636312318360903</v>
      </c>
      <c r="H442">
        <v>0.42037087325983702</v>
      </c>
      <c r="I442">
        <v>0.47387711043845998</v>
      </c>
      <c r="J442">
        <v>0.26553242978680303</v>
      </c>
      <c r="K442">
        <v>0.29254300776803299</v>
      </c>
      <c r="L442">
        <v>884.31284228491404</v>
      </c>
      <c r="M442">
        <v>17.060481772726899</v>
      </c>
      <c r="N442">
        <v>55.3947445629884</v>
      </c>
      <c r="O442">
        <v>51.137539742243298</v>
      </c>
      <c r="P442">
        <v>-5.5633981265451098E-2</v>
      </c>
      <c r="Q442">
        <v>0.33300557425889799</v>
      </c>
      <c r="R442">
        <v>0.96003082283596597</v>
      </c>
      <c r="S442" t="s">
        <v>4274</v>
      </c>
      <c r="T442" t="s">
        <v>7662</v>
      </c>
      <c r="U442" t="s">
        <v>7662</v>
      </c>
      <c r="V442" t="s">
        <v>7662</v>
      </c>
      <c r="W442">
        <v>1</v>
      </c>
      <c r="X442" t="s">
        <v>8104</v>
      </c>
      <c r="Y442">
        <v>0.60829734271535385</v>
      </c>
      <c r="Z442" t="str">
        <f>HYPERLINK("Melting_Curves/meltCurve_sp_P04206_KV307_HUMAN_.pdf", "Melting_Curves/meltCurve_sp_P04206_KV307_HUMAN_.pdf")</f>
        <v>Melting_Curves/meltCurve_sp_P04206_KV307_HUMAN_.pdf</v>
      </c>
      <c r="AB442" t="s">
        <v>15683</v>
      </c>
    </row>
    <row r="443" spans="1:28" x14ac:dyDescent="0.25">
      <c r="A443" t="s">
        <v>447</v>
      </c>
      <c r="B443">
        <v>0.98876768158843997</v>
      </c>
      <c r="C443">
        <v>1.0477829817659301</v>
      </c>
      <c r="D443">
        <v>0.92264289152223</v>
      </c>
      <c r="E443">
        <v>0.62146665896286701</v>
      </c>
      <c r="F443">
        <v>0.39713802492185302</v>
      </c>
      <c r="G443">
        <v>0.26072297451019</v>
      </c>
      <c r="H443">
        <v>0.17910958684756201</v>
      </c>
      <c r="I443">
        <v>0.172935120569539</v>
      </c>
      <c r="J443">
        <v>0.116651534929227</v>
      </c>
      <c r="K443">
        <v>3.0481915121463601E-2</v>
      </c>
      <c r="L443">
        <v>932.27719845696402</v>
      </c>
      <c r="M443">
        <v>18.220064051405899</v>
      </c>
      <c r="N443">
        <v>51.844837666348603</v>
      </c>
      <c r="O443">
        <v>50.563184773768299</v>
      </c>
      <c r="P443">
        <v>-8.0549482965410701E-2</v>
      </c>
      <c r="Q443">
        <v>0.105898475142415</v>
      </c>
      <c r="R443">
        <v>0.98700539786465202</v>
      </c>
      <c r="S443" t="s">
        <v>4275</v>
      </c>
      <c r="T443" t="s">
        <v>7662</v>
      </c>
      <c r="U443" t="s">
        <v>7662</v>
      </c>
      <c r="V443" t="s">
        <v>7662</v>
      </c>
      <c r="W443">
        <v>7</v>
      </c>
      <c r="X443" t="s">
        <v>8105</v>
      </c>
      <c r="Y443">
        <v>0.45344277353528317</v>
      </c>
      <c r="Z443" t="str">
        <f>HYPERLINK("Melting_Curves/meltCurve_sp_P04217_2_A1BG_HUMAN_.pdf", "Melting_Curves/meltCurve_sp_P04217_2_A1BG_HUMAN_.pdf")</f>
        <v>Melting_Curves/meltCurve_sp_P04217_2_A1BG_HUMAN_.pdf</v>
      </c>
      <c r="AA443" t="s">
        <v>11928</v>
      </c>
      <c r="AB443" t="s">
        <v>15684</v>
      </c>
    </row>
    <row r="444" spans="1:28" x14ac:dyDescent="0.25">
      <c r="A444" t="s">
        <v>448</v>
      </c>
      <c r="B444">
        <v>0.98876768158843997</v>
      </c>
      <c r="C444">
        <v>1.0603942542358999</v>
      </c>
      <c r="D444">
        <v>0.87361068363242</v>
      </c>
      <c r="E444">
        <v>0.77533741912590104</v>
      </c>
      <c r="F444">
        <v>0.67544084942668103</v>
      </c>
      <c r="G444">
        <v>0.364206190368694</v>
      </c>
      <c r="H444">
        <v>0.244494059537399</v>
      </c>
      <c r="I444">
        <v>0.221731809396295</v>
      </c>
      <c r="J444">
        <v>0.25485574907378</v>
      </c>
      <c r="K444">
        <v>0.24653862827706299</v>
      </c>
      <c r="L444">
        <v>924.700968920989</v>
      </c>
      <c r="M444">
        <v>17.4081313776435</v>
      </c>
      <c r="N444">
        <v>54.790795743238903</v>
      </c>
      <c r="O444">
        <v>52.432814068629902</v>
      </c>
      <c r="P444">
        <v>-6.5903384338175802E-2</v>
      </c>
      <c r="Q444">
        <v>0.206047950459155</v>
      </c>
      <c r="R444">
        <v>0.98043990624349397</v>
      </c>
      <c r="S444" t="s">
        <v>4276</v>
      </c>
      <c r="T444" t="s">
        <v>7662</v>
      </c>
      <c r="U444" t="s">
        <v>7662</v>
      </c>
      <c r="V444" t="s">
        <v>7662</v>
      </c>
      <c r="W444">
        <v>9</v>
      </c>
      <c r="X444" t="s">
        <v>8106</v>
      </c>
      <c r="Y444">
        <v>0.56690958213462372</v>
      </c>
      <c r="Z444" t="str">
        <f>HYPERLINK("Melting_Curves/meltCurve_sp_P04217_A1BG_HUMAN_.pdf", "Melting_Curves/meltCurve_sp_P04217_A1BG_HUMAN_.pdf")</f>
        <v>Melting_Curves/meltCurve_sp_P04217_A1BG_HUMAN_.pdf</v>
      </c>
      <c r="AA444" t="s">
        <v>11928</v>
      </c>
      <c r="AB444" t="s">
        <v>15685</v>
      </c>
    </row>
    <row r="445" spans="1:28" x14ac:dyDescent="0.25">
      <c r="A445" t="s">
        <v>449</v>
      </c>
      <c r="B445">
        <v>0.98876768158843997</v>
      </c>
      <c r="C445">
        <v>0.66097343722919999</v>
      </c>
      <c r="D445">
        <v>4.9266949405961098</v>
      </c>
      <c r="E445">
        <v>0.58579517199086095</v>
      </c>
      <c r="F445">
        <v>0.62628594535354298</v>
      </c>
      <c r="G445">
        <v>0.40768525881038198</v>
      </c>
      <c r="H445">
        <v>0.36921014555696902</v>
      </c>
      <c r="I445">
        <v>0.47792354549535798</v>
      </c>
      <c r="J445">
        <v>0.47074885962588398</v>
      </c>
      <c r="K445">
        <v>0.71725151981635504</v>
      </c>
      <c r="L445">
        <v>12414.072643642099</v>
      </c>
      <c r="M445">
        <v>250</v>
      </c>
      <c r="O445">
        <v>49.653119461842898</v>
      </c>
      <c r="P445">
        <v>-0.61486892297154805</v>
      </c>
      <c r="Q445">
        <v>0.51151750361044301</v>
      </c>
      <c r="R445">
        <v>9.27869354733587E-2</v>
      </c>
      <c r="S445" t="s">
        <v>4277</v>
      </c>
      <c r="T445" t="s">
        <v>7662</v>
      </c>
      <c r="U445" t="s">
        <v>7662</v>
      </c>
      <c r="V445" t="s">
        <v>7662</v>
      </c>
      <c r="W445">
        <v>29</v>
      </c>
      <c r="X445" t="s">
        <v>8107</v>
      </c>
      <c r="Y445">
        <v>0.66879103710538357</v>
      </c>
      <c r="Z445" t="str">
        <f>HYPERLINK("Melting_Curves/meltCurve_sp_P04264_K2C1_HUMAN_.pdf", "Melting_Curves/meltCurve_sp_P04264_K2C1_HUMAN_.pdf")</f>
        <v>Melting_Curves/meltCurve_sp_P04264_K2C1_HUMAN_.pdf</v>
      </c>
      <c r="AA445" t="s">
        <v>11929</v>
      </c>
      <c r="AB445" t="s">
        <v>15686</v>
      </c>
    </row>
    <row r="446" spans="1:28" x14ac:dyDescent="0.25">
      <c r="A446" t="s">
        <v>450</v>
      </c>
      <c r="B446">
        <v>0.98876768158843997</v>
      </c>
      <c r="C446">
        <v>1.0583159402359299</v>
      </c>
      <c r="D446">
        <v>0.85364668799626398</v>
      </c>
      <c r="E446">
        <v>0.70688771758103197</v>
      </c>
      <c r="F446">
        <v>0.63456225190129301</v>
      </c>
      <c r="G446">
        <v>0.28686198083513198</v>
      </c>
      <c r="H446">
        <v>0.1308659156826</v>
      </c>
      <c r="I446">
        <v>0.14760422072184601</v>
      </c>
      <c r="J446">
        <v>0.149097167111024</v>
      </c>
      <c r="K446">
        <v>0.12649056677228299</v>
      </c>
      <c r="L446">
        <v>833.79396804344196</v>
      </c>
      <c r="M446">
        <v>15.717831245100101</v>
      </c>
      <c r="N446">
        <v>53.704584367403399</v>
      </c>
      <c r="O446">
        <v>52.211230852371997</v>
      </c>
      <c r="P446">
        <v>-6.8684489597635096E-2</v>
      </c>
      <c r="Q446">
        <v>8.7456765673150097E-2</v>
      </c>
      <c r="R446">
        <v>0.979658841559781</v>
      </c>
      <c r="S446" t="s">
        <v>4278</v>
      </c>
      <c r="T446" t="s">
        <v>7662</v>
      </c>
      <c r="U446" t="s">
        <v>7662</v>
      </c>
      <c r="V446" t="s">
        <v>7662</v>
      </c>
      <c r="W446">
        <v>27</v>
      </c>
      <c r="X446" t="s">
        <v>8108</v>
      </c>
      <c r="Y446">
        <v>0.50268578893958704</v>
      </c>
      <c r="Z446" t="str">
        <f>HYPERLINK("Melting_Curves/meltCurve_sp_P04406_2_G3P_HUMAN_.pdf", "Melting_Curves/meltCurve_sp_P04406_2_G3P_HUMAN_.pdf")</f>
        <v>Melting_Curves/meltCurve_sp_P04406_2_G3P_HUMAN_.pdf</v>
      </c>
      <c r="AA446" t="s">
        <v>11930</v>
      </c>
      <c r="AB446" t="s">
        <v>15687</v>
      </c>
    </row>
    <row r="447" spans="1:28" x14ac:dyDescent="0.25">
      <c r="A447" t="s">
        <v>451</v>
      </c>
      <c r="B447">
        <v>0.98876768158843997</v>
      </c>
      <c r="C447">
        <v>0.91371958181976498</v>
      </c>
      <c r="D447">
        <v>0.978213308774596</v>
      </c>
      <c r="E447">
        <v>0.91916052850674801</v>
      </c>
      <c r="F447">
        <v>0.79114351974859498</v>
      </c>
      <c r="G447">
        <v>0.47956624342627702</v>
      </c>
      <c r="H447">
        <v>7.7302703112447996E-2</v>
      </c>
      <c r="I447">
        <v>4.83466783225504E-2</v>
      </c>
      <c r="J447">
        <v>4.5171725497512902E-2</v>
      </c>
      <c r="K447">
        <v>3.9897546256286102E-2</v>
      </c>
      <c r="L447">
        <v>1321.1013844998199</v>
      </c>
      <c r="M447">
        <v>23.4755715925229</v>
      </c>
      <c r="N447">
        <v>56.295851396601499</v>
      </c>
      <c r="O447">
        <v>55.871994988527597</v>
      </c>
      <c r="P447">
        <v>-0.10460144610611199</v>
      </c>
      <c r="Q447">
        <v>4.2090368193185403E-3</v>
      </c>
      <c r="R447">
        <v>0.989847253779639</v>
      </c>
      <c r="S447" t="s">
        <v>4279</v>
      </c>
      <c r="T447" t="s">
        <v>7662</v>
      </c>
      <c r="U447" t="s">
        <v>7662</v>
      </c>
      <c r="V447" t="s">
        <v>7662</v>
      </c>
      <c r="W447">
        <v>29</v>
      </c>
      <c r="X447" t="s">
        <v>8109</v>
      </c>
      <c r="Y447">
        <v>0.55451047058561287</v>
      </c>
      <c r="Z447" t="str">
        <f>HYPERLINK("Melting_Curves/meltCurve_sp_P04406_G3P_HUMAN_.pdf", "Melting_Curves/meltCurve_sp_P04406_G3P_HUMAN_.pdf")</f>
        <v>Melting_Curves/meltCurve_sp_P04406_G3P_HUMAN_.pdf</v>
      </c>
      <c r="AA447" t="s">
        <v>11930</v>
      </c>
      <c r="AB447" t="s">
        <v>15688</v>
      </c>
    </row>
    <row r="448" spans="1:28" x14ac:dyDescent="0.25">
      <c r="A448" t="s">
        <v>452</v>
      </c>
      <c r="B448">
        <v>0.98876768158843997</v>
      </c>
      <c r="C448">
        <v>0.88142962018122395</v>
      </c>
      <c r="D448">
        <v>1.08278712877715</v>
      </c>
      <c r="E448">
        <v>1.05837829480164</v>
      </c>
      <c r="F448">
        <v>0.69885484547587695</v>
      </c>
      <c r="G448">
        <v>0.283985568939708</v>
      </c>
      <c r="H448">
        <v>6.5809415670285504E-2</v>
      </c>
      <c r="I448">
        <v>5.6442741352410203E-2</v>
      </c>
      <c r="J448">
        <v>6.3380586952187096E-2</v>
      </c>
      <c r="K448">
        <v>5.1531335259685597E-2</v>
      </c>
      <c r="L448">
        <v>1770.5048722315701</v>
      </c>
      <c r="M448">
        <v>32.393046510937197</v>
      </c>
      <c r="N448">
        <v>54.8474429264405</v>
      </c>
      <c r="O448">
        <v>54.449880725063601</v>
      </c>
      <c r="P448">
        <v>-0.14081554362448301</v>
      </c>
      <c r="Q448">
        <v>5.3209668727699798E-2</v>
      </c>
      <c r="R448">
        <v>0.98109045655605898</v>
      </c>
      <c r="S448" t="s">
        <v>4280</v>
      </c>
      <c r="T448" t="s">
        <v>7662</v>
      </c>
      <c r="U448" t="s">
        <v>7662</v>
      </c>
      <c r="V448" t="s">
        <v>7662</v>
      </c>
      <c r="W448">
        <v>28</v>
      </c>
      <c r="X448" t="s">
        <v>8110</v>
      </c>
      <c r="Y448">
        <v>0.52118135734371507</v>
      </c>
      <c r="Z448" t="str">
        <f>HYPERLINK("Melting_Curves/meltCurve_sp_P04424_ARLY_HUMAN_.pdf", "Melting_Curves/meltCurve_sp_P04424_ARLY_HUMAN_.pdf")</f>
        <v>Melting_Curves/meltCurve_sp_P04424_ARLY_HUMAN_.pdf</v>
      </c>
      <c r="AA448" t="s">
        <v>11931</v>
      </c>
      <c r="AB448" t="s">
        <v>15689</v>
      </c>
    </row>
    <row r="449" spans="1:28" x14ac:dyDescent="0.25">
      <c r="A449" t="s">
        <v>453</v>
      </c>
      <c r="B449">
        <v>0.98876768158843997</v>
      </c>
      <c r="C449">
        <v>1.08606698880067</v>
      </c>
      <c r="D449">
        <v>0.95299952297920698</v>
      </c>
      <c r="E449">
        <v>0.76275640124439503</v>
      </c>
      <c r="F449">
        <v>0.679812340071136</v>
      </c>
      <c r="G449">
        <v>0.45640608271098398</v>
      </c>
      <c r="H449">
        <v>0.32652748739674198</v>
      </c>
      <c r="I449">
        <v>0.30856165215626802</v>
      </c>
      <c r="J449">
        <v>0.25801443816745001</v>
      </c>
      <c r="K449">
        <v>0.29355666659991297</v>
      </c>
      <c r="L449">
        <v>869.34769728934305</v>
      </c>
      <c r="M449">
        <v>16.292560855110999</v>
      </c>
      <c r="N449">
        <v>55.816473353401904</v>
      </c>
      <c r="O449">
        <v>52.574139423180597</v>
      </c>
      <c r="P449">
        <v>-5.7644813643033102E-2</v>
      </c>
      <c r="Q449">
        <v>0.25600275082787699</v>
      </c>
      <c r="R449">
        <v>0.983981930897459</v>
      </c>
      <c r="S449" t="s">
        <v>4281</v>
      </c>
      <c r="T449" t="s">
        <v>7662</v>
      </c>
      <c r="U449" t="s">
        <v>7662</v>
      </c>
      <c r="V449" t="s">
        <v>7662</v>
      </c>
      <c r="W449">
        <v>5</v>
      </c>
      <c r="X449" t="s">
        <v>8111</v>
      </c>
      <c r="Y449">
        <v>0.60134114929349702</v>
      </c>
      <c r="Z449" t="str">
        <f>HYPERLINK("Melting_Curves/meltCurve_sp_P04632_CPNS1_HUMAN_.pdf", "Melting_Curves/meltCurve_sp_P04632_CPNS1_HUMAN_.pdf")</f>
        <v>Melting_Curves/meltCurve_sp_P04632_CPNS1_HUMAN_.pdf</v>
      </c>
      <c r="AA449" t="s">
        <v>11932</v>
      </c>
      <c r="AB449" t="s">
        <v>15690</v>
      </c>
    </row>
    <row r="450" spans="1:28" x14ac:dyDescent="0.25">
      <c r="A450" t="s">
        <v>454</v>
      </c>
      <c r="B450">
        <v>0.98876768158843997</v>
      </c>
      <c r="C450">
        <v>1.4512449722782399</v>
      </c>
      <c r="D450">
        <v>0.96341103194146005</v>
      </c>
      <c r="E450">
        <v>0.84137094386810096</v>
      </c>
      <c r="F450">
        <v>1.3285805954077801</v>
      </c>
      <c r="G450">
        <v>0.98870114747369298</v>
      </c>
      <c r="H450">
        <v>0.90462077656733397</v>
      </c>
      <c r="I450">
        <v>1.3933802468457399</v>
      </c>
      <c r="J450">
        <v>2.0904709541134801</v>
      </c>
      <c r="K450">
        <v>3.7713647397335399</v>
      </c>
      <c r="L450">
        <v>15000</v>
      </c>
      <c r="M450">
        <v>235.680576112712</v>
      </c>
      <c r="O450">
        <v>63.640882834541799</v>
      </c>
      <c r="P450">
        <v>0.46291111550675601</v>
      </c>
      <c r="Q450">
        <v>1.5</v>
      </c>
      <c r="R450">
        <v>0.180188438214719</v>
      </c>
      <c r="S450" t="s">
        <v>4282</v>
      </c>
      <c r="T450" t="s">
        <v>7662</v>
      </c>
      <c r="U450" t="s">
        <v>7662</v>
      </c>
      <c r="V450" t="s">
        <v>7662</v>
      </c>
      <c r="W450">
        <v>3</v>
      </c>
      <c r="X450" t="s">
        <v>8112</v>
      </c>
      <c r="Y450">
        <v>1.105846063885173</v>
      </c>
      <c r="Z450" t="str">
        <f>HYPERLINK("Melting_Curves/meltCurve_sp_P04731_MT1A_HUMAN_.pdf", "Melting_Curves/meltCurve_sp_P04731_MT1A_HUMAN_.pdf")</f>
        <v>Melting_Curves/meltCurve_sp_P04731_MT1A_HUMAN_.pdf</v>
      </c>
      <c r="AA450" t="s">
        <v>11933</v>
      </c>
      <c r="AB450" t="s">
        <v>15691</v>
      </c>
    </row>
    <row r="451" spans="1:28" x14ac:dyDescent="0.25">
      <c r="A451" t="s">
        <v>455</v>
      </c>
      <c r="B451">
        <v>0.98876768158843997</v>
      </c>
      <c r="C451">
        <v>1.37800546107237</v>
      </c>
      <c r="D451">
        <v>0.78549971080564396</v>
      </c>
      <c r="E451">
        <v>0.978855319287253</v>
      </c>
      <c r="F451">
        <v>1.2591465212672399</v>
      </c>
      <c r="G451">
        <v>0.85576824513106597</v>
      </c>
      <c r="H451">
        <v>0.68930586609925004</v>
      </c>
      <c r="I451">
        <v>0.90909221723558897</v>
      </c>
      <c r="J451">
        <v>1.1771699133164699</v>
      </c>
      <c r="K451">
        <v>2.0425400772635398</v>
      </c>
      <c r="L451">
        <v>15000</v>
      </c>
      <c r="M451">
        <v>223.28308921884201</v>
      </c>
      <c r="O451">
        <v>67.173903746704099</v>
      </c>
      <c r="P451">
        <v>0.415494481867766</v>
      </c>
      <c r="Q451">
        <v>1.5</v>
      </c>
      <c r="R451">
        <v>0.51224498211606995</v>
      </c>
      <c r="S451" t="s">
        <v>4283</v>
      </c>
      <c r="T451" t="s">
        <v>7662</v>
      </c>
      <c r="U451" t="s">
        <v>7662</v>
      </c>
      <c r="V451" t="s">
        <v>7662</v>
      </c>
      <c r="W451">
        <v>5</v>
      </c>
      <c r="X451" t="s">
        <v>8113</v>
      </c>
      <c r="Y451">
        <v>1.046938564157595</v>
      </c>
      <c r="Z451" t="str">
        <f>HYPERLINK("Melting_Curves/meltCurve_sp_P04732_MT1E_HUMAN_.pdf", "Melting_Curves/meltCurve_sp_P04732_MT1E_HUMAN_.pdf")</f>
        <v>Melting_Curves/meltCurve_sp_P04732_MT1E_HUMAN_.pdf</v>
      </c>
      <c r="AA451" t="s">
        <v>11934</v>
      </c>
      <c r="AB451" t="s">
        <v>15692</v>
      </c>
    </row>
    <row r="452" spans="1:28" x14ac:dyDescent="0.25">
      <c r="A452" t="s">
        <v>456</v>
      </c>
      <c r="B452">
        <v>0.98876768158843997</v>
      </c>
      <c r="C452">
        <v>1.7253342806949701</v>
      </c>
      <c r="D452">
        <v>0.89397129504845396</v>
      </c>
      <c r="E452">
        <v>0.93266344541441304</v>
      </c>
      <c r="F452">
        <v>2.03339763150717</v>
      </c>
      <c r="G452">
        <v>1.31338312435863</v>
      </c>
      <c r="H452">
        <v>1.2638189437843601</v>
      </c>
      <c r="I452">
        <v>1.88224076266327</v>
      </c>
      <c r="J452">
        <v>2.72480510018109</v>
      </c>
      <c r="K452">
        <v>4.9156806119712302</v>
      </c>
      <c r="L452">
        <v>639.89262991480496</v>
      </c>
      <c r="M452">
        <v>14.7388057628488</v>
      </c>
      <c r="O452">
        <v>42.639767906126899</v>
      </c>
      <c r="P452">
        <v>4.3212009635366699E-2</v>
      </c>
      <c r="Q452">
        <v>1.5</v>
      </c>
      <c r="R452">
        <v>-8.4081055213030401E-2</v>
      </c>
      <c r="S452" t="s">
        <v>4284</v>
      </c>
      <c r="T452" t="s">
        <v>7662</v>
      </c>
      <c r="U452" t="s">
        <v>7662</v>
      </c>
      <c r="V452" t="s">
        <v>7662</v>
      </c>
      <c r="W452">
        <v>5</v>
      </c>
      <c r="X452" t="s">
        <v>8114</v>
      </c>
      <c r="Y452">
        <v>1.422668583334552</v>
      </c>
      <c r="Z452" t="str">
        <f>HYPERLINK("Melting_Curves/meltCurve_sp_P04733_MT1F_HUMAN_.pdf", "Melting_Curves/meltCurve_sp_P04733_MT1F_HUMAN_.pdf")</f>
        <v>Melting_Curves/meltCurve_sp_P04733_MT1F_HUMAN_.pdf</v>
      </c>
      <c r="AA452" t="s">
        <v>11935</v>
      </c>
      <c r="AB452" t="s">
        <v>15693</v>
      </c>
    </row>
    <row r="453" spans="1:28" x14ac:dyDescent="0.25">
      <c r="A453" t="s">
        <v>457</v>
      </c>
      <c r="B453">
        <v>0.98876768158843997</v>
      </c>
      <c r="C453">
        <v>0.95144900310345204</v>
      </c>
      <c r="D453">
        <v>0.73099371622748899</v>
      </c>
      <c r="E453">
        <v>0.42333000540704202</v>
      </c>
      <c r="F453">
        <v>0.42674313449325901</v>
      </c>
      <c r="G453">
        <v>0.24561921232813599</v>
      </c>
      <c r="H453">
        <v>0.22190686054848499</v>
      </c>
      <c r="I453">
        <v>0.29652770817658203</v>
      </c>
      <c r="J453">
        <v>0.43585512629943102</v>
      </c>
      <c r="K453">
        <v>0.72230361333556103</v>
      </c>
      <c r="L453">
        <v>1598.24944930165</v>
      </c>
      <c r="M453">
        <v>34.534807574239601</v>
      </c>
      <c r="N453">
        <v>48.386369498200303</v>
      </c>
      <c r="O453">
        <v>46.125024782694403</v>
      </c>
      <c r="P453">
        <v>-0.114393673571609</v>
      </c>
      <c r="Q453">
        <v>0.38886104381226499</v>
      </c>
      <c r="R453">
        <v>0.76285615107773797</v>
      </c>
      <c r="S453" t="s">
        <v>4285</v>
      </c>
      <c r="T453" t="s">
        <v>7662</v>
      </c>
      <c r="U453" t="s">
        <v>7662</v>
      </c>
      <c r="V453" t="s">
        <v>7662</v>
      </c>
      <c r="W453">
        <v>14</v>
      </c>
      <c r="X453" t="s">
        <v>8115</v>
      </c>
      <c r="Y453">
        <v>0.51949687883717943</v>
      </c>
      <c r="Z453" t="str">
        <f>HYPERLINK("Melting_Curves/meltCurve_sp_P04792_HSPB1_HUMAN_.pdf", "Melting_Curves/meltCurve_sp_P04792_HSPB1_HUMAN_.pdf")</f>
        <v>Melting_Curves/meltCurve_sp_P04792_HSPB1_HUMAN_.pdf</v>
      </c>
      <c r="AA453" t="s">
        <v>11936</v>
      </c>
      <c r="AB453" t="s">
        <v>15694</v>
      </c>
    </row>
    <row r="454" spans="1:28" x14ac:dyDescent="0.25">
      <c r="A454" t="s">
        <v>458</v>
      </c>
      <c r="B454">
        <v>0.98876768158843997</v>
      </c>
      <c r="C454">
        <v>0.80459085688954302</v>
      </c>
      <c r="D454">
        <v>0.59827927826272898</v>
      </c>
      <c r="E454">
        <v>0.24816069854669401</v>
      </c>
      <c r="F454">
        <v>0.204006707751169</v>
      </c>
      <c r="G454">
        <v>0.11619646087501299</v>
      </c>
      <c r="H454">
        <v>6.7682246495177095E-2</v>
      </c>
      <c r="I454">
        <v>5.6509371878123202E-2</v>
      </c>
      <c r="J454">
        <v>7.7411714902588399E-2</v>
      </c>
      <c r="K454">
        <v>2.4824097392233301E-2</v>
      </c>
      <c r="L454">
        <v>792.878317467579</v>
      </c>
      <c r="M454">
        <v>16.991700422081401</v>
      </c>
      <c r="N454">
        <v>46.986354950265202</v>
      </c>
      <c r="O454">
        <v>46.030742804417301</v>
      </c>
      <c r="P454">
        <v>-8.7193082949995698E-2</v>
      </c>
      <c r="Q454">
        <v>5.5229613638659997E-2</v>
      </c>
      <c r="R454">
        <v>0.99348986362087199</v>
      </c>
      <c r="S454" t="s">
        <v>4286</v>
      </c>
      <c r="T454" t="s">
        <v>7662</v>
      </c>
      <c r="U454" t="s">
        <v>7662</v>
      </c>
      <c r="V454" t="s">
        <v>7662</v>
      </c>
      <c r="W454">
        <v>2</v>
      </c>
      <c r="X454" t="s">
        <v>8116</v>
      </c>
      <c r="Y454">
        <v>0.28518359114670172</v>
      </c>
      <c r="Z454" t="str">
        <f>HYPERLINK("Melting_Curves/meltCurve_sp_P04899_GNAI2_HUMAN_.pdf", "Melting_Curves/meltCurve_sp_P04899_GNAI2_HUMAN_.pdf")</f>
        <v>Melting_Curves/meltCurve_sp_P04899_GNAI2_HUMAN_.pdf</v>
      </c>
      <c r="AA454" t="s">
        <v>11937</v>
      </c>
      <c r="AB454" t="s">
        <v>15695</v>
      </c>
    </row>
    <row r="455" spans="1:28" x14ac:dyDescent="0.25">
      <c r="A455" t="s">
        <v>459</v>
      </c>
      <c r="B455">
        <v>0.98876768158843997</v>
      </c>
      <c r="C455">
        <v>0.88283522515251001</v>
      </c>
      <c r="D455">
        <v>1.0433324546443601</v>
      </c>
      <c r="E455">
        <v>1.0845069039800399</v>
      </c>
      <c r="F455">
        <v>0.68453576365184998</v>
      </c>
      <c r="G455">
        <v>0.18321775225426601</v>
      </c>
      <c r="H455">
        <v>5.11894763660092E-2</v>
      </c>
      <c r="I455">
        <v>3.2479548030470498E-2</v>
      </c>
      <c r="J455">
        <v>3.2067061901093999E-2</v>
      </c>
      <c r="K455">
        <v>2.8139863726928602E-2</v>
      </c>
      <c r="L455">
        <v>2188.6753506780301</v>
      </c>
      <c r="M455">
        <v>40.411355537898103</v>
      </c>
      <c r="N455">
        <v>54.266798657482902</v>
      </c>
      <c r="O455">
        <v>54.027782735710097</v>
      </c>
      <c r="P455">
        <v>-0.17984012739465</v>
      </c>
      <c r="Q455">
        <v>3.8255918344130398E-2</v>
      </c>
      <c r="R455">
        <v>0.98423676129592297</v>
      </c>
      <c r="S455" t="s">
        <v>4287</v>
      </c>
      <c r="T455" t="s">
        <v>7662</v>
      </c>
      <c r="U455" t="s">
        <v>7662</v>
      </c>
      <c r="V455" t="s">
        <v>7662</v>
      </c>
      <c r="W455">
        <v>38</v>
      </c>
      <c r="X455" t="s">
        <v>8117</v>
      </c>
      <c r="Y455">
        <v>0.49571594538600938</v>
      </c>
      <c r="Z455" t="str">
        <f>HYPERLINK("Melting_Curves/meltCurve_sp_P05062_ALDOB_HUMAN_.pdf", "Melting_Curves/meltCurve_sp_P05062_ALDOB_HUMAN_.pdf")</f>
        <v>Melting_Curves/meltCurve_sp_P05062_ALDOB_HUMAN_.pdf</v>
      </c>
      <c r="AA455" t="s">
        <v>11938</v>
      </c>
      <c r="AB455" t="s">
        <v>15696</v>
      </c>
    </row>
    <row r="456" spans="1:28" x14ac:dyDescent="0.25">
      <c r="A456" t="s">
        <v>460</v>
      </c>
      <c r="B456">
        <v>0.98876768158843997</v>
      </c>
      <c r="C456">
        <v>0.77023445862065198</v>
      </c>
      <c r="D456">
        <v>0.98374423490226104</v>
      </c>
      <c r="E456">
        <v>0.82871646558192902</v>
      </c>
      <c r="F456">
        <v>0.72593209132981096</v>
      </c>
      <c r="G456">
        <v>0.61546677625195101</v>
      </c>
      <c r="H456">
        <v>0.48303931943349498</v>
      </c>
      <c r="I456">
        <v>0.47460029548965299</v>
      </c>
      <c r="J456">
        <v>0.24743395700773499</v>
      </c>
      <c r="K456">
        <v>9.0572633246409101E-2</v>
      </c>
      <c r="L456">
        <v>514.35157665217503</v>
      </c>
      <c r="M456">
        <v>8.6163206178410494</v>
      </c>
      <c r="N456">
        <v>59.695036185529702</v>
      </c>
      <c r="O456">
        <v>56.740657517376199</v>
      </c>
      <c r="P456">
        <v>-3.7996112526499599E-2</v>
      </c>
      <c r="Q456">
        <v>0</v>
      </c>
      <c r="R456">
        <v>0.90735525576889298</v>
      </c>
      <c r="S456" t="s">
        <v>4288</v>
      </c>
      <c r="T456" t="s">
        <v>7662</v>
      </c>
      <c r="U456" t="s">
        <v>7662</v>
      </c>
      <c r="V456" t="s">
        <v>7662</v>
      </c>
      <c r="W456">
        <v>29</v>
      </c>
      <c r="X456" t="s">
        <v>8118</v>
      </c>
      <c r="Y456">
        <v>0.64826234494590507</v>
      </c>
      <c r="Z456" t="str">
        <f>HYPERLINK("Melting_Curves/meltCurve_sp_P05089_ARGI1_HUMAN_.pdf", "Melting_Curves/meltCurve_sp_P05089_ARGI1_HUMAN_.pdf")</f>
        <v>Melting_Curves/meltCurve_sp_P05089_ARGI1_HUMAN_.pdf</v>
      </c>
      <c r="AA456" t="s">
        <v>11939</v>
      </c>
      <c r="AB456" t="s">
        <v>15697</v>
      </c>
    </row>
    <row r="457" spans="1:28" x14ac:dyDescent="0.25">
      <c r="A457" t="s">
        <v>461</v>
      </c>
      <c r="B457">
        <v>0.98876768158843997</v>
      </c>
      <c r="C457">
        <v>0.90157800970542701</v>
      </c>
      <c r="D457">
        <v>1.0948623924333001</v>
      </c>
      <c r="E457">
        <v>0.62354621138745103</v>
      </c>
      <c r="F457">
        <v>0.44361513551117099</v>
      </c>
      <c r="G457">
        <v>0.29686600079861702</v>
      </c>
      <c r="H457">
        <v>0.19811956696205299</v>
      </c>
      <c r="I457">
        <v>0.14026171966131301</v>
      </c>
      <c r="J457">
        <v>0.10868751797479401</v>
      </c>
      <c r="K457">
        <v>8.9747997469353594E-2</v>
      </c>
      <c r="L457">
        <v>1022.74547510386</v>
      </c>
      <c r="M457">
        <v>19.812816841097401</v>
      </c>
      <c r="N457">
        <v>52.370195637810397</v>
      </c>
      <c r="O457">
        <v>51.103154992730097</v>
      </c>
      <c r="P457">
        <v>-8.4959057237712202E-2</v>
      </c>
      <c r="Q457">
        <v>0.123490765734232</v>
      </c>
      <c r="R457">
        <v>0.96553460785303402</v>
      </c>
      <c r="S457" t="s">
        <v>4289</v>
      </c>
      <c r="T457" t="s">
        <v>7662</v>
      </c>
      <c r="U457" t="s">
        <v>7662</v>
      </c>
      <c r="V457" t="s">
        <v>7662</v>
      </c>
      <c r="W457">
        <v>6</v>
      </c>
      <c r="X457" t="s">
        <v>8119</v>
      </c>
      <c r="Y457">
        <v>0.47535987295464932</v>
      </c>
      <c r="Z457" t="str">
        <f>HYPERLINK("Melting_Curves/meltCurve_sp_P05090_APOD_HUMAN_.pdf", "Melting_Curves/meltCurve_sp_P05090_APOD_HUMAN_.pdf")</f>
        <v>Melting_Curves/meltCurve_sp_P05090_APOD_HUMAN_.pdf</v>
      </c>
      <c r="AA457" t="s">
        <v>11940</v>
      </c>
      <c r="AB457" t="s">
        <v>15698</v>
      </c>
    </row>
    <row r="458" spans="1:28" x14ac:dyDescent="0.25">
      <c r="A458" t="s">
        <v>462</v>
      </c>
      <c r="B458">
        <v>0.98876768158843997</v>
      </c>
      <c r="C458">
        <v>0.74301343902749795</v>
      </c>
      <c r="D458">
        <v>1.0274323837230701</v>
      </c>
      <c r="E458">
        <v>0.88481796506866595</v>
      </c>
      <c r="F458">
        <v>0.38677565232990901</v>
      </c>
      <c r="G458">
        <v>0.130161518123419</v>
      </c>
      <c r="H458">
        <v>4.8640249812922899E-2</v>
      </c>
      <c r="I458">
        <v>3.7183080130040402E-2</v>
      </c>
      <c r="J458">
        <v>4.0416778311676102E-2</v>
      </c>
      <c r="K458">
        <v>3.5485056384838502E-2</v>
      </c>
      <c r="L458">
        <v>2103.1203515479201</v>
      </c>
      <c r="M458">
        <v>40.213418476640598</v>
      </c>
      <c r="N458">
        <v>52.434095555243097</v>
      </c>
      <c r="O458">
        <v>52.170137198962202</v>
      </c>
      <c r="P458">
        <v>-0.18321841184041299</v>
      </c>
      <c r="Q458">
        <v>4.9221812218321503E-2</v>
      </c>
      <c r="R458">
        <v>0.958041103571454</v>
      </c>
      <c r="S458" t="s">
        <v>4290</v>
      </c>
      <c r="T458" t="s">
        <v>7662</v>
      </c>
      <c r="U458" t="s">
        <v>7662</v>
      </c>
      <c r="V458" t="s">
        <v>7662</v>
      </c>
      <c r="W458">
        <v>33</v>
      </c>
      <c r="X458" t="s">
        <v>8120</v>
      </c>
      <c r="Y458">
        <v>0.4424066605211105</v>
      </c>
      <c r="Z458" t="str">
        <f>HYPERLINK("Melting_Curves/meltCurve_sp_P05091_ALDH2_HUMAN_.pdf", "Melting_Curves/meltCurve_sp_P05091_ALDH2_HUMAN_.pdf")</f>
        <v>Melting_Curves/meltCurve_sp_P05091_ALDH2_HUMAN_.pdf</v>
      </c>
      <c r="AA458" t="s">
        <v>11941</v>
      </c>
      <c r="AB458" t="s">
        <v>15699</v>
      </c>
    </row>
    <row r="459" spans="1:28" x14ac:dyDescent="0.25">
      <c r="A459" t="s">
        <v>463</v>
      </c>
      <c r="B459">
        <v>0.98876768158843997</v>
      </c>
      <c r="C459">
        <v>0.53961670903387404</v>
      </c>
      <c r="D459">
        <v>0.90960283026371702</v>
      </c>
      <c r="E459">
        <v>0.46679912277504199</v>
      </c>
      <c r="F459">
        <v>0.37553251208559302</v>
      </c>
      <c r="G459">
        <v>0.19463230720572799</v>
      </c>
      <c r="H459">
        <v>0.121468627997737</v>
      </c>
      <c r="I459">
        <v>0.12363190650158699</v>
      </c>
      <c r="J459">
        <v>0.12739271701045901</v>
      </c>
      <c r="K459">
        <v>0.19118436990277299</v>
      </c>
      <c r="L459">
        <v>497.71769548096302</v>
      </c>
      <c r="M459">
        <v>10.1584996744419</v>
      </c>
      <c r="N459">
        <v>49.691194594755302</v>
      </c>
      <c r="O459">
        <v>47.210297569089299</v>
      </c>
      <c r="P459">
        <v>-5.0249657688537702E-2</v>
      </c>
      <c r="Q459">
        <v>6.6312786964557793E-2</v>
      </c>
      <c r="R459">
        <v>0.84055105183766399</v>
      </c>
      <c r="S459" t="s">
        <v>4291</v>
      </c>
      <c r="T459" t="s">
        <v>7662</v>
      </c>
      <c r="U459" t="s">
        <v>7662</v>
      </c>
      <c r="V459" t="s">
        <v>7662</v>
      </c>
      <c r="W459">
        <v>4</v>
      </c>
      <c r="X459" t="s">
        <v>8121</v>
      </c>
      <c r="Y459">
        <v>0.39093595672301051</v>
      </c>
      <c r="Z459" t="str">
        <f>HYPERLINK("Melting_Curves/meltCurve_sp_P05109_S10A8_HUMAN_.pdf", "Melting_Curves/meltCurve_sp_P05109_S10A8_HUMAN_.pdf")</f>
        <v>Melting_Curves/meltCurve_sp_P05109_S10A8_HUMAN_.pdf</v>
      </c>
      <c r="AA459" t="s">
        <v>11942</v>
      </c>
      <c r="AB459" t="s">
        <v>15700</v>
      </c>
    </row>
    <row r="460" spans="1:28" x14ac:dyDescent="0.25">
      <c r="A460" t="s">
        <v>464</v>
      </c>
      <c r="B460">
        <v>0.98876768158843997</v>
      </c>
      <c r="C460">
        <v>1.25566674589522</v>
      </c>
      <c r="D460">
        <v>0.75929740573467597</v>
      </c>
      <c r="E460">
        <v>0.73021075141660396</v>
      </c>
      <c r="F460">
        <v>1.0055713138964399</v>
      </c>
      <c r="G460">
        <v>0.67669419540025899</v>
      </c>
      <c r="H460">
        <v>0.54702787998490199</v>
      </c>
      <c r="I460">
        <v>0.639792487247411</v>
      </c>
      <c r="J460">
        <v>0.82416028791357399</v>
      </c>
      <c r="K460">
        <v>1.14925093233668</v>
      </c>
      <c r="L460">
        <v>11146.481109979901</v>
      </c>
      <c r="M460">
        <v>250</v>
      </c>
      <c r="O460">
        <v>44.583071274316502</v>
      </c>
      <c r="P460">
        <v>-0.29230227904272499</v>
      </c>
      <c r="Q460">
        <v>0.79149226697800801</v>
      </c>
      <c r="R460">
        <v>0.29843002654351197</v>
      </c>
      <c r="S460" t="s">
        <v>4292</v>
      </c>
      <c r="T460" t="s">
        <v>7662</v>
      </c>
      <c r="U460" t="s">
        <v>7662</v>
      </c>
      <c r="V460" t="s">
        <v>7662</v>
      </c>
      <c r="W460">
        <v>2</v>
      </c>
      <c r="X460" t="s">
        <v>8122</v>
      </c>
      <c r="Y460">
        <v>0.82338193916768421</v>
      </c>
      <c r="Z460" t="str">
        <f>HYPERLINK("Melting_Curves/meltCurve_sp_P05114_HMGN1_HUMAN_.pdf", "Melting_Curves/meltCurve_sp_P05114_HMGN1_HUMAN_.pdf")</f>
        <v>Melting_Curves/meltCurve_sp_P05114_HMGN1_HUMAN_.pdf</v>
      </c>
      <c r="AA460" t="s">
        <v>11943</v>
      </c>
      <c r="AB460" t="s">
        <v>15701</v>
      </c>
    </row>
    <row r="461" spans="1:28" x14ac:dyDescent="0.25">
      <c r="A461" t="s">
        <v>465</v>
      </c>
      <c r="B461">
        <v>0.98876768158843997</v>
      </c>
      <c r="C461">
        <v>1.0376604995983401</v>
      </c>
      <c r="D461">
        <v>1.2232022067778601</v>
      </c>
      <c r="E461">
        <v>0.39666682798469599</v>
      </c>
      <c r="F461">
        <v>0.22663398991318301</v>
      </c>
      <c r="G461">
        <v>0.14709636448771399</v>
      </c>
      <c r="H461">
        <v>0.104957437057286</v>
      </c>
      <c r="I461">
        <v>0.102072527351496</v>
      </c>
      <c r="J461">
        <v>0.150911029174395</v>
      </c>
      <c r="K461">
        <v>0.150456920517687</v>
      </c>
      <c r="L461">
        <v>5315.1661558892201</v>
      </c>
      <c r="M461">
        <v>107.181264006958</v>
      </c>
      <c r="N461">
        <v>49.751776307529397</v>
      </c>
      <c r="O461">
        <v>49.573183949768399</v>
      </c>
      <c r="P461">
        <v>-0.46117311260689797</v>
      </c>
      <c r="Q461">
        <v>0.146797947172079</v>
      </c>
      <c r="R461">
        <v>0.96579540653307405</v>
      </c>
      <c r="S461" t="s">
        <v>4293</v>
      </c>
      <c r="T461" t="s">
        <v>7662</v>
      </c>
      <c r="U461" t="s">
        <v>7662</v>
      </c>
      <c r="V461" t="s">
        <v>7662</v>
      </c>
      <c r="W461">
        <v>1</v>
      </c>
      <c r="X461" t="s">
        <v>8123</v>
      </c>
      <c r="Y461">
        <v>0.4199551302203956</v>
      </c>
      <c r="Z461" t="str">
        <f>HYPERLINK("Melting_Curves/meltCurve_sp_P05141_ADT2_HUMAN_.pdf", "Melting_Curves/meltCurve_sp_P05141_ADT2_HUMAN_.pdf")</f>
        <v>Melting_Curves/meltCurve_sp_P05141_ADT2_HUMAN_.pdf</v>
      </c>
      <c r="AA461" t="s">
        <v>11944</v>
      </c>
      <c r="AB461" t="s">
        <v>15702</v>
      </c>
    </row>
    <row r="462" spans="1:28" x14ac:dyDescent="0.25">
      <c r="A462" t="s">
        <v>466</v>
      </c>
      <c r="B462">
        <v>0.98876768158843997</v>
      </c>
      <c r="C462">
        <v>0.97815940001379498</v>
      </c>
      <c r="D462">
        <v>0.92877745115856902</v>
      </c>
      <c r="E462">
        <v>0.57020235611307502</v>
      </c>
      <c r="F462">
        <v>0.51675128774049695</v>
      </c>
      <c r="G462">
        <v>0.35875058911749902</v>
      </c>
      <c r="H462">
        <v>0.25368633041210797</v>
      </c>
      <c r="I462">
        <v>0.16530506760588101</v>
      </c>
      <c r="J462">
        <v>0.10735373164140199</v>
      </c>
      <c r="K462">
        <v>0.106208481631902</v>
      </c>
      <c r="L462">
        <v>641.92653996659396</v>
      </c>
      <c r="M462">
        <v>12.250560395855301</v>
      </c>
      <c r="N462">
        <v>53.118658664558801</v>
      </c>
      <c r="O462">
        <v>51.062177469528798</v>
      </c>
      <c r="P462">
        <v>-5.5409199712876299E-2</v>
      </c>
      <c r="Q462">
        <v>7.6389935216245305E-2</v>
      </c>
      <c r="R462">
        <v>0.98282873016585304</v>
      </c>
      <c r="S462" t="s">
        <v>4294</v>
      </c>
      <c r="T462" t="s">
        <v>7662</v>
      </c>
      <c r="U462" t="s">
        <v>7662</v>
      </c>
      <c r="V462" t="s">
        <v>7662</v>
      </c>
      <c r="W462">
        <v>1</v>
      </c>
      <c r="X462" t="s">
        <v>8124</v>
      </c>
      <c r="Y462">
        <v>0.48494777524933508</v>
      </c>
      <c r="Z462" t="str">
        <f>HYPERLINK("Melting_Curves/meltCurve_sp_P05154_IPSP_HUMAN_.pdf", "Melting_Curves/meltCurve_sp_P05154_IPSP_HUMAN_.pdf")</f>
        <v>Melting_Curves/meltCurve_sp_P05154_IPSP_HUMAN_.pdf</v>
      </c>
      <c r="AA462" t="s">
        <v>11945</v>
      </c>
      <c r="AB462" t="s">
        <v>15703</v>
      </c>
    </row>
    <row r="463" spans="1:28" x14ac:dyDescent="0.25">
      <c r="A463" t="s">
        <v>467</v>
      </c>
      <c r="B463">
        <v>0.98876768158843997</v>
      </c>
      <c r="C463">
        <v>1.06275992182595</v>
      </c>
      <c r="D463">
        <v>0.84637748810877</v>
      </c>
      <c r="E463">
        <v>0.66796848945267695</v>
      </c>
      <c r="F463">
        <v>0.51291914757422996</v>
      </c>
      <c r="G463">
        <v>0.28805782697434001</v>
      </c>
      <c r="H463">
        <v>0.14816521957812401</v>
      </c>
      <c r="I463">
        <v>0.132554700238046</v>
      </c>
      <c r="J463">
        <v>0.126693246108806</v>
      </c>
      <c r="K463">
        <v>0.13886743771223001</v>
      </c>
      <c r="L463">
        <v>811.169241809146</v>
      </c>
      <c r="M463">
        <v>15.601063239894099</v>
      </c>
      <c r="N463">
        <v>52.734760569621997</v>
      </c>
      <c r="O463">
        <v>51.162681682074002</v>
      </c>
      <c r="P463">
        <v>-6.8741854261175198E-2</v>
      </c>
      <c r="Q463">
        <v>9.8340165546791397E-2</v>
      </c>
      <c r="R463">
        <v>0.98872515187055299</v>
      </c>
      <c r="S463" t="s">
        <v>4295</v>
      </c>
      <c r="T463" t="s">
        <v>7662</v>
      </c>
      <c r="U463" t="s">
        <v>7662</v>
      </c>
      <c r="V463" t="s">
        <v>7662</v>
      </c>
      <c r="W463">
        <v>10</v>
      </c>
      <c r="X463" t="s">
        <v>8125</v>
      </c>
      <c r="Y463">
        <v>0.47780962856876052</v>
      </c>
      <c r="Z463" t="str">
        <f>HYPERLINK("Melting_Curves/meltCurve_sp_P05155_IC1_HUMAN_.pdf", "Melting_Curves/meltCurve_sp_P05155_IC1_HUMAN_.pdf")</f>
        <v>Melting_Curves/meltCurve_sp_P05155_IC1_HUMAN_.pdf</v>
      </c>
      <c r="AA463" t="s">
        <v>11946</v>
      </c>
      <c r="AB463" t="s">
        <v>15704</v>
      </c>
    </row>
    <row r="464" spans="1:28" x14ac:dyDescent="0.25">
      <c r="A464" t="s">
        <v>468</v>
      </c>
      <c r="B464">
        <v>0.98876768158843997</v>
      </c>
      <c r="C464">
        <v>1.02258870962211</v>
      </c>
      <c r="D464">
        <v>0.91401515575071901</v>
      </c>
      <c r="E464">
        <v>0.70720745243217997</v>
      </c>
      <c r="F464">
        <v>0.43710118013261401</v>
      </c>
      <c r="G464">
        <v>0.18897228566361901</v>
      </c>
      <c r="H464">
        <v>7.6252044134428404E-2</v>
      </c>
      <c r="I464">
        <v>5.46095204408963E-2</v>
      </c>
      <c r="J464">
        <v>2.8031804524558401E-2</v>
      </c>
      <c r="K464">
        <v>4.2316487498655901E-2</v>
      </c>
      <c r="L464">
        <v>1001.64743033842</v>
      </c>
      <c r="M464">
        <v>19.202996367793201</v>
      </c>
      <c r="N464">
        <v>52.300129008092902</v>
      </c>
      <c r="O464">
        <v>51.605210984164898</v>
      </c>
      <c r="P464">
        <v>-9.07156573314747E-2</v>
      </c>
      <c r="Q464">
        <v>2.4897654454780999E-2</v>
      </c>
      <c r="R464">
        <v>0.99871621129601695</v>
      </c>
      <c r="S464" t="s">
        <v>4296</v>
      </c>
      <c r="T464" t="s">
        <v>7662</v>
      </c>
      <c r="U464" t="s">
        <v>7662</v>
      </c>
      <c r="V464" t="s">
        <v>7662</v>
      </c>
      <c r="W464">
        <v>3</v>
      </c>
      <c r="X464" t="s">
        <v>8126</v>
      </c>
      <c r="Y464">
        <v>0.43465812707575302</v>
      </c>
      <c r="Z464" t="str">
        <f>HYPERLINK("Melting_Curves/meltCurve_sp_P05161_ISG15_HUMAN_.pdf", "Melting_Curves/meltCurve_sp_P05161_ISG15_HUMAN_.pdf")</f>
        <v>Melting_Curves/meltCurve_sp_P05161_ISG15_HUMAN_.pdf</v>
      </c>
      <c r="AA464" t="s">
        <v>11947</v>
      </c>
      <c r="AB464" t="s">
        <v>15705</v>
      </c>
    </row>
    <row r="465" spans="1:28" x14ac:dyDescent="0.25">
      <c r="A465" t="s">
        <v>469</v>
      </c>
      <c r="B465">
        <v>0.98876768158843997</v>
      </c>
      <c r="C465">
        <v>1.1906873133831199</v>
      </c>
      <c r="D465">
        <v>1.00147796412921</v>
      </c>
      <c r="E465">
        <v>0.98323104761465496</v>
      </c>
      <c r="F465">
        <v>0.37899999781507898</v>
      </c>
      <c r="G465">
        <v>0.26250472268037001</v>
      </c>
      <c r="H465">
        <v>0.27978352725894501</v>
      </c>
      <c r="I465">
        <v>0.25327163848536899</v>
      </c>
      <c r="J465">
        <v>9.4372734794037197E-2</v>
      </c>
      <c r="K465">
        <v>0.125065780704122</v>
      </c>
      <c r="L465">
        <v>4371.1511450010003</v>
      </c>
      <c r="M465">
        <v>83.729263193526094</v>
      </c>
      <c r="N465">
        <v>52.532067563353998</v>
      </c>
      <c r="O465">
        <v>52.176017727877998</v>
      </c>
      <c r="P465">
        <v>-0.319842143080106</v>
      </c>
      <c r="Q465">
        <v>0.20275962065025499</v>
      </c>
      <c r="R465">
        <v>0.95997632467598704</v>
      </c>
      <c r="S465" t="s">
        <v>4297</v>
      </c>
      <c r="T465" t="s">
        <v>7662</v>
      </c>
      <c r="U465" t="s">
        <v>7662</v>
      </c>
      <c r="V465" t="s">
        <v>7662</v>
      </c>
      <c r="W465">
        <v>1</v>
      </c>
      <c r="X465" t="s">
        <v>8127</v>
      </c>
      <c r="Y465">
        <v>0.52777653238888911</v>
      </c>
      <c r="Z465" t="str">
        <f>HYPERLINK("Melting_Curves/meltCurve_sp_P05164_2_PERM_HUMAN_.pdf", "Melting_Curves/meltCurve_sp_P05164_2_PERM_HUMAN_.pdf")</f>
        <v>Melting_Curves/meltCurve_sp_P05164_2_PERM_HUMAN_.pdf</v>
      </c>
      <c r="AA465" t="s">
        <v>11948</v>
      </c>
      <c r="AB465" t="s">
        <v>15706</v>
      </c>
    </row>
    <row r="466" spans="1:28" x14ac:dyDescent="0.25">
      <c r="A466" t="s">
        <v>470</v>
      </c>
      <c r="B466">
        <v>0.98876768158843997</v>
      </c>
      <c r="C466">
        <v>1.06170716992806</v>
      </c>
      <c r="D466">
        <v>1.1355326613118499</v>
      </c>
      <c r="E466">
        <v>1.02431737312541</v>
      </c>
      <c r="F466">
        <v>0.22630487037299299</v>
      </c>
      <c r="G466">
        <v>0.12919433845660999</v>
      </c>
      <c r="H466">
        <v>5.96598489658067E-2</v>
      </c>
      <c r="I466">
        <v>5.8886403516807101E-2</v>
      </c>
      <c r="J466">
        <v>5.9036840268595701E-2</v>
      </c>
      <c r="K466">
        <v>6.8219665963002898E-2</v>
      </c>
      <c r="L466">
        <v>13163.510658822899</v>
      </c>
      <c r="M466">
        <v>250</v>
      </c>
      <c r="N466">
        <v>52.688295174967998</v>
      </c>
      <c r="O466">
        <v>52.6506731100039</v>
      </c>
      <c r="P466">
        <v>-1.09803988984457</v>
      </c>
      <c r="Q466">
        <v>7.4999371975318599E-2</v>
      </c>
      <c r="R466">
        <v>0.98795931947539595</v>
      </c>
      <c r="S466" t="s">
        <v>4298</v>
      </c>
      <c r="T466" t="s">
        <v>7662</v>
      </c>
      <c r="U466" t="s">
        <v>7662</v>
      </c>
      <c r="V466" t="s">
        <v>7662</v>
      </c>
      <c r="W466">
        <v>47</v>
      </c>
      <c r="X466" t="s">
        <v>8128</v>
      </c>
      <c r="Y466">
        <v>0.4652514280216592</v>
      </c>
      <c r="Z466" t="str">
        <f>HYPERLINK("Melting_Curves/meltCurve_sp_P05165_PCCA_HUMAN_.pdf", "Melting_Curves/meltCurve_sp_P05165_PCCA_HUMAN_.pdf")</f>
        <v>Melting_Curves/meltCurve_sp_P05165_PCCA_HUMAN_.pdf</v>
      </c>
      <c r="AA466" t="s">
        <v>11949</v>
      </c>
      <c r="AB466" t="s">
        <v>15707</v>
      </c>
    </row>
    <row r="467" spans="1:28" x14ac:dyDescent="0.25">
      <c r="A467" t="s">
        <v>471</v>
      </c>
      <c r="B467">
        <v>0.98876768158843997</v>
      </c>
      <c r="C467">
        <v>0.92331685932416396</v>
      </c>
      <c r="D467">
        <v>1.1723114380141999</v>
      </c>
      <c r="E467">
        <v>1.0826646526580399</v>
      </c>
      <c r="F467">
        <v>0.55569398806852899</v>
      </c>
      <c r="G467">
        <v>0.306893125092703</v>
      </c>
      <c r="H467">
        <v>7.1397051120169294E-2</v>
      </c>
      <c r="I467">
        <v>4.4507649057675798E-2</v>
      </c>
      <c r="J467">
        <v>6.6363855945407502E-2</v>
      </c>
      <c r="K467">
        <v>3.5203450123175398E-2</v>
      </c>
      <c r="L467">
        <v>1651.89367363619</v>
      </c>
      <c r="M467">
        <v>30.585660270975598</v>
      </c>
      <c r="N467">
        <v>54.226067561613199</v>
      </c>
      <c r="O467">
        <v>53.779458781384797</v>
      </c>
      <c r="P467">
        <v>-0.133981111234343</v>
      </c>
      <c r="Q467">
        <v>5.7677564558873698E-2</v>
      </c>
      <c r="R467">
        <v>0.95931628768864396</v>
      </c>
      <c r="S467" t="s">
        <v>4299</v>
      </c>
      <c r="T467" t="s">
        <v>7662</v>
      </c>
      <c r="U467" t="s">
        <v>7662</v>
      </c>
      <c r="V467" t="s">
        <v>7662</v>
      </c>
      <c r="W467">
        <v>29</v>
      </c>
      <c r="X467" t="s">
        <v>8129</v>
      </c>
      <c r="Y467">
        <v>0.50366677662490822</v>
      </c>
      <c r="Z467" t="str">
        <f>HYPERLINK("Melting_Curves/meltCurve_sp_P05166_PCCB_HUMAN_.pdf", "Melting_Curves/meltCurve_sp_P05166_PCCB_HUMAN_.pdf")</f>
        <v>Melting_Curves/meltCurve_sp_P05166_PCCB_HUMAN_.pdf</v>
      </c>
      <c r="AA467" t="s">
        <v>11950</v>
      </c>
      <c r="AB467" t="s">
        <v>15708</v>
      </c>
    </row>
    <row r="468" spans="1:28" x14ac:dyDescent="0.25">
      <c r="A468" t="s">
        <v>472</v>
      </c>
      <c r="B468">
        <v>0.98876768158843997</v>
      </c>
      <c r="C468">
        <v>0.80428623368563601</v>
      </c>
      <c r="D468">
        <v>0.90590252636298196</v>
      </c>
      <c r="E468">
        <v>0.31772319935412402</v>
      </c>
      <c r="F468">
        <v>0.11698670171636499</v>
      </c>
      <c r="G468">
        <v>8.8289481551808699E-2</v>
      </c>
      <c r="H468">
        <v>7.0882369901002301E-2</v>
      </c>
      <c r="I468">
        <v>2.3452750138827499E-2</v>
      </c>
      <c r="J468">
        <v>7.1260688658082993E-2</v>
      </c>
      <c r="K468">
        <v>4.3850221853415597E-2</v>
      </c>
      <c r="L468">
        <v>1526.62001173315</v>
      </c>
      <c r="M468">
        <v>31.4196446737533</v>
      </c>
      <c r="N468">
        <v>48.770783412733998</v>
      </c>
      <c r="O468">
        <v>48.3925243921109</v>
      </c>
      <c r="P468">
        <v>-0.153305333162989</v>
      </c>
      <c r="Q468">
        <v>5.5521957869980799E-2</v>
      </c>
      <c r="R468">
        <v>0.97344746898954804</v>
      </c>
      <c r="S468" t="s">
        <v>4300</v>
      </c>
      <c r="T468" t="s">
        <v>7662</v>
      </c>
      <c r="U468" t="s">
        <v>7662</v>
      </c>
      <c r="V468" t="s">
        <v>7662</v>
      </c>
      <c r="W468">
        <v>1</v>
      </c>
      <c r="X468" t="s">
        <v>8130</v>
      </c>
      <c r="Y468">
        <v>0.33109772078733679</v>
      </c>
      <c r="Z468" t="str">
        <f>HYPERLINK("Melting_Curves/meltCurve_sp_P05177_CP1A2_HUMAN_.pdf", "Melting_Curves/meltCurve_sp_P05177_CP1A2_HUMAN_.pdf")</f>
        <v>Melting_Curves/meltCurve_sp_P05177_CP1A2_HUMAN_.pdf</v>
      </c>
      <c r="AA468" t="s">
        <v>11951</v>
      </c>
      <c r="AB468" t="s">
        <v>15709</v>
      </c>
    </row>
    <row r="469" spans="1:28" x14ac:dyDescent="0.25">
      <c r="A469" t="s">
        <v>473</v>
      </c>
      <c r="B469">
        <v>0.98876768158843997</v>
      </c>
      <c r="C469">
        <v>0.86581275900951504</v>
      </c>
      <c r="D469">
        <v>0.77902277111611495</v>
      </c>
      <c r="E469">
        <v>0.45988461873477998</v>
      </c>
      <c r="F469">
        <v>0.21759962631000501</v>
      </c>
      <c r="G469">
        <v>0.115705931384867</v>
      </c>
      <c r="H469">
        <v>7.2769985643282603E-2</v>
      </c>
      <c r="I469">
        <v>1.90802023054563E-2</v>
      </c>
      <c r="J469">
        <v>3.29026153001672E-2</v>
      </c>
      <c r="K469">
        <v>0</v>
      </c>
      <c r="L469">
        <v>778.44858083819804</v>
      </c>
      <c r="M469">
        <v>15.8035450268505</v>
      </c>
      <c r="N469">
        <v>49.290284742915198</v>
      </c>
      <c r="O469">
        <v>48.4893678081717</v>
      </c>
      <c r="P469">
        <v>-8.10645645579154E-2</v>
      </c>
      <c r="Q469">
        <v>5.1735905229464601E-3</v>
      </c>
      <c r="R469">
        <v>0.99605377122157102</v>
      </c>
      <c r="S469" t="s">
        <v>4301</v>
      </c>
      <c r="T469" t="s">
        <v>7662</v>
      </c>
      <c r="U469" t="s">
        <v>7662</v>
      </c>
      <c r="V469" t="s">
        <v>7662</v>
      </c>
      <c r="W469">
        <v>4</v>
      </c>
      <c r="X469" t="s">
        <v>8131</v>
      </c>
      <c r="Y469">
        <v>0.33423033264114882</v>
      </c>
      <c r="Z469" t="str">
        <f>HYPERLINK("Melting_Curves/meltCurve_sp_P05181_CP2E1_HUMAN_.pdf", "Melting_Curves/meltCurve_sp_P05181_CP2E1_HUMAN_.pdf")</f>
        <v>Melting_Curves/meltCurve_sp_P05181_CP2E1_HUMAN_.pdf</v>
      </c>
      <c r="AA469" t="s">
        <v>11952</v>
      </c>
      <c r="AB469" t="s">
        <v>15710</v>
      </c>
    </row>
    <row r="470" spans="1:28" x14ac:dyDescent="0.25">
      <c r="A470" t="s">
        <v>474</v>
      </c>
      <c r="B470">
        <v>0.98876768158843997</v>
      </c>
      <c r="C470">
        <v>0.957883795954516</v>
      </c>
      <c r="D470">
        <v>0.95871962991198101</v>
      </c>
      <c r="E470">
        <v>0.81958750327135399</v>
      </c>
      <c r="F470">
        <v>0.54109098173026604</v>
      </c>
      <c r="G470">
        <v>0.19049350338499099</v>
      </c>
      <c r="H470">
        <v>6.1835829987540399E-2</v>
      </c>
      <c r="I470">
        <v>5.24185501714323E-2</v>
      </c>
      <c r="J470">
        <v>0.108577548802712</v>
      </c>
      <c r="K470">
        <v>5.4691839595378502E-2</v>
      </c>
      <c r="L470">
        <v>1322.81115326605</v>
      </c>
      <c r="M470">
        <v>24.959840280195301</v>
      </c>
      <c r="N470">
        <v>53.251566617077003</v>
      </c>
      <c r="O470">
        <v>52.660900987408397</v>
      </c>
      <c r="P470">
        <v>-0.111845254756824</v>
      </c>
      <c r="Q470">
        <v>5.6117007944854601E-2</v>
      </c>
      <c r="R470">
        <v>0.99641876740559399</v>
      </c>
      <c r="S470" t="s">
        <v>4302</v>
      </c>
      <c r="T470" t="s">
        <v>7662</v>
      </c>
      <c r="U470" t="s">
        <v>7662</v>
      </c>
      <c r="V470" t="s">
        <v>7662</v>
      </c>
      <c r="W470">
        <v>17</v>
      </c>
      <c r="X470" t="s">
        <v>8132</v>
      </c>
      <c r="Y470">
        <v>0.4737734890622522</v>
      </c>
      <c r="Z470" t="str">
        <f>HYPERLINK("Melting_Curves/meltCurve_sp_P05198_IF2A_HUMAN_.pdf", "Melting_Curves/meltCurve_sp_P05198_IF2A_HUMAN_.pdf")</f>
        <v>Melting_Curves/meltCurve_sp_P05198_IF2A_HUMAN_.pdf</v>
      </c>
      <c r="AA470" t="s">
        <v>11953</v>
      </c>
      <c r="AB470" t="s">
        <v>15711</v>
      </c>
    </row>
    <row r="471" spans="1:28" x14ac:dyDescent="0.25">
      <c r="A471" t="s">
        <v>475</v>
      </c>
      <c r="B471">
        <v>0.98876768158843997</v>
      </c>
      <c r="C471">
        <v>0.46584725049936798</v>
      </c>
      <c r="D471">
        <v>0.76174667321927803</v>
      </c>
      <c r="E471">
        <v>0.40211798042395303</v>
      </c>
      <c r="F471">
        <v>0.59896466079854305</v>
      </c>
      <c r="G471">
        <v>0.267473925318717</v>
      </c>
      <c r="H471">
        <v>0.191029350042452</v>
      </c>
      <c r="I471">
        <v>0.197737938612667</v>
      </c>
      <c r="J471">
        <v>0.27132579394576201</v>
      </c>
      <c r="K471">
        <v>0.46761245712773603</v>
      </c>
      <c r="L471">
        <v>441.51758564198502</v>
      </c>
      <c r="M471">
        <v>9.7273321927234502</v>
      </c>
      <c r="N471">
        <v>49.0703890156311</v>
      </c>
      <c r="O471">
        <v>43.595685572331497</v>
      </c>
      <c r="P471">
        <v>-4.1358010794912602E-2</v>
      </c>
      <c r="Q471">
        <v>0.25897184192183098</v>
      </c>
      <c r="R471">
        <v>0.62790477998031902</v>
      </c>
      <c r="S471" t="s">
        <v>4303</v>
      </c>
      <c r="T471" t="s">
        <v>7662</v>
      </c>
      <c r="U471" t="s">
        <v>7662</v>
      </c>
      <c r="V471" t="s">
        <v>7662</v>
      </c>
      <c r="W471">
        <v>3</v>
      </c>
      <c r="X471" t="s">
        <v>8133</v>
      </c>
      <c r="Y471">
        <v>0.4433197089538391</v>
      </c>
      <c r="Z471" t="str">
        <f>HYPERLINK("Melting_Curves/meltCurve_sp_P05204_HMGN2_HUMAN_.pdf", "Melting_Curves/meltCurve_sp_P05204_HMGN2_HUMAN_.pdf")</f>
        <v>Melting_Curves/meltCurve_sp_P05204_HMGN2_HUMAN_.pdf</v>
      </c>
      <c r="AA471" t="s">
        <v>11954</v>
      </c>
      <c r="AB471" t="s">
        <v>15712</v>
      </c>
    </row>
    <row r="472" spans="1:28" x14ac:dyDescent="0.25">
      <c r="A472" t="s">
        <v>476</v>
      </c>
      <c r="B472">
        <v>0.98876768158843997</v>
      </c>
      <c r="C472">
        <v>0.80301255795662596</v>
      </c>
      <c r="D472">
        <v>0.837732405656608</v>
      </c>
      <c r="E472">
        <v>0.52073036991076505</v>
      </c>
      <c r="F472">
        <v>0.41938917734998499</v>
      </c>
      <c r="G472">
        <v>0.23278875767745399</v>
      </c>
      <c r="H472">
        <v>0.188630712989517</v>
      </c>
      <c r="I472">
        <v>0.212032892506063</v>
      </c>
      <c r="J472">
        <v>0.25423912868976201</v>
      </c>
      <c r="K472">
        <v>9.3073009243619498E-2</v>
      </c>
      <c r="L472">
        <v>640.69488975378897</v>
      </c>
      <c r="M472">
        <v>12.9439285185111</v>
      </c>
      <c r="N472">
        <v>50.8031885800875</v>
      </c>
      <c r="O472">
        <v>48.3609658072847</v>
      </c>
      <c r="P472">
        <v>-5.7456747187946501E-2</v>
      </c>
      <c r="Q472">
        <v>0.141477134646148</v>
      </c>
      <c r="R472">
        <v>0.96685305159731105</v>
      </c>
      <c r="S472" t="s">
        <v>4304</v>
      </c>
      <c r="T472" t="s">
        <v>7662</v>
      </c>
      <c r="U472" t="s">
        <v>7662</v>
      </c>
      <c r="V472" t="s">
        <v>7662</v>
      </c>
      <c r="W472">
        <v>1</v>
      </c>
      <c r="X472" t="s">
        <v>8134</v>
      </c>
      <c r="Y472">
        <v>0.44027703169392057</v>
      </c>
      <c r="Z472" t="str">
        <f>HYPERLINK("Melting_Curves/meltCurve_sp_P05386_RLA1_HUMAN_.pdf", "Melting_Curves/meltCurve_sp_P05386_RLA1_HUMAN_.pdf")</f>
        <v>Melting_Curves/meltCurve_sp_P05386_RLA1_HUMAN_.pdf</v>
      </c>
      <c r="AA472" t="s">
        <v>11955</v>
      </c>
      <c r="AB472" t="s">
        <v>15713</v>
      </c>
    </row>
    <row r="473" spans="1:28" x14ac:dyDescent="0.25">
      <c r="A473" t="s">
        <v>477</v>
      </c>
      <c r="B473">
        <v>0.98876768158843997</v>
      </c>
      <c r="C473">
        <v>1.0247328747734901</v>
      </c>
      <c r="D473">
        <v>0.86335802417020602</v>
      </c>
      <c r="E473">
        <v>0.57751033957058995</v>
      </c>
      <c r="F473">
        <v>0.67124436854557701</v>
      </c>
      <c r="G473">
        <v>0.48677574876991803</v>
      </c>
      <c r="H473">
        <v>0.40101045269956598</v>
      </c>
      <c r="I473">
        <v>0.46797088369186801</v>
      </c>
      <c r="J473">
        <v>0.63746718503538202</v>
      </c>
      <c r="K473">
        <v>0.69269637841336795</v>
      </c>
      <c r="L473">
        <v>1915.4322234945801</v>
      </c>
      <c r="M473">
        <v>40.795187480401403</v>
      </c>
      <c r="O473">
        <v>46.8400235976505</v>
      </c>
      <c r="P473">
        <v>-9.6557665007271198E-2</v>
      </c>
      <c r="Q473">
        <v>0.55654053242067703</v>
      </c>
      <c r="R473">
        <v>0.81992189223767098</v>
      </c>
      <c r="S473" t="s">
        <v>4305</v>
      </c>
      <c r="T473" t="s">
        <v>7662</v>
      </c>
      <c r="U473" t="s">
        <v>7662</v>
      </c>
      <c r="V473" t="s">
        <v>7662</v>
      </c>
      <c r="W473">
        <v>2</v>
      </c>
      <c r="X473" t="s">
        <v>8135</v>
      </c>
      <c r="Y473">
        <v>0.66070429934854735</v>
      </c>
      <c r="Z473" t="str">
        <f>HYPERLINK("Melting_Curves/meltCurve_sp_P05387_RLA2_HUMAN_.pdf", "Melting_Curves/meltCurve_sp_P05387_RLA2_HUMAN_.pdf")</f>
        <v>Melting_Curves/meltCurve_sp_P05387_RLA2_HUMAN_.pdf</v>
      </c>
      <c r="AA473" t="s">
        <v>11956</v>
      </c>
      <c r="AB473" t="s">
        <v>15714</v>
      </c>
    </row>
    <row r="474" spans="1:28" x14ac:dyDescent="0.25">
      <c r="A474" t="s">
        <v>478</v>
      </c>
      <c r="B474">
        <v>0.98876768158843997</v>
      </c>
      <c r="C474">
        <v>1.0698541049544299</v>
      </c>
      <c r="D474">
        <v>0.96717538166631101</v>
      </c>
      <c r="E474">
        <v>0.94488259947278397</v>
      </c>
      <c r="F474">
        <v>0.70349205138439397</v>
      </c>
      <c r="G474">
        <v>0.32237614576162599</v>
      </c>
      <c r="H474">
        <v>0.11218347768718</v>
      </c>
      <c r="I474">
        <v>7.2841640678902794E-2</v>
      </c>
      <c r="J474">
        <v>6.2303234478719903E-2</v>
      </c>
      <c r="K474">
        <v>6.3235862396091705E-2</v>
      </c>
      <c r="L474">
        <v>1391.0280253425501</v>
      </c>
      <c r="M474">
        <v>25.386899045408001</v>
      </c>
      <c r="N474">
        <v>55.037469265302803</v>
      </c>
      <c r="O474">
        <v>54.456551331231502</v>
      </c>
      <c r="P474">
        <v>-0.110337200390084</v>
      </c>
      <c r="Q474">
        <v>5.3290054376439099E-2</v>
      </c>
      <c r="R474">
        <v>0.99620020274662802</v>
      </c>
      <c r="S474" t="s">
        <v>4306</v>
      </c>
      <c r="T474" t="s">
        <v>7662</v>
      </c>
      <c r="U474" t="s">
        <v>7662</v>
      </c>
      <c r="V474" t="s">
        <v>7662</v>
      </c>
      <c r="W474">
        <v>17</v>
      </c>
      <c r="X474" t="s">
        <v>8136</v>
      </c>
      <c r="Y474">
        <v>0.52864558588224819</v>
      </c>
      <c r="Z474" t="str">
        <f>HYPERLINK("Melting_Curves/meltCurve_sp_P05455_LA_HUMAN_.pdf", "Melting_Curves/meltCurve_sp_P05455_LA_HUMAN_.pdf")</f>
        <v>Melting_Curves/meltCurve_sp_P05455_LA_HUMAN_.pdf</v>
      </c>
      <c r="AA474" t="s">
        <v>11957</v>
      </c>
      <c r="AB474" t="s">
        <v>15715</v>
      </c>
    </row>
    <row r="475" spans="1:28" x14ac:dyDescent="0.25">
      <c r="A475" t="s">
        <v>479</v>
      </c>
      <c r="B475">
        <v>0.98876768158843997</v>
      </c>
      <c r="C475">
        <v>1.0246688766762999</v>
      </c>
      <c r="D475">
        <v>0.89714943539061598</v>
      </c>
      <c r="E475">
        <v>0.75836571703859701</v>
      </c>
      <c r="F475">
        <v>0.734970929997939</v>
      </c>
      <c r="G475">
        <v>0.38350606109633401</v>
      </c>
      <c r="H475">
        <v>0.25539900112707098</v>
      </c>
      <c r="I475">
        <v>0.19999602643676301</v>
      </c>
      <c r="J475">
        <v>0.38226937972562602</v>
      </c>
      <c r="K475">
        <v>0.107375442136723</v>
      </c>
      <c r="L475">
        <v>817.30202870272797</v>
      </c>
      <c r="M475">
        <v>15.149152996236401</v>
      </c>
      <c r="N475">
        <v>55.490005139570101</v>
      </c>
      <c r="O475">
        <v>53.036453841578201</v>
      </c>
      <c r="P475">
        <v>-5.91619991024692E-2</v>
      </c>
      <c r="Q475">
        <v>0.171587291023719</v>
      </c>
      <c r="R475">
        <v>0.94697394999723306</v>
      </c>
      <c r="S475" t="s">
        <v>4307</v>
      </c>
      <c r="T475" t="s">
        <v>7662</v>
      </c>
      <c r="U475" t="s">
        <v>7662</v>
      </c>
      <c r="V475" t="s">
        <v>7662</v>
      </c>
      <c r="W475">
        <v>2</v>
      </c>
      <c r="X475" t="s">
        <v>8137</v>
      </c>
      <c r="Y475">
        <v>0.57364075843584195</v>
      </c>
      <c r="Z475" t="str">
        <f>HYPERLINK("Melting_Curves/meltCurve_sp_P05543_THBG_HUMAN_.pdf", "Melting_Curves/meltCurve_sp_P05543_THBG_HUMAN_.pdf")</f>
        <v>Melting_Curves/meltCurve_sp_P05543_THBG_HUMAN_.pdf</v>
      </c>
      <c r="AA475" t="s">
        <v>11958</v>
      </c>
      <c r="AB475" t="s">
        <v>15716</v>
      </c>
    </row>
    <row r="476" spans="1:28" x14ac:dyDescent="0.25">
      <c r="A476" t="s">
        <v>480</v>
      </c>
      <c r="B476">
        <v>0.98876768158843997</v>
      </c>
      <c r="C476">
        <v>1.03964466086728</v>
      </c>
      <c r="D476">
        <v>0.96911319886067904</v>
      </c>
      <c r="E476">
        <v>0.81901342047970505</v>
      </c>
      <c r="F476">
        <v>0.72813153662311902</v>
      </c>
      <c r="G476">
        <v>0.406671832934765</v>
      </c>
      <c r="H476">
        <v>0.11434104998624101</v>
      </c>
      <c r="I476">
        <v>8.62539518245308E-2</v>
      </c>
      <c r="J476">
        <v>6.2445627783130203E-2</v>
      </c>
      <c r="K476">
        <v>4.8137545308715897E-2</v>
      </c>
      <c r="L476">
        <v>1001.54679362628</v>
      </c>
      <c r="M476">
        <v>18.078340874097101</v>
      </c>
      <c r="N476">
        <v>55.454157918366597</v>
      </c>
      <c r="O476">
        <v>54.735845802136403</v>
      </c>
      <c r="P476">
        <v>-8.1857254074294797E-2</v>
      </c>
      <c r="Q476">
        <v>8.6903095425767095E-3</v>
      </c>
      <c r="R476">
        <v>0.99360492301979797</v>
      </c>
      <c r="S476" t="s">
        <v>4308</v>
      </c>
      <c r="T476" t="s">
        <v>7662</v>
      </c>
      <c r="U476" t="s">
        <v>7662</v>
      </c>
      <c r="V476" t="s">
        <v>7662</v>
      </c>
      <c r="W476">
        <v>5</v>
      </c>
      <c r="X476" t="s">
        <v>8138</v>
      </c>
      <c r="Y476">
        <v>0.53256111655188487</v>
      </c>
      <c r="Z476" t="str">
        <f>HYPERLINK("Melting_Curves/meltCurve_sp_P05546_HEP2_HUMAN_.pdf", "Melting_Curves/meltCurve_sp_P05546_HEP2_HUMAN_.pdf")</f>
        <v>Melting_Curves/meltCurve_sp_P05546_HEP2_HUMAN_.pdf</v>
      </c>
      <c r="AA476" t="s">
        <v>11959</v>
      </c>
      <c r="AB476" t="s">
        <v>15717</v>
      </c>
    </row>
    <row r="477" spans="1:28" x14ac:dyDescent="0.25">
      <c r="A477" t="s">
        <v>481</v>
      </c>
      <c r="B477">
        <v>0.98876768158843997</v>
      </c>
      <c r="C477">
        <v>0.95954794134471499</v>
      </c>
      <c r="D477">
        <v>0.98344635115926604</v>
      </c>
      <c r="E477">
        <v>0.72375614729561799</v>
      </c>
      <c r="F477">
        <v>0.78746294089837399</v>
      </c>
      <c r="G477">
        <v>0.49391095051599498</v>
      </c>
      <c r="H477">
        <v>0.25940482968046802</v>
      </c>
      <c r="I477">
        <v>0.149007354535686</v>
      </c>
      <c r="J477">
        <v>8.6028147380661099E-2</v>
      </c>
      <c r="K477">
        <v>7.7841287454048794E-2</v>
      </c>
      <c r="L477">
        <v>752.47943338813002</v>
      </c>
      <c r="M477">
        <v>13.322087071617201</v>
      </c>
      <c r="N477">
        <v>56.483598216465097</v>
      </c>
      <c r="O477">
        <v>55.256438099590902</v>
      </c>
      <c r="P477">
        <v>-6.0283620837083697E-2</v>
      </c>
      <c r="Q477">
        <v>0</v>
      </c>
      <c r="R477">
        <v>0.98042608727036495</v>
      </c>
      <c r="S477" t="s">
        <v>4309</v>
      </c>
      <c r="T477" t="s">
        <v>7662</v>
      </c>
      <c r="U477" t="s">
        <v>7662</v>
      </c>
      <c r="V477" t="s">
        <v>7662</v>
      </c>
      <c r="W477">
        <v>36</v>
      </c>
      <c r="X477" t="s">
        <v>8139</v>
      </c>
      <c r="Y477">
        <v>0.56754599860433275</v>
      </c>
      <c r="Z477" t="str">
        <f>HYPERLINK("Melting_Curves/meltCurve_sp_P05783_K1C18_HUMAN_.pdf", "Melting_Curves/meltCurve_sp_P05783_K1C18_HUMAN_.pdf")</f>
        <v>Melting_Curves/meltCurve_sp_P05783_K1C18_HUMAN_.pdf</v>
      </c>
      <c r="AA477" t="s">
        <v>11960</v>
      </c>
      <c r="AB477" t="s">
        <v>15718</v>
      </c>
    </row>
    <row r="478" spans="1:28" x14ac:dyDescent="0.25">
      <c r="A478" t="s">
        <v>482</v>
      </c>
      <c r="B478">
        <v>0.98876768158843997</v>
      </c>
      <c r="C478">
        <v>0.88910425578047003</v>
      </c>
      <c r="D478">
        <v>0.94671475680598305</v>
      </c>
      <c r="E478">
        <v>0.70604476765788204</v>
      </c>
      <c r="F478">
        <v>0.76453365001922502</v>
      </c>
      <c r="G478">
        <v>0.54902193068009497</v>
      </c>
      <c r="H478">
        <v>0.32312137072470798</v>
      </c>
      <c r="I478">
        <v>0.23044122088174299</v>
      </c>
      <c r="J478">
        <v>0.23368655222728599</v>
      </c>
      <c r="K478">
        <v>0.30942695619475002</v>
      </c>
      <c r="L478">
        <v>603.84700222803201</v>
      </c>
      <c r="M478">
        <v>10.9220394903291</v>
      </c>
      <c r="N478">
        <v>57.106640194240597</v>
      </c>
      <c r="O478">
        <v>53.530526679819403</v>
      </c>
      <c r="P478">
        <v>-4.3527548682631E-2</v>
      </c>
      <c r="Q478">
        <v>0.146956047694873</v>
      </c>
      <c r="R478">
        <v>0.95056863501132505</v>
      </c>
      <c r="S478" t="s">
        <v>4310</v>
      </c>
      <c r="T478" t="s">
        <v>7662</v>
      </c>
      <c r="U478" t="s">
        <v>7662</v>
      </c>
      <c r="V478" t="s">
        <v>7662</v>
      </c>
      <c r="W478">
        <v>48</v>
      </c>
      <c r="X478" t="s">
        <v>8140</v>
      </c>
      <c r="Y478">
        <v>0.60191504921843098</v>
      </c>
      <c r="Z478" t="str">
        <f>HYPERLINK("Melting_Curves/meltCurve_sp_P05787_K2C8_HUMAN_.pdf", "Melting_Curves/meltCurve_sp_P05787_K2C8_HUMAN_.pdf")</f>
        <v>Melting_Curves/meltCurve_sp_P05787_K2C8_HUMAN_.pdf</v>
      </c>
      <c r="AA478" t="s">
        <v>11961</v>
      </c>
      <c r="AB478" t="s">
        <v>15719</v>
      </c>
    </row>
    <row r="479" spans="1:28" x14ac:dyDescent="0.25">
      <c r="A479" t="s">
        <v>483</v>
      </c>
      <c r="B479">
        <v>0.98876768158843997</v>
      </c>
      <c r="C479">
        <v>0.93608538752118597</v>
      </c>
      <c r="D479">
        <v>1.0789853691623299</v>
      </c>
      <c r="E479">
        <v>0.90328131904268805</v>
      </c>
      <c r="F479">
        <v>1.4557900704761</v>
      </c>
      <c r="G479">
        <v>1.1002994784373401</v>
      </c>
      <c r="H479">
        <v>0.83052997013228202</v>
      </c>
      <c r="I479">
        <v>0.94957514919110197</v>
      </c>
      <c r="J479">
        <v>1.2003657052830199</v>
      </c>
      <c r="K479">
        <v>1.3787220771790301</v>
      </c>
      <c r="L479">
        <v>15000</v>
      </c>
      <c r="M479">
        <v>223.996752311796</v>
      </c>
      <c r="O479">
        <v>66.959909560625405</v>
      </c>
      <c r="P479">
        <v>0.31674938351544302</v>
      </c>
      <c r="Q479">
        <v>1.37874679383698</v>
      </c>
      <c r="R479">
        <v>0.30129123221501602</v>
      </c>
      <c r="S479" t="s">
        <v>4311</v>
      </c>
      <c r="T479" t="s">
        <v>7662</v>
      </c>
      <c r="U479" t="s">
        <v>7662</v>
      </c>
      <c r="V479" t="s">
        <v>7662</v>
      </c>
      <c r="W479">
        <v>2</v>
      </c>
      <c r="X479" t="s">
        <v>8141</v>
      </c>
      <c r="Y479">
        <v>1.038258114428168</v>
      </c>
      <c r="Z479" t="str">
        <f>HYPERLINK("Melting_Curves/meltCurve_sp_P05976_2_MYL1_HUMAN_.pdf", "Melting_Curves/meltCurve_sp_P05976_2_MYL1_HUMAN_.pdf")</f>
        <v>Melting_Curves/meltCurve_sp_P05976_2_MYL1_HUMAN_.pdf</v>
      </c>
      <c r="AA479" t="s">
        <v>11962</v>
      </c>
      <c r="AB479" t="s">
        <v>15720</v>
      </c>
    </row>
    <row r="480" spans="1:28" x14ac:dyDescent="0.25">
      <c r="A480" t="s">
        <v>484</v>
      </c>
      <c r="B480">
        <v>0.98876768158843997</v>
      </c>
      <c r="C480">
        <v>0.98431512443005498</v>
      </c>
      <c r="D480">
        <v>0.88919702226578801</v>
      </c>
      <c r="E480">
        <v>0.84188087686957902</v>
      </c>
      <c r="F480">
        <v>0.75061714521077705</v>
      </c>
      <c r="G480">
        <v>0.56220693285094103</v>
      </c>
      <c r="H480">
        <v>0.36513815479834799</v>
      </c>
      <c r="I480">
        <v>0.21181206835271699</v>
      </c>
      <c r="J480">
        <v>8.3030172930041807E-2</v>
      </c>
      <c r="K480">
        <v>6.5942094516479796E-2</v>
      </c>
      <c r="L480">
        <v>730.72957155234997</v>
      </c>
      <c r="M480">
        <v>12.6991303154315</v>
      </c>
      <c r="N480">
        <v>57.541721253172</v>
      </c>
      <c r="O480">
        <v>56.170796697382002</v>
      </c>
      <c r="P480">
        <v>-5.6531100882316297E-2</v>
      </c>
      <c r="Q480">
        <v>0</v>
      </c>
      <c r="R480">
        <v>0.98941943843965996</v>
      </c>
      <c r="S480" t="s">
        <v>4312</v>
      </c>
      <c r="T480" t="s">
        <v>7662</v>
      </c>
      <c r="U480" t="s">
        <v>7662</v>
      </c>
      <c r="V480" t="s">
        <v>7662</v>
      </c>
      <c r="W480">
        <v>10</v>
      </c>
      <c r="X480" t="s">
        <v>8142</v>
      </c>
      <c r="Y480">
        <v>0.59961252917233054</v>
      </c>
      <c r="Z480" t="str">
        <f>HYPERLINK("Melting_Curves/meltCurve_sp_P06132_DCUP_HUMAN_.pdf", "Melting_Curves/meltCurve_sp_P06132_DCUP_HUMAN_.pdf")</f>
        <v>Melting_Curves/meltCurve_sp_P06132_DCUP_HUMAN_.pdf</v>
      </c>
      <c r="AA480" t="s">
        <v>11963</v>
      </c>
      <c r="AB480" t="s">
        <v>15721</v>
      </c>
    </row>
    <row r="481" spans="1:28" x14ac:dyDescent="0.25">
      <c r="A481" t="s">
        <v>485</v>
      </c>
      <c r="B481">
        <v>0.98876768158843997</v>
      </c>
      <c r="C481">
        <v>0.95903424817821004</v>
      </c>
      <c r="D481">
        <v>0.81086512183833204</v>
      </c>
      <c r="E481">
        <v>0.51202073784152802</v>
      </c>
      <c r="F481">
        <v>0.32976124081979402</v>
      </c>
      <c r="G481">
        <v>0.19216849160698701</v>
      </c>
      <c r="H481">
        <v>0.121613095377859</v>
      </c>
      <c r="I481">
        <v>0.13208617593532801</v>
      </c>
      <c r="J481">
        <v>0.21991127003411601</v>
      </c>
      <c r="K481">
        <v>0.22231348828369499</v>
      </c>
      <c r="L481">
        <v>992.52470168600996</v>
      </c>
      <c r="M481">
        <v>20.245209444253899</v>
      </c>
      <c r="N481">
        <v>50.022453673321401</v>
      </c>
      <c r="O481">
        <v>48.554361137929803</v>
      </c>
      <c r="P481">
        <v>-8.6933326778731099E-2</v>
      </c>
      <c r="Q481">
        <v>0.166052456981793</v>
      </c>
      <c r="R481">
        <v>0.98915149360346399</v>
      </c>
      <c r="S481" t="s">
        <v>4313</v>
      </c>
      <c r="T481" t="s">
        <v>7662</v>
      </c>
      <c r="U481" t="s">
        <v>7662</v>
      </c>
      <c r="V481" t="s">
        <v>7662</v>
      </c>
      <c r="W481">
        <v>2</v>
      </c>
      <c r="X481" t="s">
        <v>8143</v>
      </c>
      <c r="Y481">
        <v>0.42832950170590078</v>
      </c>
      <c r="Z481" t="str">
        <f>HYPERLINK("Melting_Curves/meltCurve_sp_P06280_AGAL_HUMAN_.pdf", "Melting_Curves/meltCurve_sp_P06280_AGAL_HUMAN_.pdf")</f>
        <v>Melting_Curves/meltCurve_sp_P06280_AGAL_HUMAN_.pdf</v>
      </c>
      <c r="AA481" t="s">
        <v>11964</v>
      </c>
      <c r="AB481" t="s">
        <v>15722</v>
      </c>
    </row>
    <row r="482" spans="1:28" x14ac:dyDescent="0.25">
      <c r="A482" t="s">
        <v>486</v>
      </c>
      <c r="B482">
        <v>0.98876768158843997</v>
      </c>
      <c r="C482">
        <v>0.83592213374596203</v>
      </c>
      <c r="D482">
        <v>0.574672903491387</v>
      </c>
      <c r="E482">
        <v>0.25162741403362099</v>
      </c>
      <c r="F482">
        <v>0.13109450518586399</v>
      </c>
      <c r="G482">
        <v>7.3928069930566803E-2</v>
      </c>
      <c r="H482">
        <v>4.8123033221292799E-2</v>
      </c>
      <c r="I482">
        <v>3.70876539685564E-2</v>
      </c>
      <c r="J482">
        <v>7.1671701535837698E-2</v>
      </c>
      <c r="K482">
        <v>3.9610418516421803E-2</v>
      </c>
      <c r="L482">
        <v>895.91078173283699</v>
      </c>
      <c r="M482">
        <v>19.243397482211201</v>
      </c>
      <c r="N482">
        <v>46.789413069362197</v>
      </c>
      <c r="O482">
        <v>46.062755274622504</v>
      </c>
      <c r="P482">
        <v>-9.9680408083444097E-2</v>
      </c>
      <c r="Q482">
        <v>4.5619520461152703E-2</v>
      </c>
      <c r="R482">
        <v>0.99851070752863202</v>
      </c>
      <c r="S482" t="s">
        <v>4314</v>
      </c>
      <c r="T482" t="s">
        <v>7662</v>
      </c>
      <c r="U482" t="s">
        <v>7662</v>
      </c>
      <c r="V482" t="s">
        <v>7662</v>
      </c>
      <c r="W482">
        <v>18</v>
      </c>
      <c r="X482" t="s">
        <v>8144</v>
      </c>
      <c r="Y482">
        <v>0.26975680741939118</v>
      </c>
      <c r="Z482" t="str">
        <f>HYPERLINK("Melting_Curves/meltCurve_sp_P06576_ATPB_HUMAN_.pdf", "Melting_Curves/meltCurve_sp_P06576_ATPB_HUMAN_.pdf")</f>
        <v>Melting_Curves/meltCurve_sp_P06576_ATPB_HUMAN_.pdf</v>
      </c>
      <c r="AA482" t="s">
        <v>11965</v>
      </c>
      <c r="AB482" t="s">
        <v>15723</v>
      </c>
    </row>
    <row r="483" spans="1:28" x14ac:dyDescent="0.25">
      <c r="A483" t="s">
        <v>487</v>
      </c>
      <c r="B483">
        <v>0.98876768158843997</v>
      </c>
      <c r="C483">
        <v>0.74500625036064605</v>
      </c>
      <c r="D483">
        <v>0.87440747215128101</v>
      </c>
      <c r="E483">
        <v>0.51490631603394799</v>
      </c>
      <c r="F483">
        <v>0.44584593515204701</v>
      </c>
      <c r="G483">
        <v>0.23872108394868499</v>
      </c>
      <c r="H483">
        <v>0.13066071094456899</v>
      </c>
      <c r="I483">
        <v>0.11301333400333299</v>
      </c>
      <c r="J483">
        <v>9.8095827760925597E-2</v>
      </c>
      <c r="K483">
        <v>0.193473318112513</v>
      </c>
      <c r="L483">
        <v>601.20780597556904</v>
      </c>
      <c r="M483">
        <v>11.972515536294001</v>
      </c>
      <c r="N483">
        <v>50.936868224654901</v>
      </c>
      <c r="O483">
        <v>48.876243193306898</v>
      </c>
      <c r="P483">
        <v>-5.6478260161172203E-2</v>
      </c>
      <c r="Q483">
        <v>7.7963573837401198E-2</v>
      </c>
      <c r="R483">
        <v>0.95152047756126901</v>
      </c>
      <c r="S483" t="s">
        <v>4315</v>
      </c>
      <c r="T483" t="s">
        <v>7662</v>
      </c>
      <c r="U483" t="s">
        <v>7662</v>
      </c>
      <c r="V483" t="s">
        <v>7662</v>
      </c>
      <c r="W483">
        <v>7</v>
      </c>
      <c r="X483" t="s">
        <v>8145</v>
      </c>
      <c r="Y483">
        <v>0.42356282717686772</v>
      </c>
      <c r="Z483" t="str">
        <f>HYPERLINK("Melting_Curves/meltCurve_sp_P06702_S10A9_HUMAN_.pdf", "Melting_Curves/meltCurve_sp_P06702_S10A9_HUMAN_.pdf")</f>
        <v>Melting_Curves/meltCurve_sp_P06702_S10A9_HUMAN_.pdf</v>
      </c>
      <c r="AA483" t="s">
        <v>11966</v>
      </c>
      <c r="AB483" t="s">
        <v>15724</v>
      </c>
    </row>
    <row r="484" spans="1:28" x14ac:dyDescent="0.25">
      <c r="A484" t="s">
        <v>488</v>
      </c>
      <c r="B484">
        <v>0.98876768158843997</v>
      </c>
      <c r="C484">
        <v>0.93305090087984199</v>
      </c>
      <c r="D484">
        <v>1.1295875617511899</v>
      </c>
      <c r="E484">
        <v>0.80417488108226098</v>
      </c>
      <c r="F484">
        <v>0.38978542383786002</v>
      </c>
      <c r="G484">
        <v>0.28258929529346299</v>
      </c>
      <c r="H484">
        <v>0.18676770045192401</v>
      </c>
      <c r="I484">
        <v>0.18798806918564701</v>
      </c>
      <c r="J484">
        <v>0.25688571522248699</v>
      </c>
      <c r="K484">
        <v>0.31701925839247602</v>
      </c>
      <c r="L484">
        <v>2290.36082392155</v>
      </c>
      <c r="M484">
        <v>44.691510145027202</v>
      </c>
      <c r="N484">
        <v>52.031466028441002</v>
      </c>
      <c r="O484">
        <v>51.145939485292999</v>
      </c>
      <c r="P484">
        <v>-0.16496361526514799</v>
      </c>
      <c r="Q484">
        <v>0.24484917337066001</v>
      </c>
      <c r="R484">
        <v>0.97128048849791504</v>
      </c>
      <c r="S484" t="s">
        <v>4316</v>
      </c>
      <c r="T484" t="s">
        <v>7662</v>
      </c>
      <c r="U484" t="s">
        <v>7662</v>
      </c>
      <c r="V484" t="s">
        <v>7662</v>
      </c>
      <c r="W484">
        <v>4</v>
      </c>
      <c r="X484" t="s">
        <v>8146</v>
      </c>
      <c r="Y484">
        <v>0.53012563823195391</v>
      </c>
      <c r="Z484" t="str">
        <f>HYPERLINK("Melting_Curves/meltCurve_sp_P06727_APOA4_HUMAN_.pdf", "Melting_Curves/meltCurve_sp_P06727_APOA4_HUMAN_.pdf")</f>
        <v>Melting_Curves/meltCurve_sp_P06727_APOA4_HUMAN_.pdf</v>
      </c>
      <c r="AA484" t="s">
        <v>11967</v>
      </c>
      <c r="AB484" t="s">
        <v>15725</v>
      </c>
    </row>
    <row r="485" spans="1:28" x14ac:dyDescent="0.25">
      <c r="A485" t="s">
        <v>489</v>
      </c>
      <c r="B485">
        <v>0.98876768158843997</v>
      </c>
      <c r="C485">
        <v>1.0672702903562601</v>
      </c>
      <c r="D485">
        <v>0.74235946318974</v>
      </c>
      <c r="E485">
        <v>0.46906064900727401</v>
      </c>
      <c r="F485">
        <v>0.17370023249462599</v>
      </c>
      <c r="G485">
        <v>8.1266475402114804E-2</v>
      </c>
      <c r="H485">
        <v>4.92174484243635E-2</v>
      </c>
      <c r="I485">
        <v>4.7418247243587897E-2</v>
      </c>
      <c r="J485">
        <v>5.3369885859420298E-2</v>
      </c>
      <c r="K485">
        <v>5.3204719721156798E-2</v>
      </c>
      <c r="L485">
        <v>1061.44424029621</v>
      </c>
      <c r="M485">
        <v>21.643796858007502</v>
      </c>
      <c r="N485">
        <v>49.242870194370298</v>
      </c>
      <c r="O485">
        <v>48.628611040977901</v>
      </c>
      <c r="P485">
        <v>-0.10656083239757599</v>
      </c>
      <c r="Q485">
        <v>4.2352536377344603E-2</v>
      </c>
      <c r="R485">
        <v>0.98694104641471603</v>
      </c>
      <c r="S485" t="s">
        <v>4317</v>
      </c>
      <c r="T485" t="s">
        <v>7662</v>
      </c>
      <c r="U485" t="s">
        <v>7662</v>
      </c>
      <c r="V485" t="s">
        <v>7662</v>
      </c>
      <c r="W485">
        <v>6</v>
      </c>
      <c r="X485" t="s">
        <v>8147</v>
      </c>
      <c r="Y485">
        <v>0.34238613064989748</v>
      </c>
      <c r="Z485" t="str">
        <f>HYPERLINK("Melting_Curves/meltCurve_sp_P06730_IF4E_HUMAN_.pdf", "Melting_Curves/meltCurve_sp_P06730_IF4E_HUMAN_.pdf")</f>
        <v>Melting_Curves/meltCurve_sp_P06730_IF4E_HUMAN_.pdf</v>
      </c>
      <c r="AA485" t="s">
        <v>11968</v>
      </c>
      <c r="AB485" t="s">
        <v>15726</v>
      </c>
    </row>
    <row r="486" spans="1:28" x14ac:dyDescent="0.25">
      <c r="A486" t="s">
        <v>490</v>
      </c>
      <c r="B486">
        <v>0.98876768158843997</v>
      </c>
      <c r="C486">
        <v>0.93231437746298096</v>
      </c>
      <c r="D486">
        <v>0.94572795205059201</v>
      </c>
      <c r="E486">
        <v>0.85970898769717496</v>
      </c>
      <c r="F486">
        <v>0.61201973456033598</v>
      </c>
      <c r="G486">
        <v>0.24257001621170099</v>
      </c>
      <c r="H486">
        <v>8.0674963049713E-2</v>
      </c>
      <c r="I486">
        <v>4.4784485760926598E-2</v>
      </c>
      <c r="J486">
        <v>4.79442974716041E-2</v>
      </c>
      <c r="K486">
        <v>3.2974993983973098E-2</v>
      </c>
      <c r="L486">
        <v>1210.1400134069299</v>
      </c>
      <c r="M486">
        <v>22.4479720281231</v>
      </c>
      <c r="N486">
        <v>54.0251974521126</v>
      </c>
      <c r="O486">
        <v>53.486310419649897</v>
      </c>
      <c r="P486">
        <v>-0.10244614598513101</v>
      </c>
      <c r="Q486">
        <v>2.3635005404018201E-2</v>
      </c>
      <c r="R486">
        <v>0.99642195912966802</v>
      </c>
      <c r="S486" t="s">
        <v>4318</v>
      </c>
      <c r="T486" t="s">
        <v>7662</v>
      </c>
      <c r="U486" t="s">
        <v>7662</v>
      </c>
      <c r="V486" t="s">
        <v>7662</v>
      </c>
      <c r="W486">
        <v>29</v>
      </c>
      <c r="X486" t="s">
        <v>8148</v>
      </c>
      <c r="Y486">
        <v>0.48724435626847151</v>
      </c>
      <c r="Z486" t="str">
        <f>HYPERLINK("Melting_Curves/meltCurve_sp_P06733_ENOA_HUMAN_.pdf", "Melting_Curves/meltCurve_sp_P06733_ENOA_HUMAN_.pdf")</f>
        <v>Melting_Curves/meltCurve_sp_P06733_ENOA_HUMAN_.pdf</v>
      </c>
      <c r="AA486" t="s">
        <v>11969</v>
      </c>
      <c r="AB486" t="s">
        <v>15727</v>
      </c>
    </row>
    <row r="487" spans="1:28" x14ac:dyDescent="0.25">
      <c r="A487" t="s">
        <v>491</v>
      </c>
      <c r="B487">
        <v>0.98876768158843997</v>
      </c>
      <c r="C487">
        <v>0.901525594798403</v>
      </c>
      <c r="D487">
        <v>1.03546167545345</v>
      </c>
      <c r="E487">
        <v>0.988541157420876</v>
      </c>
      <c r="F487">
        <v>0.684887696373357</v>
      </c>
      <c r="G487">
        <v>0.36928364138755398</v>
      </c>
      <c r="H487">
        <v>0.100574473510924</v>
      </c>
      <c r="I487">
        <v>5.7496623903380902E-2</v>
      </c>
      <c r="J487">
        <v>5.3209395988112598E-2</v>
      </c>
      <c r="K487">
        <v>4.7551342227661601E-2</v>
      </c>
      <c r="L487">
        <v>1342.21564177194</v>
      </c>
      <c r="M487">
        <v>24.3457021966816</v>
      </c>
      <c r="N487">
        <v>55.297118886757701</v>
      </c>
      <c r="O487">
        <v>54.763606067358999</v>
      </c>
      <c r="P487">
        <v>-0.107233841434969</v>
      </c>
      <c r="Q487">
        <v>3.5160686087993699E-2</v>
      </c>
      <c r="R487">
        <v>0.98861022987303604</v>
      </c>
      <c r="S487" t="s">
        <v>4319</v>
      </c>
      <c r="T487" t="s">
        <v>7662</v>
      </c>
      <c r="U487" t="s">
        <v>7662</v>
      </c>
      <c r="V487" t="s">
        <v>7662</v>
      </c>
      <c r="W487">
        <v>59</v>
      </c>
      <c r="X487" t="s">
        <v>8149</v>
      </c>
      <c r="Y487">
        <v>0.53115024442428027</v>
      </c>
      <c r="Z487" t="str">
        <f>HYPERLINK("Melting_Curves/meltCurve_sp_P06737_2_PYGL_HUMAN_.pdf", "Melting_Curves/meltCurve_sp_P06737_2_PYGL_HUMAN_.pdf")</f>
        <v>Melting_Curves/meltCurve_sp_P06737_2_PYGL_HUMAN_.pdf</v>
      </c>
      <c r="AA487" t="s">
        <v>11970</v>
      </c>
      <c r="AB487" t="s">
        <v>15728</v>
      </c>
    </row>
    <row r="488" spans="1:28" x14ac:dyDescent="0.25">
      <c r="A488" t="s">
        <v>492</v>
      </c>
      <c r="B488">
        <v>0.98876768158843997</v>
      </c>
      <c r="C488">
        <v>0.91682107409151203</v>
      </c>
      <c r="D488">
        <v>0.99966888331814796</v>
      </c>
      <c r="E488">
        <v>1.0220502526664701</v>
      </c>
      <c r="F488">
        <v>0.64906163649401305</v>
      </c>
      <c r="G488">
        <v>0.23085978698635201</v>
      </c>
      <c r="H488">
        <v>4.0976292972250299E-2</v>
      </c>
      <c r="I488">
        <v>2.7963487549379201E-2</v>
      </c>
      <c r="J488">
        <v>3.7781223926801999E-2</v>
      </c>
      <c r="K488">
        <v>2.4920078354684901E-2</v>
      </c>
      <c r="L488">
        <v>1747.9095716090101</v>
      </c>
      <c r="M488">
        <v>32.220699249422402</v>
      </c>
      <c r="N488">
        <v>54.347463567504697</v>
      </c>
      <c r="O488">
        <v>54.040354624192801</v>
      </c>
      <c r="P488">
        <v>-0.14479281631698199</v>
      </c>
      <c r="Q488">
        <v>2.8622389507233802E-2</v>
      </c>
      <c r="R488">
        <v>0.99121362809760205</v>
      </c>
      <c r="S488" t="s">
        <v>4320</v>
      </c>
      <c r="T488" t="s">
        <v>7662</v>
      </c>
      <c r="U488" t="s">
        <v>7662</v>
      </c>
      <c r="V488" t="s">
        <v>7662</v>
      </c>
      <c r="W488">
        <v>30</v>
      </c>
      <c r="X488" t="s">
        <v>8150</v>
      </c>
      <c r="Y488">
        <v>0.49553571702407828</v>
      </c>
      <c r="Z488" t="str">
        <f>HYPERLINK("Melting_Curves/meltCurve_sp_P06744_G6PI_HUMAN_.pdf", "Melting_Curves/meltCurve_sp_P06744_G6PI_HUMAN_.pdf")</f>
        <v>Melting_Curves/meltCurve_sp_P06744_G6PI_HUMAN_.pdf</v>
      </c>
      <c r="AA488" t="s">
        <v>11971</v>
      </c>
      <c r="AB488" t="s">
        <v>15729</v>
      </c>
    </row>
    <row r="489" spans="1:28" x14ac:dyDescent="0.25">
      <c r="A489" t="s">
        <v>493</v>
      </c>
      <c r="B489">
        <v>0.98876768158843997</v>
      </c>
      <c r="C489">
        <v>1.1142024184511099</v>
      </c>
      <c r="D489">
        <v>0.96273298751048497</v>
      </c>
      <c r="E489">
        <v>0.89203347316218495</v>
      </c>
      <c r="F489">
        <v>0.97830416056655101</v>
      </c>
      <c r="G489">
        <v>0.69610825308490798</v>
      </c>
      <c r="H489">
        <v>0.63302548201803399</v>
      </c>
      <c r="I489">
        <v>0.80317920437699697</v>
      </c>
      <c r="J489">
        <v>0.95872101940421595</v>
      </c>
      <c r="K489">
        <v>1.1185456434027801</v>
      </c>
      <c r="L489">
        <v>1414.0237210468499</v>
      </c>
      <c r="M489">
        <v>28.562905836967499</v>
      </c>
      <c r="O489">
        <v>49.2648401703362</v>
      </c>
      <c r="P489">
        <v>-2.07759930453684E-2</v>
      </c>
      <c r="Q489">
        <v>0.85666474152273497</v>
      </c>
      <c r="R489">
        <v>0.21635951004282</v>
      </c>
      <c r="S489" t="s">
        <v>4321</v>
      </c>
      <c r="T489" t="s">
        <v>7662</v>
      </c>
      <c r="U489" t="s">
        <v>7662</v>
      </c>
      <c r="V489" t="s">
        <v>7662</v>
      </c>
      <c r="W489">
        <v>15</v>
      </c>
      <c r="X489" t="s">
        <v>8151</v>
      </c>
      <c r="Y489">
        <v>0.90305306522757889</v>
      </c>
      <c r="Z489" t="str">
        <f>HYPERLINK("Melting_Curves/meltCurve_sp_P06748_NPM_HUMAN_.pdf", "Melting_Curves/meltCurve_sp_P06748_NPM_HUMAN_.pdf")</f>
        <v>Melting_Curves/meltCurve_sp_P06748_NPM_HUMAN_.pdf</v>
      </c>
      <c r="AA489" t="s">
        <v>11972</v>
      </c>
      <c r="AB489" t="s">
        <v>15730</v>
      </c>
    </row>
    <row r="490" spans="1:28" x14ac:dyDescent="0.25">
      <c r="A490" t="s">
        <v>494</v>
      </c>
      <c r="B490">
        <v>0.98876768158843997</v>
      </c>
      <c r="C490">
        <v>1.0718754359487199</v>
      </c>
      <c r="D490">
        <v>0.89410158799306705</v>
      </c>
      <c r="E490">
        <v>0.77577676420200603</v>
      </c>
      <c r="F490">
        <v>0.95536490478897995</v>
      </c>
      <c r="G490">
        <v>0.68624608116146502</v>
      </c>
      <c r="H490">
        <v>0.571768630323781</v>
      </c>
      <c r="I490">
        <v>0.65794990772558404</v>
      </c>
      <c r="J490">
        <v>0.85983695630835899</v>
      </c>
      <c r="K490">
        <v>0.97456125077002698</v>
      </c>
      <c r="L490">
        <v>11502.176531741499</v>
      </c>
      <c r="M490">
        <v>250</v>
      </c>
      <c r="O490">
        <v>46.005761812105298</v>
      </c>
      <c r="P490">
        <v>-0.29470212102062698</v>
      </c>
      <c r="Q490">
        <v>0.78307207059481299</v>
      </c>
      <c r="R490">
        <v>0.39483747185153001</v>
      </c>
      <c r="S490" t="s">
        <v>4322</v>
      </c>
      <c r="T490" t="s">
        <v>7662</v>
      </c>
      <c r="U490" t="s">
        <v>7662</v>
      </c>
      <c r="V490" t="s">
        <v>7662</v>
      </c>
      <c r="W490">
        <v>37</v>
      </c>
      <c r="X490" t="s">
        <v>8152</v>
      </c>
      <c r="Y490">
        <v>0.82653812562995144</v>
      </c>
      <c r="Z490" t="str">
        <f>HYPERLINK("Melting_Curves/meltCurve_sp_P06753_2_TPM3_HUMAN_.pdf", "Melting_Curves/meltCurve_sp_P06753_2_TPM3_HUMAN_.pdf")</f>
        <v>Melting_Curves/meltCurve_sp_P06753_2_TPM3_HUMAN_.pdf</v>
      </c>
      <c r="AA490" t="s">
        <v>11973</v>
      </c>
      <c r="AB490" t="s">
        <v>15731</v>
      </c>
    </row>
    <row r="491" spans="1:28" x14ac:dyDescent="0.25">
      <c r="A491" t="s">
        <v>495</v>
      </c>
      <c r="B491">
        <v>0.98876768158843997</v>
      </c>
      <c r="C491">
        <v>1.2227885312831801</v>
      </c>
      <c r="D491">
        <v>0.95433025519944903</v>
      </c>
      <c r="E491">
        <v>0.68936730018459902</v>
      </c>
      <c r="F491">
        <v>0.78994204512228205</v>
      </c>
      <c r="G491">
        <v>0.57090274929953</v>
      </c>
      <c r="H491">
        <v>0.41483422342284498</v>
      </c>
      <c r="I491">
        <v>0.490691107461941</v>
      </c>
      <c r="J491">
        <v>0.58071176062517804</v>
      </c>
      <c r="K491">
        <v>0.59203484359859804</v>
      </c>
      <c r="L491">
        <v>1053.21540555511</v>
      </c>
      <c r="M491">
        <v>20.7330557640609</v>
      </c>
      <c r="O491">
        <v>50.333363480681101</v>
      </c>
      <c r="P491">
        <v>-4.8865503108975E-2</v>
      </c>
      <c r="Q491">
        <v>0.52549298315843995</v>
      </c>
      <c r="R491">
        <v>0.81904092766839898</v>
      </c>
      <c r="S491" t="s">
        <v>4323</v>
      </c>
      <c r="T491" t="s">
        <v>7662</v>
      </c>
      <c r="U491" t="s">
        <v>7662</v>
      </c>
      <c r="V491" t="s">
        <v>7662</v>
      </c>
      <c r="W491">
        <v>33</v>
      </c>
      <c r="X491" t="s">
        <v>8153</v>
      </c>
      <c r="Y491">
        <v>0.70245246065921541</v>
      </c>
      <c r="Z491" t="str">
        <f>HYPERLINK("Melting_Curves/meltCurve_sp_P06753_5_TPM3_HUMAN_.pdf", "Melting_Curves/meltCurve_sp_P06753_5_TPM3_HUMAN_.pdf")</f>
        <v>Melting_Curves/meltCurve_sp_P06753_5_TPM3_HUMAN_.pdf</v>
      </c>
      <c r="AA491" t="s">
        <v>11973</v>
      </c>
      <c r="AB491" t="s">
        <v>15732</v>
      </c>
    </row>
    <row r="492" spans="1:28" x14ac:dyDescent="0.25">
      <c r="A492" t="s">
        <v>496</v>
      </c>
      <c r="B492">
        <v>0.98876768158843997</v>
      </c>
      <c r="C492">
        <v>0.85588117933272601</v>
      </c>
      <c r="D492">
        <v>1.00311209195559</v>
      </c>
      <c r="E492">
        <v>0.57104186652093103</v>
      </c>
      <c r="F492">
        <v>0.27216634667710898</v>
      </c>
      <c r="G492">
        <v>0.155238952257469</v>
      </c>
      <c r="H492">
        <v>9.4146213152950006E-2</v>
      </c>
      <c r="I492">
        <v>7.3179824096729795E-2</v>
      </c>
      <c r="J492">
        <v>0.100275007808263</v>
      </c>
      <c r="K492">
        <v>7.6909138986977696E-2</v>
      </c>
      <c r="L492">
        <v>1425.3174707860801</v>
      </c>
      <c r="M492">
        <v>28.314374452877999</v>
      </c>
      <c r="N492">
        <v>50.699039505897801</v>
      </c>
      <c r="O492">
        <v>50.089925008155298</v>
      </c>
      <c r="P492">
        <v>-0.12844876784372899</v>
      </c>
      <c r="Q492">
        <v>9.1071555384070094E-2</v>
      </c>
      <c r="R492">
        <v>0.98238958391812103</v>
      </c>
      <c r="S492" t="s">
        <v>4324</v>
      </c>
      <c r="T492" t="s">
        <v>7662</v>
      </c>
      <c r="U492" t="s">
        <v>7662</v>
      </c>
      <c r="V492" t="s">
        <v>7662</v>
      </c>
      <c r="W492">
        <v>16</v>
      </c>
      <c r="X492" t="s">
        <v>8154</v>
      </c>
      <c r="Y492">
        <v>0.41067027315444787</v>
      </c>
      <c r="Z492" t="str">
        <f>HYPERLINK("Melting_Curves/meltCurve_sp_P07099_HYEP_HUMAN_.pdf", "Melting_Curves/meltCurve_sp_P07099_HYEP_HUMAN_.pdf")</f>
        <v>Melting_Curves/meltCurve_sp_P07099_HYEP_HUMAN_.pdf</v>
      </c>
      <c r="AA492" t="s">
        <v>11974</v>
      </c>
      <c r="AB492" t="s">
        <v>15733</v>
      </c>
    </row>
    <row r="493" spans="1:28" x14ac:dyDescent="0.25">
      <c r="A493" t="s">
        <v>497</v>
      </c>
      <c r="B493">
        <v>0.98876768158843997</v>
      </c>
      <c r="C493">
        <v>1.1531496404169099</v>
      </c>
      <c r="D493">
        <v>0.91555914264622895</v>
      </c>
      <c r="E493">
        <v>0.82039292126770502</v>
      </c>
      <c r="F493">
        <v>0.94651743095264596</v>
      </c>
      <c r="G493">
        <v>0.69488063977492798</v>
      </c>
      <c r="H493">
        <v>0.50611624180346504</v>
      </c>
      <c r="I493">
        <v>0.66073911657735995</v>
      </c>
      <c r="J493">
        <v>0.60590197172868099</v>
      </c>
      <c r="K493">
        <v>0.87785056670282702</v>
      </c>
      <c r="L493">
        <v>1129.9325751848801</v>
      </c>
      <c r="M493">
        <v>21.4391187003867</v>
      </c>
      <c r="O493">
        <v>52.252129188394797</v>
      </c>
      <c r="P493">
        <v>-3.4607132865355501E-2</v>
      </c>
      <c r="Q493">
        <v>0.66262575544707902</v>
      </c>
      <c r="R493">
        <v>0.61817705781871501</v>
      </c>
      <c r="S493" t="s">
        <v>4325</v>
      </c>
      <c r="T493" t="s">
        <v>7662</v>
      </c>
      <c r="U493" t="s">
        <v>7662</v>
      </c>
      <c r="V493" t="s">
        <v>7662</v>
      </c>
      <c r="W493">
        <v>12</v>
      </c>
      <c r="X493" t="s">
        <v>8155</v>
      </c>
      <c r="Y493">
        <v>0.80961010642674636</v>
      </c>
      <c r="Z493" t="str">
        <f>HYPERLINK("Melting_Curves/meltCurve_sp_P07108_ACBP_HUMAN_.pdf", "Melting_Curves/meltCurve_sp_P07108_ACBP_HUMAN_.pdf")</f>
        <v>Melting_Curves/meltCurve_sp_P07108_ACBP_HUMAN_.pdf</v>
      </c>
      <c r="AA493" t="s">
        <v>11975</v>
      </c>
      <c r="AB493" t="s">
        <v>15734</v>
      </c>
    </row>
    <row r="494" spans="1:28" x14ac:dyDescent="0.25">
      <c r="A494" t="s">
        <v>498</v>
      </c>
      <c r="B494">
        <v>0.98876768158843997</v>
      </c>
      <c r="C494">
        <v>1.1802337685814901</v>
      </c>
      <c r="D494">
        <v>0.87343628700573805</v>
      </c>
      <c r="E494">
        <v>0.83507209832692697</v>
      </c>
      <c r="F494">
        <v>1.0967520569182201</v>
      </c>
      <c r="G494">
        <v>0.76056547438506705</v>
      </c>
      <c r="H494">
        <v>0.63195213691547103</v>
      </c>
      <c r="I494">
        <v>0.67552937266244395</v>
      </c>
      <c r="J494">
        <v>0.715246126347442</v>
      </c>
      <c r="K494">
        <v>0.81807724728043696</v>
      </c>
      <c r="L494">
        <v>14161.1371205819</v>
      </c>
      <c r="M494">
        <v>250</v>
      </c>
      <c r="O494">
        <v>56.640923718737099</v>
      </c>
      <c r="P494">
        <v>-0.31977628150119097</v>
      </c>
      <c r="Q494">
        <v>0.71020121743054498</v>
      </c>
      <c r="R494">
        <v>0.64632269718688096</v>
      </c>
      <c r="S494" t="s">
        <v>4326</v>
      </c>
      <c r="T494" t="s">
        <v>7662</v>
      </c>
      <c r="U494" t="s">
        <v>7662</v>
      </c>
      <c r="V494" t="s">
        <v>7662</v>
      </c>
      <c r="W494">
        <v>17</v>
      </c>
      <c r="X494" t="s">
        <v>8156</v>
      </c>
      <c r="Y494">
        <v>0.87101568930131057</v>
      </c>
      <c r="Z494" t="str">
        <f>HYPERLINK("Melting_Curves/meltCurve_sp_P07148_FABPL_HUMAN_.pdf", "Melting_Curves/meltCurve_sp_P07148_FABPL_HUMAN_.pdf")</f>
        <v>Melting_Curves/meltCurve_sp_P07148_FABPL_HUMAN_.pdf</v>
      </c>
      <c r="AA494" t="s">
        <v>11976</v>
      </c>
      <c r="AB494" t="s">
        <v>15735</v>
      </c>
    </row>
    <row r="495" spans="1:28" x14ac:dyDescent="0.25">
      <c r="A495" t="s">
        <v>499</v>
      </c>
      <c r="B495">
        <v>0.98876768158843997</v>
      </c>
      <c r="C495">
        <v>0.94442083004687505</v>
      </c>
      <c r="D495">
        <v>1.0374149199620399</v>
      </c>
      <c r="E495">
        <v>1.0555948837886</v>
      </c>
      <c r="F495">
        <v>0.75090790599817303</v>
      </c>
      <c r="G495">
        <v>0.58358627040356703</v>
      </c>
      <c r="H495">
        <v>0.35218908181277098</v>
      </c>
      <c r="I495">
        <v>0.15181083114077901</v>
      </c>
      <c r="J495">
        <v>0.144748999067767</v>
      </c>
      <c r="K495">
        <v>7.8627857141671101E-2</v>
      </c>
      <c r="L495">
        <v>1011.48356235273</v>
      </c>
      <c r="M495">
        <v>17.511239137223999</v>
      </c>
      <c r="N495">
        <v>58.072392571373797</v>
      </c>
      <c r="O495">
        <v>57.024471557999803</v>
      </c>
      <c r="P495">
        <v>-7.3344667207294698E-2</v>
      </c>
      <c r="Q495">
        <v>4.4679624035537803E-2</v>
      </c>
      <c r="R495">
        <v>0.97961427647979105</v>
      </c>
      <c r="S495" t="s">
        <v>4327</v>
      </c>
      <c r="T495" t="s">
        <v>7662</v>
      </c>
      <c r="U495" t="s">
        <v>7662</v>
      </c>
      <c r="V495" t="s">
        <v>7662</v>
      </c>
      <c r="W495">
        <v>10</v>
      </c>
      <c r="X495" t="s">
        <v>8157</v>
      </c>
      <c r="Y495">
        <v>0.62270215115533956</v>
      </c>
      <c r="Z495" t="str">
        <f>HYPERLINK("Melting_Curves/meltCurve_sp_P07195_LDHB_HUMAN_.pdf", "Melting_Curves/meltCurve_sp_P07195_LDHB_HUMAN_.pdf")</f>
        <v>Melting_Curves/meltCurve_sp_P07195_LDHB_HUMAN_.pdf</v>
      </c>
      <c r="AA495" t="s">
        <v>11977</v>
      </c>
      <c r="AB495" t="s">
        <v>15736</v>
      </c>
    </row>
    <row r="496" spans="1:28" x14ac:dyDescent="0.25">
      <c r="A496" t="s">
        <v>500</v>
      </c>
      <c r="B496">
        <v>0.98876768158843997</v>
      </c>
      <c r="C496">
        <v>1.0078505370502699</v>
      </c>
      <c r="D496">
        <v>0.91546579314310195</v>
      </c>
      <c r="E496">
        <v>0.71536688578249497</v>
      </c>
      <c r="F496">
        <v>0.51018374211217499</v>
      </c>
      <c r="G496">
        <v>0.33793015705754398</v>
      </c>
      <c r="H496">
        <v>0.239888902762144</v>
      </c>
      <c r="I496">
        <v>0.238085735286276</v>
      </c>
      <c r="J496">
        <v>0.22073997676453799</v>
      </c>
      <c r="K496">
        <v>0.153086703117642</v>
      </c>
      <c r="L496">
        <v>876.80014966279396</v>
      </c>
      <c r="M496">
        <v>16.901763057047301</v>
      </c>
      <c r="N496">
        <v>53.3157101802867</v>
      </c>
      <c r="O496">
        <v>51.166365092068197</v>
      </c>
      <c r="P496">
        <v>-6.7457836605088306E-2</v>
      </c>
      <c r="Q496">
        <v>0.183196414426048</v>
      </c>
      <c r="R496">
        <v>0.996529511633238</v>
      </c>
      <c r="S496" t="s">
        <v>4328</v>
      </c>
      <c r="T496" t="s">
        <v>7662</v>
      </c>
      <c r="U496" t="s">
        <v>7662</v>
      </c>
      <c r="V496" t="s">
        <v>7662</v>
      </c>
      <c r="W496">
        <v>12</v>
      </c>
      <c r="X496" t="s">
        <v>8158</v>
      </c>
      <c r="Y496">
        <v>0.52169242937057425</v>
      </c>
      <c r="Z496" t="str">
        <f>HYPERLINK("Melting_Curves/meltCurve_sp_P07203_GPX1_HUMAN_.pdf", "Melting_Curves/meltCurve_sp_P07203_GPX1_HUMAN_.pdf")</f>
        <v>Melting_Curves/meltCurve_sp_P07203_GPX1_HUMAN_.pdf</v>
      </c>
      <c r="AA496" t="s">
        <v>11978</v>
      </c>
      <c r="AB496" t="s">
        <v>15737</v>
      </c>
    </row>
    <row r="497" spans="1:28" x14ac:dyDescent="0.25">
      <c r="A497" t="s">
        <v>501</v>
      </c>
      <c r="B497">
        <v>0.98876768158843997</v>
      </c>
      <c r="C497">
        <v>0.98426698386204403</v>
      </c>
      <c r="D497">
        <v>0.913916836148712</v>
      </c>
      <c r="E497">
        <v>0.91065075019015895</v>
      </c>
      <c r="F497">
        <v>0.95022665898875502</v>
      </c>
      <c r="G497">
        <v>0.75781461569532305</v>
      </c>
      <c r="H497">
        <v>0.61202803422224294</v>
      </c>
      <c r="I497">
        <v>0.609628952842307</v>
      </c>
      <c r="J497">
        <v>0.61552578182357498</v>
      </c>
      <c r="K497">
        <v>0.71109112952156195</v>
      </c>
      <c r="L497">
        <v>1808.8545546569101</v>
      </c>
      <c r="M497">
        <v>32.554283896477301</v>
      </c>
      <c r="O497">
        <v>55.355848234551097</v>
      </c>
      <c r="P497">
        <v>-5.39033043532866E-2</v>
      </c>
      <c r="Q497">
        <v>0.63336942429072396</v>
      </c>
      <c r="R497">
        <v>0.90013349525601305</v>
      </c>
      <c r="S497" t="s">
        <v>4329</v>
      </c>
      <c r="T497" t="s">
        <v>7662</v>
      </c>
      <c r="U497" t="s">
        <v>7662</v>
      </c>
      <c r="V497" t="s">
        <v>7662</v>
      </c>
      <c r="W497">
        <v>44</v>
      </c>
      <c r="X497" t="s">
        <v>8159</v>
      </c>
      <c r="Y497">
        <v>0.82567311786361286</v>
      </c>
      <c r="Z497" t="str">
        <f>HYPERLINK("Melting_Curves/meltCurve_sp_P07237_PDIA1_HUMAN_.pdf", "Melting_Curves/meltCurve_sp_P07237_PDIA1_HUMAN_.pdf")</f>
        <v>Melting_Curves/meltCurve_sp_P07237_PDIA1_HUMAN_.pdf</v>
      </c>
      <c r="AA497" t="s">
        <v>11979</v>
      </c>
      <c r="AB497" t="s">
        <v>15738</v>
      </c>
    </row>
    <row r="498" spans="1:28" x14ac:dyDescent="0.25">
      <c r="A498" t="s">
        <v>502</v>
      </c>
      <c r="B498">
        <v>0.98876768158843997</v>
      </c>
      <c r="C498">
        <v>0.80876095829105499</v>
      </c>
      <c r="D498">
        <v>0.89902182165733402</v>
      </c>
      <c r="E498">
        <v>0.69692596722876698</v>
      </c>
      <c r="F498">
        <v>0.48616458192847301</v>
      </c>
      <c r="G498">
        <v>0.33419746784291798</v>
      </c>
      <c r="H498">
        <v>0.26877208666055402</v>
      </c>
      <c r="I498">
        <v>0.33918115588436598</v>
      </c>
      <c r="J498">
        <v>0.391325664510208</v>
      </c>
      <c r="K498">
        <v>0.53653061730321705</v>
      </c>
      <c r="L498">
        <v>985.949154727679</v>
      </c>
      <c r="M498">
        <v>19.956088881990599</v>
      </c>
      <c r="N498">
        <v>52.881999194536199</v>
      </c>
      <c r="O498">
        <v>48.917863823291697</v>
      </c>
      <c r="P498">
        <v>-6.4730936063125105E-2</v>
      </c>
      <c r="Q498">
        <v>0.36532775148073798</v>
      </c>
      <c r="R498">
        <v>0.870714170004666</v>
      </c>
      <c r="S498" t="s">
        <v>4330</v>
      </c>
      <c r="T498" t="s">
        <v>7662</v>
      </c>
      <c r="U498" t="s">
        <v>7662</v>
      </c>
      <c r="V498" t="s">
        <v>7662</v>
      </c>
      <c r="W498">
        <v>3</v>
      </c>
      <c r="X498" t="s">
        <v>8160</v>
      </c>
      <c r="Y498">
        <v>0.57321822086066032</v>
      </c>
      <c r="Z498" t="str">
        <f>HYPERLINK("Melting_Curves/meltCurve_sp_P07305_2_H10_HUMAN_.pdf", "Melting_Curves/meltCurve_sp_P07305_2_H10_HUMAN_.pdf")</f>
        <v>Melting_Curves/meltCurve_sp_P07305_2_H10_HUMAN_.pdf</v>
      </c>
      <c r="AA498" t="s">
        <v>11980</v>
      </c>
      <c r="AB498" t="s">
        <v>15739</v>
      </c>
    </row>
    <row r="499" spans="1:28" x14ac:dyDescent="0.25">
      <c r="A499" t="s">
        <v>503</v>
      </c>
      <c r="B499">
        <v>0.98876768158843997</v>
      </c>
      <c r="C499">
        <v>0.83801682851854198</v>
      </c>
      <c r="D499">
        <v>0.98659387050387304</v>
      </c>
      <c r="E499">
        <v>0.41627391991950102</v>
      </c>
      <c r="F499">
        <v>0.37819942189060302</v>
      </c>
      <c r="G499">
        <v>0.25296540349553998</v>
      </c>
      <c r="H499">
        <v>0.20970607682351999</v>
      </c>
      <c r="I499">
        <v>0.21039161000246201</v>
      </c>
      <c r="J499">
        <v>0.27566058515382302</v>
      </c>
      <c r="K499">
        <v>0.24705489416208601</v>
      </c>
      <c r="L499">
        <v>2048.3235307662799</v>
      </c>
      <c r="M499">
        <v>42.028071101707198</v>
      </c>
      <c r="N499">
        <v>49.574508418689199</v>
      </c>
      <c r="O499">
        <v>48.627085094863197</v>
      </c>
      <c r="P499">
        <v>-0.16115290007881999</v>
      </c>
      <c r="Q499">
        <v>0.25417639384280599</v>
      </c>
      <c r="R499">
        <v>0.95518011234169498</v>
      </c>
      <c r="S499" t="s">
        <v>4331</v>
      </c>
      <c r="T499" t="s">
        <v>7662</v>
      </c>
      <c r="U499" t="s">
        <v>7662</v>
      </c>
      <c r="V499" t="s">
        <v>7662</v>
      </c>
      <c r="W499">
        <v>1</v>
      </c>
      <c r="X499" t="s">
        <v>8161</v>
      </c>
      <c r="Y499">
        <v>0.47366235344326207</v>
      </c>
      <c r="Z499" t="str">
        <f>HYPERLINK("Melting_Curves/meltCurve_sp_P07307_3_ASGR2_HUMAN_.pdf", "Melting_Curves/meltCurve_sp_P07307_3_ASGR2_HUMAN_.pdf")</f>
        <v>Melting_Curves/meltCurve_sp_P07307_3_ASGR2_HUMAN_.pdf</v>
      </c>
      <c r="AA499" t="s">
        <v>11981</v>
      </c>
      <c r="AB499" t="s">
        <v>15740</v>
      </c>
    </row>
    <row r="500" spans="1:28" x14ac:dyDescent="0.25">
      <c r="A500" t="s">
        <v>504</v>
      </c>
      <c r="B500">
        <v>0.98876768158843997</v>
      </c>
      <c r="C500">
        <v>0.96616909936353601</v>
      </c>
      <c r="D500">
        <v>0.79529648259751695</v>
      </c>
      <c r="E500">
        <v>0.61435722130905501</v>
      </c>
      <c r="F500">
        <v>0.762413726435474</v>
      </c>
      <c r="G500">
        <v>0.52724816556992704</v>
      </c>
      <c r="H500">
        <v>0.34754952144595103</v>
      </c>
      <c r="I500">
        <v>0.29922592195477699</v>
      </c>
      <c r="J500">
        <v>0.38288897744410599</v>
      </c>
      <c r="K500">
        <v>0.37741048293794799</v>
      </c>
      <c r="L500">
        <v>497.591532759914</v>
      </c>
      <c r="M500">
        <v>9.4880571817254005</v>
      </c>
      <c r="N500">
        <v>57.030750004141403</v>
      </c>
      <c r="O500">
        <v>50.272814963669397</v>
      </c>
      <c r="P500">
        <v>-3.4610868423555603E-2</v>
      </c>
      <c r="Q500">
        <v>0.26688795987455399</v>
      </c>
      <c r="R500">
        <v>0.91205349273842395</v>
      </c>
      <c r="S500" t="s">
        <v>4332</v>
      </c>
      <c r="T500" t="s">
        <v>7662</v>
      </c>
      <c r="U500" t="s">
        <v>7662</v>
      </c>
      <c r="V500" t="s">
        <v>7662</v>
      </c>
      <c r="W500">
        <v>1</v>
      </c>
      <c r="X500" t="s">
        <v>8162</v>
      </c>
      <c r="Y500">
        <v>0.59901375127807144</v>
      </c>
      <c r="Z500" t="str">
        <f>HYPERLINK("Melting_Curves/meltCurve_sp_P07311_ACYP1_HUMAN_.pdf", "Melting_Curves/meltCurve_sp_P07311_ACYP1_HUMAN_.pdf")</f>
        <v>Melting_Curves/meltCurve_sp_P07311_ACYP1_HUMAN_.pdf</v>
      </c>
      <c r="AA500" t="s">
        <v>11982</v>
      </c>
      <c r="AB500" t="s">
        <v>15741</v>
      </c>
    </row>
    <row r="501" spans="1:28" x14ac:dyDescent="0.25">
      <c r="A501" t="s">
        <v>505</v>
      </c>
      <c r="B501">
        <v>0.98876768158843997</v>
      </c>
      <c r="C501">
        <v>0.93150393298435397</v>
      </c>
      <c r="D501">
        <v>0.88098755151039598</v>
      </c>
      <c r="E501">
        <v>0.83644428117759495</v>
      </c>
      <c r="F501">
        <v>0.82749672193791801</v>
      </c>
      <c r="G501">
        <v>0.58334705880249205</v>
      </c>
      <c r="H501">
        <v>0.39666807714153601</v>
      </c>
      <c r="I501">
        <v>0.35856900541324899</v>
      </c>
      <c r="J501">
        <v>0.19529567289924199</v>
      </c>
      <c r="K501">
        <v>0.14912044110935799</v>
      </c>
      <c r="L501">
        <v>600.01123593603495</v>
      </c>
      <c r="M501">
        <v>10.1685116608746</v>
      </c>
      <c r="N501">
        <v>59.006781409098302</v>
      </c>
      <c r="O501">
        <v>56.861146663360202</v>
      </c>
      <c r="P501">
        <v>-4.4728042580450197E-2</v>
      </c>
      <c r="Q501">
        <v>0</v>
      </c>
      <c r="R501">
        <v>0.982524728277132</v>
      </c>
      <c r="S501" t="s">
        <v>4333</v>
      </c>
      <c r="T501" t="s">
        <v>7662</v>
      </c>
      <c r="U501" t="s">
        <v>7662</v>
      </c>
      <c r="V501" t="s">
        <v>7662</v>
      </c>
      <c r="W501">
        <v>29</v>
      </c>
      <c r="X501" t="s">
        <v>8163</v>
      </c>
      <c r="Y501">
        <v>0.63737026099306882</v>
      </c>
      <c r="Z501" t="str">
        <f>HYPERLINK("Melting_Curves/meltCurve_sp_P07327_ADH1A_HUMAN_.pdf", "Melting_Curves/meltCurve_sp_P07327_ADH1A_HUMAN_.pdf")</f>
        <v>Melting_Curves/meltCurve_sp_P07327_ADH1A_HUMAN_.pdf</v>
      </c>
      <c r="AA501" t="s">
        <v>11983</v>
      </c>
      <c r="AB501" t="s">
        <v>15742</v>
      </c>
    </row>
    <row r="502" spans="1:28" x14ac:dyDescent="0.25">
      <c r="A502" t="s">
        <v>506</v>
      </c>
      <c r="B502">
        <v>0.98876768158843997</v>
      </c>
      <c r="C502">
        <v>0.83296828815800505</v>
      </c>
      <c r="D502">
        <v>0.73655476811268905</v>
      </c>
      <c r="E502">
        <v>0.48182637767492098</v>
      </c>
      <c r="F502">
        <v>0.23600303891716601</v>
      </c>
      <c r="G502">
        <v>0.104239550173528</v>
      </c>
      <c r="H502">
        <v>5.91407711655157E-2</v>
      </c>
      <c r="I502">
        <v>7.0857929296287606E-2</v>
      </c>
      <c r="J502">
        <v>7.2819564113921195E-2</v>
      </c>
      <c r="K502">
        <v>5.6917414978058502E-2</v>
      </c>
      <c r="L502">
        <v>731.43873767456296</v>
      </c>
      <c r="M502">
        <v>14.9681422798804</v>
      </c>
      <c r="N502">
        <v>49.094082203930597</v>
      </c>
      <c r="O502">
        <v>48.019008091336097</v>
      </c>
      <c r="P502">
        <v>-7.5322448053964194E-2</v>
      </c>
      <c r="Q502">
        <v>3.3536021976057498E-2</v>
      </c>
      <c r="R502">
        <v>0.992304480121738</v>
      </c>
      <c r="S502" t="s">
        <v>4334</v>
      </c>
      <c r="T502" t="s">
        <v>7662</v>
      </c>
      <c r="U502" t="s">
        <v>7662</v>
      </c>
      <c r="V502" t="s">
        <v>7662</v>
      </c>
      <c r="W502">
        <v>3</v>
      </c>
      <c r="X502" t="s">
        <v>8164</v>
      </c>
      <c r="Y502">
        <v>0.34324041055663962</v>
      </c>
      <c r="Z502" t="str">
        <f>HYPERLINK("Melting_Curves/meltCurve_sp_P07357_CO8A_HUMAN_.pdf", "Melting_Curves/meltCurve_sp_P07357_CO8A_HUMAN_.pdf")</f>
        <v>Melting_Curves/meltCurve_sp_P07357_CO8A_HUMAN_.pdf</v>
      </c>
      <c r="AA502" t="s">
        <v>11984</v>
      </c>
      <c r="AB502" t="s">
        <v>15743</v>
      </c>
    </row>
    <row r="503" spans="1:28" x14ac:dyDescent="0.25">
      <c r="A503" t="s">
        <v>507</v>
      </c>
      <c r="B503">
        <v>0.98876768158843997</v>
      </c>
      <c r="C503">
        <v>1.00609841552298</v>
      </c>
      <c r="D503">
        <v>0.92143406361555502</v>
      </c>
      <c r="E503">
        <v>0.81856779762472598</v>
      </c>
      <c r="F503">
        <v>0.42471188160726697</v>
      </c>
      <c r="G503">
        <v>0.259715904128553</v>
      </c>
      <c r="H503">
        <v>0.13827966705351499</v>
      </c>
      <c r="I503">
        <v>0.119829901547938</v>
      </c>
      <c r="J503">
        <v>0.13236239124181601</v>
      </c>
      <c r="K503">
        <v>0.13824306599581301</v>
      </c>
      <c r="L503">
        <v>1363.8675850720001</v>
      </c>
      <c r="M503">
        <v>26.204457922618101</v>
      </c>
      <c r="N503">
        <v>52.662029714055002</v>
      </c>
      <c r="O503">
        <v>51.746886001599101</v>
      </c>
      <c r="P503">
        <v>-0.10991577476985601</v>
      </c>
      <c r="Q503">
        <v>0.131791148927556</v>
      </c>
      <c r="R503">
        <v>0.99357271431084104</v>
      </c>
      <c r="S503" t="s">
        <v>4335</v>
      </c>
      <c r="T503" t="s">
        <v>7662</v>
      </c>
      <c r="U503" t="s">
        <v>7662</v>
      </c>
      <c r="V503" t="s">
        <v>7662</v>
      </c>
      <c r="W503">
        <v>1</v>
      </c>
      <c r="X503" t="s">
        <v>8165</v>
      </c>
      <c r="Y503">
        <v>0.4876797496718232</v>
      </c>
      <c r="Z503" t="str">
        <f>HYPERLINK("Melting_Curves/meltCurve_sp_P07360_CO8G_HUMAN_.pdf", "Melting_Curves/meltCurve_sp_P07360_CO8G_HUMAN_.pdf")</f>
        <v>Melting_Curves/meltCurve_sp_P07360_CO8G_HUMAN_.pdf</v>
      </c>
      <c r="AA503" t="s">
        <v>11985</v>
      </c>
      <c r="AB503" t="s">
        <v>15744</v>
      </c>
    </row>
    <row r="504" spans="1:28" x14ac:dyDescent="0.25">
      <c r="A504" t="s">
        <v>508</v>
      </c>
      <c r="B504">
        <v>0.98876768158843997</v>
      </c>
      <c r="C504">
        <v>0.94798006693952597</v>
      </c>
      <c r="D504">
        <v>0.98499865313988999</v>
      </c>
      <c r="E504">
        <v>0.73046535385613198</v>
      </c>
      <c r="F504">
        <v>0.62526379762051498</v>
      </c>
      <c r="G504">
        <v>0.45597659375835897</v>
      </c>
      <c r="H504">
        <v>0.34094544474433203</v>
      </c>
      <c r="I504">
        <v>0.292434959275096</v>
      </c>
      <c r="J504">
        <v>0.18431075258568999</v>
      </c>
      <c r="K504">
        <v>6.3199537865419805E-2</v>
      </c>
      <c r="L504">
        <v>551.61757290951596</v>
      </c>
      <c r="M504">
        <v>9.7962822880359006</v>
      </c>
      <c r="N504">
        <v>56.308891385456803</v>
      </c>
      <c r="O504">
        <v>54.112882388471597</v>
      </c>
      <c r="P504">
        <v>-4.5282362928615601E-2</v>
      </c>
      <c r="Q504">
        <v>0</v>
      </c>
      <c r="R504">
        <v>0.983033852245497</v>
      </c>
      <c r="S504" t="s">
        <v>4336</v>
      </c>
      <c r="T504" t="s">
        <v>7662</v>
      </c>
      <c r="U504" t="s">
        <v>7662</v>
      </c>
      <c r="V504" t="s">
        <v>7662</v>
      </c>
      <c r="W504">
        <v>18</v>
      </c>
      <c r="X504" t="s">
        <v>8166</v>
      </c>
      <c r="Y504">
        <v>0.56306851124288038</v>
      </c>
      <c r="Z504" t="str">
        <f>HYPERLINK("Melting_Curves/meltCurve_sp_P07384_CAN1_HUMAN_.pdf", "Melting_Curves/meltCurve_sp_P07384_CAN1_HUMAN_.pdf")</f>
        <v>Melting_Curves/meltCurve_sp_P07384_CAN1_HUMAN_.pdf</v>
      </c>
      <c r="AA504" t="s">
        <v>11986</v>
      </c>
      <c r="AB504" t="s">
        <v>15745</v>
      </c>
    </row>
    <row r="505" spans="1:28" x14ac:dyDescent="0.25">
      <c r="A505" t="s">
        <v>509</v>
      </c>
      <c r="B505">
        <v>0.98876768158843997</v>
      </c>
      <c r="C505">
        <v>1.2814556271886599</v>
      </c>
      <c r="D505">
        <v>0.82734695265453195</v>
      </c>
      <c r="E505">
        <v>0.91269115634743403</v>
      </c>
      <c r="F505">
        <v>1.2928152092577301</v>
      </c>
      <c r="G505">
        <v>0.987354564045967</v>
      </c>
      <c r="H505">
        <v>0.90752200596266197</v>
      </c>
      <c r="I505">
        <v>1.3462002319550901</v>
      </c>
      <c r="J505">
        <v>1.91160838431226</v>
      </c>
      <c r="K505">
        <v>3.3882253477553599</v>
      </c>
      <c r="L505">
        <v>15000</v>
      </c>
      <c r="M505">
        <v>235.18649851670099</v>
      </c>
      <c r="O505">
        <v>63.774559760792997</v>
      </c>
      <c r="P505">
        <v>0.46097240823443297</v>
      </c>
      <c r="Q505">
        <v>1.5</v>
      </c>
      <c r="R505">
        <v>0.26763701880360402</v>
      </c>
      <c r="S505" t="s">
        <v>4337</v>
      </c>
      <c r="T505" t="s">
        <v>7662</v>
      </c>
      <c r="U505" t="s">
        <v>7662</v>
      </c>
      <c r="V505" t="s">
        <v>7662</v>
      </c>
      <c r="W505">
        <v>2</v>
      </c>
      <c r="X505" t="s">
        <v>8167</v>
      </c>
      <c r="Y505">
        <v>1.103617236950394</v>
      </c>
      <c r="Z505" t="str">
        <f>HYPERLINK("Melting_Curves/meltCurve_sp_P07438_MT1B_HUMAN_.pdf", "Melting_Curves/meltCurve_sp_P07438_MT1B_HUMAN_.pdf")</f>
        <v>Melting_Curves/meltCurve_sp_P07438_MT1B_HUMAN_.pdf</v>
      </c>
      <c r="AA505" t="s">
        <v>11987</v>
      </c>
      <c r="AB505" t="s">
        <v>15746</v>
      </c>
    </row>
    <row r="506" spans="1:28" x14ac:dyDescent="0.25">
      <c r="A506" t="s">
        <v>510</v>
      </c>
      <c r="B506">
        <v>0.98876768158843997</v>
      </c>
      <c r="C506">
        <v>1.16944072686058</v>
      </c>
      <c r="D506">
        <v>0.88376824090628903</v>
      </c>
      <c r="E506">
        <v>0.81834806235273805</v>
      </c>
      <c r="F506">
        <v>0.99172732917735795</v>
      </c>
      <c r="G506">
        <v>0.71298699949535005</v>
      </c>
      <c r="H506">
        <v>0.53302105714735903</v>
      </c>
      <c r="I506">
        <v>0.63177984097335205</v>
      </c>
      <c r="J506">
        <v>0.65172909062680895</v>
      </c>
      <c r="K506">
        <v>0.86758153054180198</v>
      </c>
      <c r="L506">
        <v>4755.2741498074402</v>
      </c>
      <c r="M506">
        <v>85.391959738903395</v>
      </c>
      <c r="O506">
        <v>55.657089782708802</v>
      </c>
      <c r="P506">
        <v>-0.12608598832173701</v>
      </c>
      <c r="Q506">
        <v>0.67127685147260696</v>
      </c>
      <c r="R506">
        <v>0.60724148731059502</v>
      </c>
      <c r="S506" t="s">
        <v>4338</v>
      </c>
      <c r="T506" t="s">
        <v>7662</v>
      </c>
      <c r="U506" t="s">
        <v>7662</v>
      </c>
      <c r="V506" t="s">
        <v>7662</v>
      </c>
      <c r="W506">
        <v>15</v>
      </c>
      <c r="X506" t="s">
        <v>8168</v>
      </c>
      <c r="Y506">
        <v>0.84344869710037185</v>
      </c>
      <c r="Z506" t="str">
        <f>HYPERLINK("Melting_Curves/meltCurve_sp_P07602_SAP_HUMAN_.pdf", "Melting_Curves/meltCurve_sp_P07602_SAP_HUMAN_.pdf")</f>
        <v>Melting_Curves/meltCurve_sp_P07602_SAP_HUMAN_.pdf</v>
      </c>
      <c r="AA506" t="s">
        <v>11988</v>
      </c>
      <c r="AB506" t="s">
        <v>15747</v>
      </c>
    </row>
    <row r="507" spans="1:28" x14ac:dyDescent="0.25">
      <c r="A507" t="s">
        <v>511</v>
      </c>
      <c r="B507">
        <v>0.98876768158843997</v>
      </c>
      <c r="C507">
        <v>0.92172069321416095</v>
      </c>
      <c r="D507">
        <v>0.95384882393102</v>
      </c>
      <c r="E507">
        <v>0.89537324474569302</v>
      </c>
      <c r="F507">
        <v>0.65721639216691197</v>
      </c>
      <c r="G507">
        <v>0.36256801635025698</v>
      </c>
      <c r="H507">
        <v>0.123742094470119</v>
      </c>
      <c r="I507">
        <v>4.5577276423068303E-2</v>
      </c>
      <c r="J507">
        <v>3.8871121503332197E-2</v>
      </c>
      <c r="K507">
        <v>3.8151133982181999E-2</v>
      </c>
      <c r="L507">
        <v>1048.88025711504</v>
      </c>
      <c r="M507">
        <v>19.0634193538563</v>
      </c>
      <c r="N507">
        <v>55.038786731063503</v>
      </c>
      <c r="O507">
        <v>54.425857229850003</v>
      </c>
      <c r="P507">
        <v>-8.7294073600149694E-2</v>
      </c>
      <c r="Q507">
        <v>3.14467258178234E-3</v>
      </c>
      <c r="R507">
        <v>0.99477230562434404</v>
      </c>
      <c r="S507" t="s">
        <v>4339</v>
      </c>
      <c r="T507" t="s">
        <v>7662</v>
      </c>
      <c r="U507" t="s">
        <v>7662</v>
      </c>
      <c r="V507" t="s">
        <v>7662</v>
      </c>
      <c r="W507">
        <v>17</v>
      </c>
      <c r="X507" t="s">
        <v>8169</v>
      </c>
      <c r="Y507">
        <v>0.51648495303913577</v>
      </c>
      <c r="Z507" t="str">
        <f>HYPERLINK("Melting_Curves/meltCurve_sp_P07686_HEXB_HUMAN_.pdf", "Melting_Curves/meltCurve_sp_P07686_HEXB_HUMAN_.pdf")</f>
        <v>Melting_Curves/meltCurve_sp_P07686_HEXB_HUMAN_.pdf</v>
      </c>
      <c r="AA507" t="s">
        <v>11989</v>
      </c>
      <c r="AB507" t="s">
        <v>15748</v>
      </c>
    </row>
    <row r="508" spans="1:28" x14ac:dyDescent="0.25">
      <c r="A508" t="s">
        <v>512</v>
      </c>
      <c r="B508">
        <v>0.98876768158843997</v>
      </c>
      <c r="C508">
        <v>1.16478674181491</v>
      </c>
      <c r="D508">
        <v>0.90979940348073196</v>
      </c>
      <c r="E508">
        <v>0.85687517744264796</v>
      </c>
      <c r="F508">
        <v>1.06012794157587</v>
      </c>
      <c r="G508">
        <v>0.62170237004768802</v>
      </c>
      <c r="H508">
        <v>0.34883213447071099</v>
      </c>
      <c r="I508">
        <v>0.29027734184121401</v>
      </c>
      <c r="J508">
        <v>0.255088831829966</v>
      </c>
      <c r="K508">
        <v>0.406007979798852</v>
      </c>
      <c r="L508">
        <v>8970.7010373033609</v>
      </c>
      <c r="M508">
        <v>157.62380055861399</v>
      </c>
      <c r="N508">
        <v>57.293784104188099</v>
      </c>
      <c r="O508">
        <v>56.9029144912977</v>
      </c>
      <c r="P508">
        <v>-0.46741318364158702</v>
      </c>
      <c r="Q508">
        <v>0.32504653268315398</v>
      </c>
      <c r="R508">
        <v>0.93255251913766102</v>
      </c>
      <c r="S508" t="s">
        <v>4340</v>
      </c>
      <c r="T508" t="s">
        <v>7662</v>
      </c>
      <c r="U508" t="s">
        <v>7662</v>
      </c>
      <c r="V508" t="s">
        <v>7662</v>
      </c>
      <c r="W508">
        <v>4</v>
      </c>
      <c r="X508" t="s">
        <v>8170</v>
      </c>
      <c r="Y508">
        <v>0.70571212666838101</v>
      </c>
      <c r="Z508" t="str">
        <f>HYPERLINK("Melting_Curves/meltCurve_sp_P07711_CATL1_HUMAN_.pdf", "Melting_Curves/meltCurve_sp_P07711_CATL1_HUMAN_.pdf")</f>
        <v>Melting_Curves/meltCurve_sp_P07711_CATL1_HUMAN_.pdf</v>
      </c>
      <c r="AA508" t="s">
        <v>11990</v>
      </c>
      <c r="AB508" t="s">
        <v>15749</v>
      </c>
    </row>
    <row r="509" spans="1:28" x14ac:dyDescent="0.25">
      <c r="A509" t="s">
        <v>513</v>
      </c>
      <c r="B509">
        <v>0.98876768158843997</v>
      </c>
      <c r="C509">
        <v>1.0954791395954799</v>
      </c>
      <c r="D509">
        <v>0.89373497272229496</v>
      </c>
      <c r="E509">
        <v>0.78327168324914598</v>
      </c>
      <c r="F509">
        <v>0.82328152848270597</v>
      </c>
      <c r="G509">
        <v>0.20352802130425601</v>
      </c>
      <c r="H509">
        <v>6.8426997949407001E-2</v>
      </c>
      <c r="I509">
        <v>5.7924266364658E-2</v>
      </c>
      <c r="J509">
        <v>6.4518018755664805E-2</v>
      </c>
      <c r="K509">
        <v>8.1991069270349895E-2</v>
      </c>
      <c r="L509">
        <v>1855.9061066034701</v>
      </c>
      <c r="M509">
        <v>33.9711856026424</v>
      </c>
      <c r="N509">
        <v>54.818927024710298</v>
      </c>
      <c r="O509">
        <v>54.443501473932201</v>
      </c>
      <c r="P509">
        <v>-0.14745235038674001</v>
      </c>
      <c r="Q509">
        <v>5.4752989014637501E-2</v>
      </c>
      <c r="R509">
        <v>0.96668223426286803</v>
      </c>
      <c r="S509" t="s">
        <v>4341</v>
      </c>
      <c r="T509" t="s">
        <v>7662</v>
      </c>
      <c r="U509" t="s">
        <v>7662</v>
      </c>
      <c r="V509" t="s">
        <v>7662</v>
      </c>
      <c r="W509">
        <v>15</v>
      </c>
      <c r="X509" t="s">
        <v>8171</v>
      </c>
      <c r="Y509">
        <v>0.52068990410243499</v>
      </c>
      <c r="Z509" t="str">
        <f>HYPERLINK("Melting_Curves/meltCurve_sp_P07737_PROF1_HUMAN_.pdf", "Melting_Curves/meltCurve_sp_P07737_PROF1_HUMAN_.pdf")</f>
        <v>Melting_Curves/meltCurve_sp_P07737_PROF1_HUMAN_.pdf</v>
      </c>
      <c r="AA509" t="s">
        <v>11991</v>
      </c>
      <c r="AB509" t="s">
        <v>15750</v>
      </c>
    </row>
    <row r="510" spans="1:28" x14ac:dyDescent="0.25">
      <c r="A510" t="s">
        <v>514</v>
      </c>
      <c r="B510">
        <v>0.98876768158843997</v>
      </c>
      <c r="C510">
        <v>1.0077989494228701</v>
      </c>
      <c r="D510">
        <v>0.78139589510193597</v>
      </c>
      <c r="E510">
        <v>0.674522820492516</v>
      </c>
      <c r="F510">
        <v>0.275674019354682</v>
      </c>
      <c r="G510">
        <v>0.15401341756341699</v>
      </c>
      <c r="H510">
        <v>0.12661692854951201</v>
      </c>
      <c r="I510">
        <v>9.4669657414589201E-2</v>
      </c>
      <c r="J510">
        <v>0.13606609308891099</v>
      </c>
      <c r="K510">
        <v>0.116111179701668</v>
      </c>
      <c r="L510">
        <v>1019.35825936987</v>
      </c>
      <c r="M510">
        <v>20.259181967966899</v>
      </c>
      <c r="N510">
        <v>50.869647575216803</v>
      </c>
      <c r="O510">
        <v>49.833316442516399</v>
      </c>
      <c r="P510">
        <v>-9.1579795723507607E-2</v>
      </c>
      <c r="Q510">
        <v>9.8959909040687702E-2</v>
      </c>
      <c r="R510">
        <v>0.97997728931644901</v>
      </c>
      <c r="S510" t="s">
        <v>4342</v>
      </c>
      <c r="T510" t="s">
        <v>7662</v>
      </c>
      <c r="U510" t="s">
        <v>7662</v>
      </c>
      <c r="V510" t="s">
        <v>7662</v>
      </c>
      <c r="W510">
        <v>3</v>
      </c>
      <c r="X510" t="s">
        <v>8172</v>
      </c>
      <c r="Y510">
        <v>0.4210163859471141</v>
      </c>
      <c r="Z510" t="str">
        <f>HYPERLINK("Melting_Curves/meltCurve_sp_P07738_PMGE_HUMAN_.pdf", "Melting_Curves/meltCurve_sp_P07738_PMGE_HUMAN_.pdf")</f>
        <v>Melting_Curves/meltCurve_sp_P07738_PMGE_HUMAN_.pdf</v>
      </c>
      <c r="AA510" t="s">
        <v>11992</v>
      </c>
      <c r="AB510" t="s">
        <v>15751</v>
      </c>
    </row>
    <row r="511" spans="1:28" x14ac:dyDescent="0.25">
      <c r="A511" t="s">
        <v>515</v>
      </c>
      <c r="B511">
        <v>0.98876768158843997</v>
      </c>
      <c r="C511">
        <v>0.40213965425751502</v>
      </c>
      <c r="D511">
        <v>1.1468079667101501</v>
      </c>
      <c r="E511">
        <v>0.59649902217283302</v>
      </c>
      <c r="F511">
        <v>0.47644628374049403</v>
      </c>
      <c r="G511">
        <v>0.235352307288167</v>
      </c>
      <c r="H511">
        <v>5.2849901854045797E-2</v>
      </c>
      <c r="I511">
        <v>2.5779513197481799E-2</v>
      </c>
      <c r="J511">
        <v>4.4455089004227698E-2</v>
      </c>
      <c r="K511">
        <v>2.30248736542377E-2</v>
      </c>
      <c r="L511">
        <v>712.21089235918805</v>
      </c>
      <c r="M511">
        <v>13.6898427452213</v>
      </c>
      <c r="N511">
        <v>52.024755718156101</v>
      </c>
      <c r="O511">
        <v>50.952331944954402</v>
      </c>
      <c r="P511">
        <v>-6.7179554831439003E-2</v>
      </c>
      <c r="Q511">
        <v>0</v>
      </c>
      <c r="R511">
        <v>0.73977026616172303</v>
      </c>
      <c r="S511" t="s">
        <v>4343</v>
      </c>
      <c r="T511" t="s">
        <v>7662</v>
      </c>
      <c r="U511" t="s">
        <v>7662</v>
      </c>
      <c r="V511" t="s">
        <v>7662</v>
      </c>
      <c r="W511">
        <v>8</v>
      </c>
      <c r="X511" t="s">
        <v>8173</v>
      </c>
      <c r="Y511">
        <v>0.42638878292995569</v>
      </c>
      <c r="Z511" t="str">
        <f>HYPERLINK("Melting_Curves/meltCurve_sp_P07741_APT_HUMAN_.pdf", "Melting_Curves/meltCurve_sp_P07741_APT_HUMAN_.pdf")</f>
        <v>Melting_Curves/meltCurve_sp_P07741_APT_HUMAN_.pdf</v>
      </c>
      <c r="AA511" t="s">
        <v>11993</v>
      </c>
      <c r="AB511" t="s">
        <v>15752</v>
      </c>
    </row>
    <row r="512" spans="1:28" x14ac:dyDescent="0.25">
      <c r="A512" t="s">
        <v>516</v>
      </c>
      <c r="B512">
        <v>0.98876768158843997</v>
      </c>
      <c r="C512">
        <v>0.84238537895247201</v>
      </c>
      <c r="D512">
        <v>0.53187743954752897</v>
      </c>
      <c r="E512">
        <v>0.29075897369074499</v>
      </c>
      <c r="F512">
        <v>0.20573645534694199</v>
      </c>
      <c r="G512">
        <v>0.121239335447257</v>
      </c>
      <c r="H512">
        <v>7.1018733249674698E-2</v>
      </c>
      <c r="I512">
        <v>5.4751468839179897E-2</v>
      </c>
      <c r="J512">
        <v>6.7985502657863905E-2</v>
      </c>
      <c r="K512">
        <v>6.2553282565631502E-2</v>
      </c>
      <c r="L512">
        <v>795.37903537375303</v>
      </c>
      <c r="M512">
        <v>17.1052826597045</v>
      </c>
      <c r="N512">
        <v>46.890140293672999</v>
      </c>
      <c r="O512">
        <v>45.877467931093001</v>
      </c>
      <c r="P512">
        <v>-8.7020125158160405E-2</v>
      </c>
      <c r="Q512">
        <v>6.6482259155591403E-2</v>
      </c>
      <c r="R512">
        <v>0.99383594499443495</v>
      </c>
      <c r="S512" t="s">
        <v>4344</v>
      </c>
      <c r="T512" t="s">
        <v>7662</v>
      </c>
      <c r="U512" t="s">
        <v>7662</v>
      </c>
      <c r="V512" t="s">
        <v>7662</v>
      </c>
      <c r="W512">
        <v>44</v>
      </c>
      <c r="X512" t="s">
        <v>8174</v>
      </c>
      <c r="Y512">
        <v>0.28852223190498172</v>
      </c>
      <c r="Z512" t="str">
        <f>HYPERLINK("Melting_Curves/meltCurve_sp_P07814_SYEP_HUMAN_.pdf", "Melting_Curves/meltCurve_sp_P07814_SYEP_HUMAN_.pdf")</f>
        <v>Melting_Curves/meltCurve_sp_P07814_SYEP_HUMAN_.pdf</v>
      </c>
      <c r="AA512" t="s">
        <v>11994</v>
      </c>
      <c r="AB512" t="s">
        <v>15753</v>
      </c>
    </row>
    <row r="513" spans="1:28" x14ac:dyDescent="0.25">
      <c r="A513" t="s">
        <v>517</v>
      </c>
      <c r="B513">
        <v>0.98876768158843997</v>
      </c>
      <c r="C513">
        <v>0.95033058199087195</v>
      </c>
      <c r="D513">
        <v>0.63317393434786495</v>
      </c>
      <c r="E513">
        <v>0.30631710552635499</v>
      </c>
      <c r="F513">
        <v>0.25157544194326797</v>
      </c>
      <c r="G513">
        <v>0.24307431842877</v>
      </c>
      <c r="H513">
        <v>0.20509507210806399</v>
      </c>
      <c r="I513">
        <v>0.25129169696723103</v>
      </c>
      <c r="J513">
        <v>0.28528790120359099</v>
      </c>
      <c r="K513">
        <v>0.36028620651149801</v>
      </c>
      <c r="L513">
        <v>1690.00492681375</v>
      </c>
      <c r="M513">
        <v>36.739977675070897</v>
      </c>
      <c r="N513">
        <v>46.9679589749096</v>
      </c>
      <c r="O513">
        <v>45.8634316014709</v>
      </c>
      <c r="P513">
        <v>-0.147062208349929</v>
      </c>
      <c r="Q513">
        <v>0.26567642557874299</v>
      </c>
      <c r="R513">
        <v>0.982455765775054</v>
      </c>
      <c r="S513" t="s">
        <v>4345</v>
      </c>
      <c r="T513" t="s">
        <v>7662</v>
      </c>
      <c r="U513" t="s">
        <v>7662</v>
      </c>
      <c r="V513" t="s">
        <v>7662</v>
      </c>
      <c r="W513">
        <v>11</v>
      </c>
      <c r="X513" t="s">
        <v>8175</v>
      </c>
      <c r="Y513">
        <v>0.41538058226008268</v>
      </c>
      <c r="Z513" t="str">
        <f>HYPERLINK("Melting_Curves/meltCurve_sp_P07858_CATB_HUMAN_.pdf", "Melting_Curves/meltCurve_sp_P07858_CATB_HUMAN_.pdf")</f>
        <v>Melting_Curves/meltCurve_sp_P07858_CATB_HUMAN_.pdf</v>
      </c>
      <c r="AA513" t="s">
        <v>11995</v>
      </c>
      <c r="AB513" t="s">
        <v>15754</v>
      </c>
    </row>
    <row r="514" spans="1:28" x14ac:dyDescent="0.25">
      <c r="A514" t="s">
        <v>518</v>
      </c>
      <c r="B514">
        <v>0.98876768158843997</v>
      </c>
      <c r="C514">
        <v>0.90671271005593801</v>
      </c>
      <c r="D514">
        <v>1.0297319580951201</v>
      </c>
      <c r="E514">
        <v>0.89708648778128497</v>
      </c>
      <c r="F514">
        <v>0.26511769560742199</v>
      </c>
      <c r="G514">
        <v>0.105409547531939</v>
      </c>
      <c r="H514">
        <v>5.2888355371737798E-2</v>
      </c>
      <c r="I514">
        <v>4.3207250790794897E-2</v>
      </c>
      <c r="J514">
        <v>4.4165877546938598E-2</v>
      </c>
      <c r="K514">
        <v>3.8763820977610698E-2</v>
      </c>
      <c r="L514">
        <v>2922.4556295021798</v>
      </c>
      <c r="M514">
        <v>56.3748962552637</v>
      </c>
      <c r="N514">
        <v>51.947501050106503</v>
      </c>
      <c r="O514">
        <v>51.774554229985299</v>
      </c>
      <c r="P514">
        <v>-0.25717944107765001</v>
      </c>
      <c r="Q514">
        <v>5.5228850633214498E-2</v>
      </c>
      <c r="R514">
        <v>0.99332924049562599</v>
      </c>
      <c r="S514" t="s">
        <v>4346</v>
      </c>
      <c r="T514" t="s">
        <v>7662</v>
      </c>
      <c r="U514" t="s">
        <v>7662</v>
      </c>
      <c r="V514" t="s">
        <v>7662</v>
      </c>
      <c r="W514">
        <v>49</v>
      </c>
      <c r="X514" t="s">
        <v>8176</v>
      </c>
      <c r="Y514">
        <v>0.4297852709971105</v>
      </c>
      <c r="Z514" t="str">
        <f>HYPERLINK("Melting_Curves/meltCurve_sp_P07900_HS90A_HUMAN_.pdf", "Melting_Curves/meltCurve_sp_P07900_HS90A_HUMAN_.pdf")</f>
        <v>Melting_Curves/meltCurve_sp_P07900_HS90A_HUMAN_.pdf</v>
      </c>
      <c r="AA514" t="s">
        <v>11996</v>
      </c>
      <c r="AB514" t="s">
        <v>15755</v>
      </c>
    </row>
    <row r="515" spans="1:28" x14ac:dyDescent="0.25">
      <c r="A515" t="s">
        <v>519</v>
      </c>
      <c r="B515">
        <v>0.98876768158843997</v>
      </c>
      <c r="C515">
        <v>0.93377593436069395</v>
      </c>
      <c r="D515">
        <v>0.91411371837713595</v>
      </c>
      <c r="E515">
        <v>0.87079084475383794</v>
      </c>
      <c r="F515">
        <v>0.657479031380789</v>
      </c>
      <c r="G515">
        <v>0.37788904774043303</v>
      </c>
      <c r="H515">
        <v>0.15151738023671399</v>
      </c>
      <c r="I515">
        <v>8.4756434862918006E-2</v>
      </c>
      <c r="J515">
        <v>8.02207505186847E-2</v>
      </c>
      <c r="K515">
        <v>4.5887148760507902E-2</v>
      </c>
      <c r="L515">
        <v>924.80583145810601</v>
      </c>
      <c r="M515">
        <v>16.810002339926701</v>
      </c>
      <c r="N515">
        <v>55.110585494456799</v>
      </c>
      <c r="O515">
        <v>54.254332978925703</v>
      </c>
      <c r="P515">
        <v>-7.6353532753445003E-2</v>
      </c>
      <c r="Q515">
        <v>1.43386494864938E-2</v>
      </c>
      <c r="R515">
        <v>0.994609490899246</v>
      </c>
      <c r="S515" t="s">
        <v>4347</v>
      </c>
      <c r="T515" t="s">
        <v>7662</v>
      </c>
      <c r="U515" t="s">
        <v>7662</v>
      </c>
      <c r="V515" t="s">
        <v>7662</v>
      </c>
      <c r="W515">
        <v>11</v>
      </c>
      <c r="X515" t="s">
        <v>8177</v>
      </c>
      <c r="Y515">
        <v>0.52431926398250317</v>
      </c>
      <c r="Z515" t="str">
        <f>HYPERLINK("Melting_Curves/meltCurve_sp_P07902_GALT_HUMAN_.pdf", "Melting_Curves/meltCurve_sp_P07902_GALT_HUMAN_.pdf")</f>
        <v>Melting_Curves/meltCurve_sp_P07902_GALT_HUMAN_.pdf</v>
      </c>
      <c r="AA515" t="s">
        <v>11997</v>
      </c>
      <c r="AB515" t="s">
        <v>15756</v>
      </c>
    </row>
    <row r="516" spans="1:28" x14ac:dyDescent="0.25">
      <c r="A516" t="s">
        <v>520</v>
      </c>
      <c r="B516">
        <v>0.98876768158843997</v>
      </c>
      <c r="C516">
        <v>0.95172913445775498</v>
      </c>
      <c r="D516">
        <v>0.705616486110756</v>
      </c>
      <c r="E516">
        <v>0.337737997222192</v>
      </c>
      <c r="F516">
        <v>9.4931240257166899E-2</v>
      </c>
      <c r="G516">
        <v>4.5695459627821997E-2</v>
      </c>
      <c r="H516">
        <v>2.69755048617203E-2</v>
      </c>
      <c r="I516">
        <v>2.74362181814518E-2</v>
      </c>
      <c r="J516">
        <v>3.1750028081800198E-2</v>
      </c>
      <c r="K516">
        <v>2.9144153458475801E-2</v>
      </c>
      <c r="L516">
        <v>1061.7208417581601</v>
      </c>
      <c r="M516">
        <v>22.127384946789501</v>
      </c>
      <c r="N516">
        <v>48.075812332649598</v>
      </c>
      <c r="O516">
        <v>47.5954789424216</v>
      </c>
      <c r="P516">
        <v>-0.113777973207105</v>
      </c>
      <c r="Q516">
        <v>2.10866623289967E-2</v>
      </c>
      <c r="R516">
        <v>0.99785431965994897</v>
      </c>
      <c r="S516" t="s">
        <v>4348</v>
      </c>
      <c r="T516" t="s">
        <v>7662</v>
      </c>
      <c r="U516" t="s">
        <v>7662</v>
      </c>
      <c r="V516" t="s">
        <v>7662</v>
      </c>
      <c r="W516">
        <v>2</v>
      </c>
      <c r="X516" t="s">
        <v>8178</v>
      </c>
      <c r="Y516">
        <v>0.29277200995328451</v>
      </c>
      <c r="Z516" t="str">
        <f>HYPERLINK("Melting_Curves/meltCurve_sp_P07947_YES_HUMAN_.pdf", "Melting_Curves/meltCurve_sp_P07947_YES_HUMAN_.pdf")</f>
        <v>Melting_Curves/meltCurve_sp_P07947_YES_HUMAN_.pdf</v>
      </c>
      <c r="AA516" t="s">
        <v>11998</v>
      </c>
      <c r="AB516" t="s">
        <v>15757</v>
      </c>
    </row>
    <row r="517" spans="1:28" x14ac:dyDescent="0.25">
      <c r="A517" t="s">
        <v>521</v>
      </c>
      <c r="B517">
        <v>0.98876768158843997</v>
      </c>
      <c r="C517">
        <v>0.77703604290418604</v>
      </c>
      <c r="D517">
        <v>1.07406143941821</v>
      </c>
      <c r="E517">
        <v>0.79713515443372496</v>
      </c>
      <c r="F517">
        <v>0.11506812256891399</v>
      </c>
      <c r="G517">
        <v>6.7988448484058994E-2</v>
      </c>
      <c r="H517">
        <v>3.3794175994114002E-2</v>
      </c>
      <c r="I517">
        <v>3.1417065236014299E-2</v>
      </c>
      <c r="J517">
        <v>3.7514626713761302E-2</v>
      </c>
      <c r="K517">
        <v>2.85302667000626E-2</v>
      </c>
      <c r="L517">
        <v>3348.39470422563</v>
      </c>
      <c r="M517">
        <v>65.646203509040504</v>
      </c>
      <c r="N517">
        <v>51.071044254696503</v>
      </c>
      <c r="O517">
        <v>50.959405770743501</v>
      </c>
      <c r="P517">
        <v>-0.30926523352864599</v>
      </c>
      <c r="Q517">
        <v>3.97026969806938E-2</v>
      </c>
      <c r="R517">
        <v>0.96919542813448301</v>
      </c>
      <c r="S517" t="s">
        <v>4349</v>
      </c>
      <c r="T517" t="s">
        <v>7662</v>
      </c>
      <c r="U517" t="s">
        <v>7662</v>
      </c>
      <c r="V517" t="s">
        <v>7662</v>
      </c>
      <c r="W517">
        <v>24</v>
      </c>
      <c r="X517" t="s">
        <v>8179</v>
      </c>
      <c r="Y517">
        <v>0.3932759043119104</v>
      </c>
      <c r="Z517" t="str">
        <f>HYPERLINK("Melting_Curves/meltCurve_sp_P07954_2_FUMH_HUMAN_.pdf", "Melting_Curves/meltCurve_sp_P07954_2_FUMH_HUMAN_.pdf")</f>
        <v>Melting_Curves/meltCurve_sp_P07954_2_FUMH_HUMAN_.pdf</v>
      </c>
      <c r="AA517" t="s">
        <v>11999</v>
      </c>
      <c r="AB517" t="s">
        <v>15758</v>
      </c>
    </row>
    <row r="518" spans="1:28" x14ac:dyDescent="0.25">
      <c r="A518" t="s">
        <v>522</v>
      </c>
      <c r="B518">
        <v>0.98876768158843997</v>
      </c>
      <c r="C518">
        <v>0.91188747583421303</v>
      </c>
      <c r="D518">
        <v>0.81459704532409605</v>
      </c>
      <c r="E518">
        <v>0.53141638712121197</v>
      </c>
      <c r="F518">
        <v>0.35151139918628599</v>
      </c>
      <c r="G518">
        <v>0.180116188624869</v>
      </c>
      <c r="H518">
        <v>9.2900362239555598E-2</v>
      </c>
      <c r="I518">
        <v>7.8727898258581799E-2</v>
      </c>
      <c r="J518">
        <v>0.112783263581593</v>
      </c>
      <c r="K518">
        <v>7.8735949820045101E-2</v>
      </c>
      <c r="L518">
        <v>776.50928223138601</v>
      </c>
      <c r="M518">
        <v>15.523479629051</v>
      </c>
      <c r="N518">
        <v>50.462796282094402</v>
      </c>
      <c r="O518">
        <v>49.213556731375803</v>
      </c>
      <c r="P518">
        <v>-7.3860169851192606E-2</v>
      </c>
      <c r="Q518">
        <v>6.3457283938723602E-2</v>
      </c>
      <c r="R518">
        <v>0.99789429947221997</v>
      </c>
      <c r="S518" t="s">
        <v>4350</v>
      </c>
      <c r="T518" t="s">
        <v>7662</v>
      </c>
      <c r="U518" t="s">
        <v>7662</v>
      </c>
      <c r="V518" t="s">
        <v>7662</v>
      </c>
      <c r="W518">
        <v>9</v>
      </c>
      <c r="X518" t="s">
        <v>8180</v>
      </c>
      <c r="Y518">
        <v>0.39730614025887812</v>
      </c>
      <c r="Z518" t="str">
        <f>HYPERLINK("Melting_Curves/meltCurve_sp_P07996_TSP1_HUMAN_.pdf", "Melting_Curves/meltCurve_sp_P07996_TSP1_HUMAN_.pdf")</f>
        <v>Melting_Curves/meltCurve_sp_P07996_TSP1_HUMAN_.pdf</v>
      </c>
      <c r="AA518" t="s">
        <v>12000</v>
      </c>
      <c r="AB518" t="s">
        <v>15759</v>
      </c>
    </row>
    <row r="519" spans="1:28" x14ac:dyDescent="0.25">
      <c r="A519" t="s">
        <v>523</v>
      </c>
      <c r="B519">
        <v>0.98876768158843997</v>
      </c>
      <c r="C519">
        <v>0.91056951990207702</v>
      </c>
      <c r="D519">
        <v>0.83415257281962996</v>
      </c>
      <c r="E519">
        <v>0.42699386020825297</v>
      </c>
      <c r="F519">
        <v>0.12961001877865799</v>
      </c>
      <c r="G519">
        <v>7.1823909092076199E-2</v>
      </c>
      <c r="H519">
        <v>4.1551407670649299E-2</v>
      </c>
      <c r="I519">
        <v>3.4594269726424702E-2</v>
      </c>
      <c r="J519">
        <v>3.5605028105486297E-2</v>
      </c>
      <c r="K519">
        <v>3.8018779934547699E-2</v>
      </c>
      <c r="L519">
        <v>1156.24499144949</v>
      </c>
      <c r="M519">
        <v>23.597372651246101</v>
      </c>
      <c r="N519">
        <v>49.128670124945899</v>
      </c>
      <c r="O519">
        <v>48.651062277167803</v>
      </c>
      <c r="P519">
        <v>-0.11759618974007501</v>
      </c>
      <c r="Q519">
        <v>3.0216971203075899E-2</v>
      </c>
      <c r="R519">
        <v>0.99619039835742296</v>
      </c>
      <c r="S519" t="s">
        <v>4351</v>
      </c>
      <c r="T519" t="s">
        <v>7662</v>
      </c>
      <c r="U519" t="s">
        <v>7662</v>
      </c>
      <c r="V519" t="s">
        <v>7662</v>
      </c>
      <c r="W519">
        <v>34</v>
      </c>
      <c r="X519" t="s">
        <v>8181</v>
      </c>
      <c r="Y519">
        <v>0.3307950651663516</v>
      </c>
      <c r="Z519" t="str">
        <f>HYPERLINK("Melting_Curves/meltCurve_sp_P08107_HSP71_HUMAN_.pdf", "Melting_Curves/meltCurve_sp_P08107_HSP71_HUMAN_.pdf")</f>
        <v>Melting_Curves/meltCurve_sp_P08107_HSP71_HUMAN_.pdf</v>
      </c>
      <c r="AA519" t="s">
        <v>12001</v>
      </c>
      <c r="AB519" t="s">
        <v>15760</v>
      </c>
    </row>
    <row r="520" spans="1:28" x14ac:dyDescent="0.25">
      <c r="A520" t="s">
        <v>524</v>
      </c>
      <c r="B520">
        <v>0.98876768158843997</v>
      </c>
      <c r="C520">
        <v>0.91759312425712103</v>
      </c>
      <c r="D520">
        <v>0.91161124506878299</v>
      </c>
      <c r="E520">
        <v>0.80425430092478201</v>
      </c>
      <c r="F520">
        <v>0.69316490224924798</v>
      </c>
      <c r="G520">
        <v>0.50728432453993499</v>
      </c>
      <c r="H520">
        <v>0.26708332564056603</v>
      </c>
      <c r="I520">
        <v>0.18072830401246401</v>
      </c>
      <c r="J520">
        <v>0.225313942272445</v>
      </c>
      <c r="K520">
        <v>0.18122987086112599</v>
      </c>
      <c r="L520">
        <v>684.247466594961</v>
      </c>
      <c r="M520">
        <v>12.354817742973101</v>
      </c>
      <c r="N520">
        <v>56.323059714220399</v>
      </c>
      <c r="O520">
        <v>53.992085072864697</v>
      </c>
      <c r="P520">
        <v>-5.18881981904184E-2</v>
      </c>
      <c r="Q520">
        <v>9.3163819411560295E-2</v>
      </c>
      <c r="R520">
        <v>0.98670042822830495</v>
      </c>
      <c r="S520" t="s">
        <v>4352</v>
      </c>
      <c r="T520" t="s">
        <v>7662</v>
      </c>
      <c r="U520" t="s">
        <v>7662</v>
      </c>
      <c r="V520" t="s">
        <v>7662</v>
      </c>
      <c r="W520">
        <v>1</v>
      </c>
      <c r="X520" t="s">
        <v>8182</v>
      </c>
      <c r="Y520">
        <v>0.57805149330390682</v>
      </c>
      <c r="Z520" t="str">
        <f>HYPERLINK("Melting_Curves/meltCurve_sp_P08123_CO1A2_HUMAN_.pdf", "Melting_Curves/meltCurve_sp_P08123_CO1A2_HUMAN_.pdf")</f>
        <v>Melting_Curves/meltCurve_sp_P08123_CO1A2_HUMAN_.pdf</v>
      </c>
      <c r="AA520" t="s">
        <v>12002</v>
      </c>
      <c r="AB520" t="s">
        <v>15761</v>
      </c>
    </row>
    <row r="521" spans="1:28" x14ac:dyDescent="0.25">
      <c r="A521" t="s">
        <v>525</v>
      </c>
      <c r="B521">
        <v>0.98876768158843997</v>
      </c>
      <c r="C521">
        <v>0.97217440426498603</v>
      </c>
      <c r="D521">
        <v>0.97279253606494598</v>
      </c>
      <c r="E521">
        <v>0.69024645116519801</v>
      </c>
      <c r="F521">
        <v>0.33959954992636199</v>
      </c>
      <c r="G521">
        <v>0.22576402326141601</v>
      </c>
      <c r="H521">
        <v>0.15814277656287301</v>
      </c>
      <c r="I521">
        <v>0.12784887991132901</v>
      </c>
      <c r="J521">
        <v>0.19949588888243899</v>
      </c>
      <c r="K521">
        <v>0.14824841787292101</v>
      </c>
      <c r="L521">
        <v>1543.2956429859</v>
      </c>
      <c r="M521">
        <v>30.352744512974098</v>
      </c>
      <c r="N521">
        <v>51.512593357132197</v>
      </c>
      <c r="O521">
        <v>50.626169287063199</v>
      </c>
      <c r="P521">
        <v>-0.125524692768375</v>
      </c>
      <c r="Q521">
        <v>0.162541016491523</v>
      </c>
      <c r="R521">
        <v>0.99616252612092904</v>
      </c>
      <c r="S521" t="s">
        <v>4353</v>
      </c>
      <c r="T521" t="s">
        <v>7662</v>
      </c>
      <c r="U521" t="s">
        <v>7662</v>
      </c>
      <c r="V521" t="s">
        <v>7662</v>
      </c>
      <c r="W521">
        <v>9</v>
      </c>
      <c r="X521" t="s">
        <v>8183</v>
      </c>
      <c r="Y521">
        <v>0.47042230780843391</v>
      </c>
      <c r="Z521" t="str">
        <f>HYPERLINK("Melting_Curves/meltCurve_sp_P08133_2_ANXA6_HUMAN_.pdf", "Melting_Curves/meltCurve_sp_P08133_2_ANXA6_HUMAN_.pdf")</f>
        <v>Melting_Curves/meltCurve_sp_P08133_2_ANXA6_HUMAN_.pdf</v>
      </c>
      <c r="AA521" t="s">
        <v>12003</v>
      </c>
      <c r="AB521" t="s">
        <v>15762</v>
      </c>
    </row>
    <row r="522" spans="1:28" x14ac:dyDescent="0.25">
      <c r="A522" t="s">
        <v>526</v>
      </c>
      <c r="B522">
        <v>0.98876768158843997</v>
      </c>
      <c r="C522">
        <v>1.0392878542679</v>
      </c>
      <c r="D522">
        <v>0.87400053031003699</v>
      </c>
      <c r="E522">
        <v>0.73683684103443403</v>
      </c>
      <c r="F522">
        <v>0.70710177973452404</v>
      </c>
      <c r="G522">
        <v>0.45387640696822601</v>
      </c>
      <c r="H522">
        <v>0.24374173159676499</v>
      </c>
      <c r="I522">
        <v>0.14271225104761401</v>
      </c>
      <c r="J522">
        <v>0.14197698740141601</v>
      </c>
      <c r="K522">
        <v>0.111579938731657</v>
      </c>
      <c r="L522">
        <v>652.93377836010097</v>
      </c>
      <c r="M522">
        <v>11.727135113667901</v>
      </c>
      <c r="N522">
        <v>55.738194929995998</v>
      </c>
      <c r="O522">
        <v>54.132144180437599</v>
      </c>
      <c r="P522">
        <v>-5.3828426680721797E-2</v>
      </c>
      <c r="Q522">
        <v>6.3794871000708697E-3</v>
      </c>
      <c r="R522">
        <v>0.98590596506056005</v>
      </c>
      <c r="S522" t="s">
        <v>4354</v>
      </c>
      <c r="T522" t="s">
        <v>7662</v>
      </c>
      <c r="U522" t="s">
        <v>7662</v>
      </c>
      <c r="V522" t="s">
        <v>7662</v>
      </c>
      <c r="W522">
        <v>3</v>
      </c>
      <c r="X522" t="s">
        <v>8184</v>
      </c>
      <c r="Y522">
        <v>0.54713835771668051</v>
      </c>
      <c r="Z522" t="str">
        <f>HYPERLINK("Melting_Curves/meltCurve_sp_P08185_CBG_HUMAN_.pdf", "Melting_Curves/meltCurve_sp_P08185_CBG_HUMAN_.pdf")</f>
        <v>Melting_Curves/meltCurve_sp_P08185_CBG_HUMAN_.pdf</v>
      </c>
      <c r="AA522" t="s">
        <v>12004</v>
      </c>
      <c r="AB522" t="s">
        <v>15763</v>
      </c>
    </row>
    <row r="523" spans="1:28" x14ac:dyDescent="0.25">
      <c r="A523" t="s">
        <v>527</v>
      </c>
      <c r="B523">
        <v>0.98876768158843997</v>
      </c>
      <c r="C523">
        <v>0.60853570393869905</v>
      </c>
      <c r="D523">
        <v>1.06078638848219</v>
      </c>
      <c r="E523">
        <v>0.66237796928987902</v>
      </c>
      <c r="F523">
        <v>0.44982658815545801</v>
      </c>
      <c r="G523">
        <v>0.24526537130329201</v>
      </c>
      <c r="H523">
        <v>0.19115653814488301</v>
      </c>
      <c r="I523">
        <v>0.21809122787193799</v>
      </c>
      <c r="J523">
        <v>0.224992299794812</v>
      </c>
      <c r="K523">
        <v>0.28106010723679498</v>
      </c>
      <c r="L523">
        <v>1283.57397899578</v>
      </c>
      <c r="M523">
        <v>25.264355071313101</v>
      </c>
      <c r="N523">
        <v>52.013913788749598</v>
      </c>
      <c r="O523">
        <v>50.490621581499703</v>
      </c>
      <c r="P523">
        <v>-9.7329713587076705E-2</v>
      </c>
      <c r="Q523">
        <v>0.22195917422101299</v>
      </c>
      <c r="R523">
        <v>0.82492677799163605</v>
      </c>
      <c r="S523" t="s">
        <v>4355</v>
      </c>
      <c r="T523" t="s">
        <v>7662</v>
      </c>
      <c r="U523" t="s">
        <v>7662</v>
      </c>
      <c r="V523" t="s">
        <v>7662</v>
      </c>
      <c r="W523">
        <v>16</v>
      </c>
      <c r="X523" t="s">
        <v>8185</v>
      </c>
      <c r="Y523">
        <v>0.50907198687530608</v>
      </c>
      <c r="Z523" t="str">
        <f>HYPERLINK("Melting_Curves/meltCurve_sp_P08236_BGLR_HUMAN_.pdf", "Melting_Curves/meltCurve_sp_P08236_BGLR_HUMAN_.pdf")</f>
        <v>Melting_Curves/meltCurve_sp_P08236_BGLR_HUMAN_.pdf</v>
      </c>
      <c r="AA523" t="s">
        <v>12005</v>
      </c>
      <c r="AB523" t="s">
        <v>15764</v>
      </c>
    </row>
    <row r="524" spans="1:28" x14ac:dyDescent="0.25">
      <c r="A524" t="s">
        <v>528</v>
      </c>
      <c r="B524">
        <v>0.98876768158843997</v>
      </c>
      <c r="C524">
        <v>0.87512822924061395</v>
      </c>
      <c r="D524">
        <v>1.0237575549235201</v>
      </c>
      <c r="E524">
        <v>0.88726175440339905</v>
      </c>
      <c r="F524">
        <v>0.23338286175625</v>
      </c>
      <c r="G524">
        <v>8.9737501787134605E-2</v>
      </c>
      <c r="H524">
        <v>4.2791826224088898E-2</v>
      </c>
      <c r="I524">
        <v>3.48005743199803E-2</v>
      </c>
      <c r="J524">
        <v>3.7031612575031903E-2</v>
      </c>
      <c r="K524">
        <v>3.43393995556069E-2</v>
      </c>
      <c r="L524">
        <v>2994.15849958015</v>
      </c>
      <c r="M524">
        <v>57.889665826362098</v>
      </c>
      <c r="N524">
        <v>51.8090710932401</v>
      </c>
      <c r="O524">
        <v>51.660201056484297</v>
      </c>
      <c r="P524">
        <v>-0.267132302610256</v>
      </c>
      <c r="Q524">
        <v>4.6454892017609897E-2</v>
      </c>
      <c r="R524">
        <v>0.99011658225351895</v>
      </c>
      <c r="S524" t="s">
        <v>4356</v>
      </c>
      <c r="T524" t="s">
        <v>7662</v>
      </c>
      <c r="U524" t="s">
        <v>7662</v>
      </c>
      <c r="V524" t="s">
        <v>7662</v>
      </c>
      <c r="W524">
        <v>48</v>
      </c>
      <c r="X524" t="s">
        <v>8186</v>
      </c>
      <c r="Y524">
        <v>0.42065140174052412</v>
      </c>
      <c r="Z524" t="str">
        <f>HYPERLINK("Melting_Curves/meltCurve_sp_P08238_HS90B_HUMAN_.pdf", "Melting_Curves/meltCurve_sp_P08238_HS90B_HUMAN_.pdf")</f>
        <v>Melting_Curves/meltCurve_sp_P08238_HS90B_HUMAN_.pdf</v>
      </c>
      <c r="AA524" t="s">
        <v>12006</v>
      </c>
      <c r="AB524" t="s">
        <v>15765</v>
      </c>
    </row>
    <row r="525" spans="1:28" x14ac:dyDescent="0.25">
      <c r="A525" t="s">
        <v>529</v>
      </c>
      <c r="B525">
        <v>0.98876768158843997</v>
      </c>
      <c r="C525">
        <v>1.0100492094997999</v>
      </c>
      <c r="D525">
        <v>0.72016850445286795</v>
      </c>
      <c r="E525">
        <v>0.46311620173122098</v>
      </c>
      <c r="F525">
        <v>0.35067187636921598</v>
      </c>
      <c r="G525">
        <v>0.22268680115463499</v>
      </c>
      <c r="H525">
        <v>0.17068085972300201</v>
      </c>
      <c r="I525">
        <v>0.19452527083835799</v>
      </c>
      <c r="J525">
        <v>0.244737672888167</v>
      </c>
      <c r="K525">
        <v>0.287330660068916</v>
      </c>
      <c r="L525">
        <v>1003.12846782832</v>
      </c>
      <c r="M525">
        <v>20.943124931876199</v>
      </c>
      <c r="N525">
        <v>49.282832333489097</v>
      </c>
      <c r="O525">
        <v>47.4674612723664</v>
      </c>
      <c r="P525">
        <v>-8.5767921919810294E-2</v>
      </c>
      <c r="Q525">
        <v>0.222451268496275</v>
      </c>
      <c r="R525">
        <v>0.97993219568942203</v>
      </c>
      <c r="S525" t="s">
        <v>4357</v>
      </c>
      <c r="T525" t="s">
        <v>7662</v>
      </c>
      <c r="U525" t="s">
        <v>7662</v>
      </c>
      <c r="V525" t="s">
        <v>7662</v>
      </c>
      <c r="W525">
        <v>17</v>
      </c>
      <c r="X525" t="s">
        <v>8187</v>
      </c>
      <c r="Y525">
        <v>0.43718475479505869</v>
      </c>
      <c r="Z525" t="str">
        <f>HYPERLINK("Melting_Curves/meltCurve_sp_P08240_2_SRPR_HUMAN_.pdf", "Melting_Curves/meltCurve_sp_P08240_2_SRPR_HUMAN_.pdf")</f>
        <v>Melting_Curves/meltCurve_sp_P08240_2_SRPR_HUMAN_.pdf</v>
      </c>
      <c r="AA525" t="s">
        <v>12007</v>
      </c>
      <c r="AB525" t="s">
        <v>15766</v>
      </c>
    </row>
    <row r="526" spans="1:28" x14ac:dyDescent="0.25">
      <c r="A526" t="s">
        <v>530</v>
      </c>
      <c r="B526">
        <v>0.98876768158843997</v>
      </c>
      <c r="C526">
        <v>1.0256440348862801</v>
      </c>
      <c r="D526">
        <v>0.87376511988776595</v>
      </c>
      <c r="E526">
        <v>0.84120979561532405</v>
      </c>
      <c r="F526">
        <v>0.90045613797247803</v>
      </c>
      <c r="G526">
        <v>0.66615575589418297</v>
      </c>
      <c r="H526">
        <v>0.53118287635517403</v>
      </c>
      <c r="I526">
        <v>0.485846935211801</v>
      </c>
      <c r="J526">
        <v>0.27036839426277798</v>
      </c>
      <c r="K526">
        <v>0.10634050287376701</v>
      </c>
      <c r="L526">
        <v>664.312668735633</v>
      </c>
      <c r="M526">
        <v>10.8300333218427</v>
      </c>
      <c r="N526">
        <v>61.339854568976101</v>
      </c>
      <c r="O526">
        <v>59.359569246872098</v>
      </c>
      <c r="P526">
        <v>-4.5628333755184998E-2</v>
      </c>
      <c r="Q526">
        <v>0</v>
      </c>
      <c r="R526">
        <v>0.95296745295275898</v>
      </c>
      <c r="S526" t="s">
        <v>4358</v>
      </c>
      <c r="T526" t="s">
        <v>7662</v>
      </c>
      <c r="U526" t="s">
        <v>7662</v>
      </c>
      <c r="V526" t="s">
        <v>7662</v>
      </c>
      <c r="W526">
        <v>26</v>
      </c>
      <c r="X526" t="s">
        <v>8188</v>
      </c>
      <c r="Y526">
        <v>0.70034216060916443</v>
      </c>
      <c r="Z526" t="str">
        <f>HYPERLINK("Melting_Curves/meltCurve_sp_P08319_ADH4_HUMAN_.pdf", "Melting_Curves/meltCurve_sp_P08319_ADH4_HUMAN_.pdf")</f>
        <v>Melting_Curves/meltCurve_sp_P08319_ADH4_HUMAN_.pdf</v>
      </c>
      <c r="AA526" t="s">
        <v>12008</v>
      </c>
      <c r="AB526" t="s">
        <v>15767</v>
      </c>
    </row>
    <row r="527" spans="1:28" x14ac:dyDescent="0.25">
      <c r="A527" t="s">
        <v>531</v>
      </c>
      <c r="B527">
        <v>0.98876768158843997</v>
      </c>
      <c r="C527">
        <v>1.09327761017018</v>
      </c>
      <c r="D527">
        <v>0.90036692460608703</v>
      </c>
      <c r="E527">
        <v>0.72768331145392096</v>
      </c>
      <c r="F527">
        <v>0.71743832293211596</v>
      </c>
      <c r="G527">
        <v>0.45935902751624302</v>
      </c>
      <c r="H527">
        <v>0.39772006349371303</v>
      </c>
      <c r="I527">
        <v>0.51623677598729101</v>
      </c>
      <c r="J527">
        <v>0.51093087710280205</v>
      </c>
      <c r="K527">
        <v>0.66234529019033905</v>
      </c>
      <c r="L527">
        <v>1116.8271161575501</v>
      </c>
      <c r="M527">
        <v>22.3135122666515</v>
      </c>
      <c r="O527">
        <v>49.654800531516997</v>
      </c>
      <c r="P527">
        <v>-5.4722926360025799E-2</v>
      </c>
      <c r="Q527">
        <v>0.51290525456959501</v>
      </c>
      <c r="R527">
        <v>0.865477468827902</v>
      </c>
      <c r="S527" t="s">
        <v>4359</v>
      </c>
      <c r="T527" t="s">
        <v>7662</v>
      </c>
      <c r="U527" t="s">
        <v>7662</v>
      </c>
      <c r="V527" t="s">
        <v>7662</v>
      </c>
      <c r="W527">
        <v>2</v>
      </c>
      <c r="X527" t="s">
        <v>8189</v>
      </c>
      <c r="Y527">
        <v>0.68157449442261042</v>
      </c>
      <c r="Z527" t="str">
        <f>HYPERLINK("Melting_Curves/meltCurve_sp_P08519_APOA_HUMAN_.pdf", "Melting_Curves/meltCurve_sp_P08519_APOA_HUMAN_.pdf")</f>
        <v>Melting_Curves/meltCurve_sp_P08519_APOA_HUMAN_.pdf</v>
      </c>
      <c r="AA527" t="s">
        <v>12009</v>
      </c>
      <c r="AB527" t="s">
        <v>15768</v>
      </c>
    </row>
    <row r="528" spans="1:28" x14ac:dyDescent="0.25">
      <c r="A528" t="s">
        <v>532</v>
      </c>
      <c r="B528">
        <v>0.98876768158843997</v>
      </c>
      <c r="C528">
        <v>0.67637575547000295</v>
      </c>
      <c r="D528">
        <v>0.36309996632982899</v>
      </c>
      <c r="E528">
        <v>0.175179575556766</v>
      </c>
      <c r="F528">
        <v>0.10552592427193799</v>
      </c>
      <c r="G528">
        <v>6.6819518141091105E-2</v>
      </c>
      <c r="H528">
        <v>4.5259312974830698E-2</v>
      </c>
      <c r="I528">
        <v>3.77639060739835E-2</v>
      </c>
      <c r="J528">
        <v>5.42340988750981E-2</v>
      </c>
      <c r="K528">
        <v>3.4557427791778103E-2</v>
      </c>
      <c r="L528">
        <v>938.30288904472104</v>
      </c>
      <c r="M528">
        <v>21.068726920122302</v>
      </c>
      <c r="N528">
        <v>44.773950072884197</v>
      </c>
      <c r="O528">
        <v>44.139944215747803</v>
      </c>
      <c r="P528">
        <v>-0.112995352669157</v>
      </c>
      <c r="Q528">
        <v>5.3103370170972698E-2</v>
      </c>
      <c r="R528">
        <v>0.99152751219736301</v>
      </c>
      <c r="S528" t="s">
        <v>4360</v>
      </c>
      <c r="T528" t="s">
        <v>7662</v>
      </c>
      <c r="U528" t="s">
        <v>7662</v>
      </c>
      <c r="V528" t="s">
        <v>7662</v>
      </c>
      <c r="W528">
        <v>9</v>
      </c>
      <c r="X528" t="s">
        <v>8190</v>
      </c>
      <c r="Y528">
        <v>0.21128732174310469</v>
      </c>
      <c r="Z528" t="str">
        <f>HYPERLINK("Melting_Curves/meltCurve_sp_P08559_3_ODPA_HUMAN_.pdf", "Melting_Curves/meltCurve_sp_P08559_3_ODPA_HUMAN_.pdf")</f>
        <v>Melting_Curves/meltCurve_sp_P08559_3_ODPA_HUMAN_.pdf</v>
      </c>
      <c r="AA528" t="s">
        <v>12010</v>
      </c>
      <c r="AB528" t="s">
        <v>15769</v>
      </c>
    </row>
    <row r="529" spans="1:28" x14ac:dyDescent="0.25">
      <c r="A529" t="s">
        <v>533</v>
      </c>
      <c r="B529">
        <v>0.98876768158843997</v>
      </c>
      <c r="C529">
        <v>1.1365146838642499</v>
      </c>
      <c r="D529">
        <v>0.85483326611794996</v>
      </c>
      <c r="E529">
        <v>0.73611383798058905</v>
      </c>
      <c r="F529">
        <v>0.95143465493679302</v>
      </c>
      <c r="G529">
        <v>0.25579974385544602</v>
      </c>
      <c r="H529">
        <v>0.14380923140690799</v>
      </c>
      <c r="I529">
        <v>8.6306972188659403E-2</v>
      </c>
      <c r="J529">
        <v>0.12092518178490499</v>
      </c>
      <c r="K529">
        <v>0.131392574146005</v>
      </c>
      <c r="L529">
        <v>3147.3039971281501</v>
      </c>
      <c r="M529">
        <v>56.863429565605401</v>
      </c>
      <c r="N529">
        <v>55.612938117336299</v>
      </c>
      <c r="O529">
        <v>55.280146215552598</v>
      </c>
      <c r="P529">
        <v>-0.22669536478701399</v>
      </c>
      <c r="Q529">
        <v>0.118467097245445</v>
      </c>
      <c r="R529">
        <v>0.933101679898799</v>
      </c>
      <c r="S529" t="s">
        <v>4361</v>
      </c>
      <c r="T529" t="s">
        <v>7662</v>
      </c>
      <c r="U529" t="s">
        <v>7662</v>
      </c>
      <c r="V529" t="s">
        <v>7662</v>
      </c>
      <c r="W529">
        <v>1</v>
      </c>
      <c r="X529" t="s">
        <v>8191</v>
      </c>
      <c r="Y529">
        <v>0.57113480675571948</v>
      </c>
      <c r="Z529" t="str">
        <f>HYPERLINK("Melting_Curves/meltCurve_sp_P08571_CD14_HUMAN_.pdf", "Melting_Curves/meltCurve_sp_P08571_CD14_HUMAN_.pdf")</f>
        <v>Melting_Curves/meltCurve_sp_P08571_CD14_HUMAN_.pdf</v>
      </c>
      <c r="AA529" t="s">
        <v>12011</v>
      </c>
      <c r="AB529" t="s">
        <v>15770</v>
      </c>
    </row>
    <row r="530" spans="1:28" x14ac:dyDescent="0.25">
      <c r="A530" t="s">
        <v>534</v>
      </c>
      <c r="B530">
        <v>0.98876768158843997</v>
      </c>
      <c r="C530">
        <v>0.93698193608596403</v>
      </c>
      <c r="D530">
        <v>1.0020295952862699</v>
      </c>
      <c r="E530">
        <v>0.86747235606598705</v>
      </c>
      <c r="F530">
        <v>0.65145600930844405</v>
      </c>
      <c r="G530">
        <v>0.42054930657864398</v>
      </c>
      <c r="H530">
        <v>0.27466339480877799</v>
      </c>
      <c r="I530">
        <v>0.32172510944746202</v>
      </c>
      <c r="J530">
        <v>0.36937383447289901</v>
      </c>
      <c r="K530">
        <v>0.44138864077704798</v>
      </c>
      <c r="L530">
        <v>1552.9910325400101</v>
      </c>
      <c r="M530">
        <v>29.5309595695146</v>
      </c>
      <c r="N530">
        <v>54.841705817675603</v>
      </c>
      <c r="O530">
        <v>52.349190624544399</v>
      </c>
      <c r="P530">
        <v>-9.1473781298307605E-2</v>
      </c>
      <c r="Q530">
        <v>0.351386440259911</v>
      </c>
      <c r="R530">
        <v>0.97238323849269803</v>
      </c>
      <c r="S530" t="s">
        <v>4362</v>
      </c>
      <c r="T530" t="s">
        <v>7662</v>
      </c>
      <c r="U530" t="s">
        <v>7662</v>
      </c>
      <c r="V530" t="s">
        <v>7662</v>
      </c>
      <c r="W530">
        <v>4</v>
      </c>
      <c r="X530" t="s">
        <v>8192</v>
      </c>
      <c r="Y530">
        <v>0.6278701799140447</v>
      </c>
      <c r="Z530" t="str">
        <f>HYPERLINK("Melting_Curves/meltCurve_sp_P08579_RU2B_HUMAN_.pdf", "Melting_Curves/meltCurve_sp_P08579_RU2B_HUMAN_.pdf")</f>
        <v>Melting_Curves/meltCurve_sp_P08579_RU2B_HUMAN_.pdf</v>
      </c>
      <c r="AA530" t="s">
        <v>12012</v>
      </c>
      <c r="AB530" t="s">
        <v>15771</v>
      </c>
    </row>
    <row r="531" spans="1:28" x14ac:dyDescent="0.25">
      <c r="A531" t="s">
        <v>535</v>
      </c>
      <c r="B531">
        <v>0.98876768158843997</v>
      </c>
      <c r="C531">
        <v>0.87938963052866204</v>
      </c>
      <c r="D531">
        <v>0.842669128218688</v>
      </c>
      <c r="E531">
        <v>0.56370070835582198</v>
      </c>
      <c r="F531">
        <v>0.37858908694188798</v>
      </c>
      <c r="G531">
        <v>0.28306661838019498</v>
      </c>
      <c r="H531">
        <v>0.22624533848780101</v>
      </c>
      <c r="I531">
        <v>0.22827302525503701</v>
      </c>
      <c r="J531">
        <v>0.21578453559659899</v>
      </c>
      <c r="K531">
        <v>0.24193045964697599</v>
      </c>
      <c r="L531">
        <v>827.20270298957303</v>
      </c>
      <c r="M531">
        <v>16.8075764375128</v>
      </c>
      <c r="N531">
        <v>50.8849821405311</v>
      </c>
      <c r="O531">
        <v>48.535199124913298</v>
      </c>
      <c r="P531">
        <v>-6.8234772661337303E-2</v>
      </c>
      <c r="Q531">
        <v>0.211885442615764</v>
      </c>
      <c r="R531">
        <v>0.99351856622284596</v>
      </c>
      <c r="S531" t="s">
        <v>4363</v>
      </c>
      <c r="T531" t="s">
        <v>7662</v>
      </c>
      <c r="U531" t="s">
        <v>7662</v>
      </c>
      <c r="V531" t="s">
        <v>7662</v>
      </c>
      <c r="W531">
        <v>20</v>
      </c>
      <c r="X531" t="s">
        <v>8193</v>
      </c>
      <c r="Y531">
        <v>0.46954407040517132</v>
      </c>
      <c r="Z531" t="str">
        <f>HYPERLINK("Melting_Curves/meltCurve_sp_P08603_CFAH_HUMAN_.pdf", "Melting_Curves/meltCurve_sp_P08603_CFAH_HUMAN_.pdf")</f>
        <v>Melting_Curves/meltCurve_sp_P08603_CFAH_HUMAN_.pdf</v>
      </c>
      <c r="AA531" t="s">
        <v>12013</v>
      </c>
      <c r="AB531" t="s">
        <v>15772</v>
      </c>
    </row>
    <row r="532" spans="1:28" x14ac:dyDescent="0.25">
      <c r="A532" t="s">
        <v>536</v>
      </c>
      <c r="B532">
        <v>0.98876768158843997</v>
      </c>
      <c r="C532">
        <v>0.91324286050522097</v>
      </c>
      <c r="D532">
        <v>0.99514480003807204</v>
      </c>
      <c r="E532">
        <v>0.76179423928299705</v>
      </c>
      <c r="F532">
        <v>0.35263060378076699</v>
      </c>
      <c r="G532">
        <v>0.21130848224267901</v>
      </c>
      <c r="H532">
        <v>0.13983471974190001</v>
      </c>
      <c r="I532">
        <v>0.134612408070822</v>
      </c>
      <c r="J532">
        <v>0.20182931720854599</v>
      </c>
      <c r="K532">
        <v>0.16124114630967801</v>
      </c>
      <c r="L532">
        <v>1851.7693824034</v>
      </c>
      <c r="M532">
        <v>36.129526010668798</v>
      </c>
      <c r="N532">
        <v>51.823329349814998</v>
      </c>
      <c r="O532">
        <v>51.097372868023797</v>
      </c>
      <c r="P532">
        <v>-0.147797214901879</v>
      </c>
      <c r="Q532">
        <v>0.16389431499975099</v>
      </c>
      <c r="R532">
        <v>0.99121739560309396</v>
      </c>
      <c r="S532" t="s">
        <v>4364</v>
      </c>
      <c r="T532" t="s">
        <v>7662</v>
      </c>
      <c r="U532" t="s">
        <v>7662</v>
      </c>
      <c r="V532" t="s">
        <v>7662</v>
      </c>
      <c r="W532">
        <v>5</v>
      </c>
      <c r="X532" t="s">
        <v>8194</v>
      </c>
      <c r="Y532">
        <v>0.48117019124056409</v>
      </c>
      <c r="Z532" t="str">
        <f>HYPERLINK("Melting_Curves/meltCurve_sp_P08621_2_RU17_HUMAN_.pdf", "Melting_Curves/meltCurve_sp_P08621_2_RU17_HUMAN_.pdf")</f>
        <v>Melting_Curves/meltCurve_sp_P08621_2_RU17_HUMAN_.pdf</v>
      </c>
      <c r="AA532" t="s">
        <v>12014</v>
      </c>
      <c r="AB532" t="s">
        <v>15773</v>
      </c>
    </row>
    <row r="533" spans="1:28" x14ac:dyDescent="0.25">
      <c r="A533" t="s">
        <v>537</v>
      </c>
      <c r="B533">
        <v>0.98876768158843997</v>
      </c>
      <c r="C533">
        <v>0.993283060521992</v>
      </c>
      <c r="D533">
        <v>0.88024801804009001</v>
      </c>
      <c r="E533">
        <v>0.61837395260670802</v>
      </c>
      <c r="F533">
        <v>0.62147531614649598</v>
      </c>
      <c r="G533">
        <v>0.42585090665762199</v>
      </c>
      <c r="H533">
        <v>0.35503884433390398</v>
      </c>
      <c r="I533">
        <v>0.37273651073298802</v>
      </c>
      <c r="J533">
        <v>0.466981263525033</v>
      </c>
      <c r="K533">
        <v>0.42692251116009</v>
      </c>
      <c r="L533">
        <v>896.76736141607398</v>
      </c>
      <c r="M533">
        <v>18.134032948115699</v>
      </c>
      <c r="N533">
        <v>54.290152097704002</v>
      </c>
      <c r="O533">
        <v>48.862550938488098</v>
      </c>
      <c r="P533">
        <v>-5.5610610475722501E-2</v>
      </c>
      <c r="Q533">
        <v>0.400652522729119</v>
      </c>
      <c r="R533">
        <v>0.96333258953491396</v>
      </c>
      <c r="S533" t="s">
        <v>4365</v>
      </c>
      <c r="T533" t="s">
        <v>7662</v>
      </c>
      <c r="U533" t="s">
        <v>7662</v>
      </c>
      <c r="V533" t="s">
        <v>7662</v>
      </c>
      <c r="W533">
        <v>6</v>
      </c>
      <c r="X533" t="s">
        <v>8195</v>
      </c>
      <c r="Y533">
        <v>0.59964326338846941</v>
      </c>
      <c r="Z533" t="str">
        <f>HYPERLINK("Melting_Curves/meltCurve_sp_P08651_2_NFIC_HUMAN_.pdf", "Melting_Curves/meltCurve_sp_P08651_2_NFIC_HUMAN_.pdf")</f>
        <v>Melting_Curves/meltCurve_sp_P08651_2_NFIC_HUMAN_.pdf</v>
      </c>
      <c r="AA533" t="s">
        <v>12015</v>
      </c>
      <c r="AB533" t="s">
        <v>15774</v>
      </c>
    </row>
    <row r="534" spans="1:28" x14ac:dyDescent="0.25">
      <c r="A534" t="s">
        <v>538</v>
      </c>
      <c r="B534">
        <v>0.98876768158843997</v>
      </c>
      <c r="C534">
        <v>1.02408545747885</v>
      </c>
      <c r="D534">
        <v>0.925238668967162</v>
      </c>
      <c r="E534">
        <v>0.74558627205412598</v>
      </c>
      <c r="F534">
        <v>0.74400090279830799</v>
      </c>
      <c r="G534">
        <v>0.52050589275604497</v>
      </c>
      <c r="H534">
        <v>0.40542936504749899</v>
      </c>
      <c r="I534">
        <v>0.45504725950672698</v>
      </c>
      <c r="J534">
        <v>0.57017469927372699</v>
      </c>
      <c r="K534">
        <v>0.612106947597718</v>
      </c>
      <c r="L534">
        <v>1004.69497660346</v>
      </c>
      <c r="M534">
        <v>19.803700653500702</v>
      </c>
      <c r="O534">
        <v>50.223879929762901</v>
      </c>
      <c r="P534">
        <v>-4.8645876616326002E-2</v>
      </c>
      <c r="Q534">
        <v>0.50653626060668</v>
      </c>
      <c r="R534">
        <v>0.89995074281116305</v>
      </c>
      <c r="S534" t="s">
        <v>4366</v>
      </c>
      <c r="T534" t="s">
        <v>7662</v>
      </c>
      <c r="U534" t="s">
        <v>7662</v>
      </c>
      <c r="V534" t="s">
        <v>7662</v>
      </c>
      <c r="W534">
        <v>29</v>
      </c>
      <c r="X534" t="s">
        <v>8196</v>
      </c>
      <c r="Y534">
        <v>0.69005955389162266</v>
      </c>
      <c r="Z534" t="str">
        <f>HYPERLINK("Melting_Curves/meltCurve_sp_P08670_VIME_HUMAN_.pdf", "Melting_Curves/meltCurve_sp_P08670_VIME_HUMAN_.pdf")</f>
        <v>Melting_Curves/meltCurve_sp_P08670_VIME_HUMAN_.pdf</v>
      </c>
      <c r="AA534" t="s">
        <v>12016</v>
      </c>
      <c r="AB534" t="s">
        <v>15775</v>
      </c>
    </row>
    <row r="535" spans="1:28" x14ac:dyDescent="0.25">
      <c r="A535" t="s">
        <v>539</v>
      </c>
      <c r="B535">
        <v>0.98876768158843997</v>
      </c>
      <c r="C535">
        <v>0.89597359622181305</v>
      </c>
      <c r="D535">
        <v>0.98522642884252798</v>
      </c>
      <c r="E535">
        <v>0.48591439709502199</v>
      </c>
      <c r="F535">
        <v>0.21237950725737101</v>
      </c>
      <c r="G535">
        <v>0.11701305099848899</v>
      </c>
      <c r="H535">
        <v>7.3214002970450803E-2</v>
      </c>
      <c r="I535">
        <v>6.12295374817051E-2</v>
      </c>
      <c r="J535">
        <v>8.5420304106055001E-2</v>
      </c>
      <c r="K535">
        <v>6.20827952688396E-2</v>
      </c>
      <c r="L535">
        <v>1592.92456550683</v>
      </c>
      <c r="M535">
        <v>32.002754635342903</v>
      </c>
      <c r="N535">
        <v>50.038657690903698</v>
      </c>
      <c r="O535">
        <v>49.581465353995199</v>
      </c>
      <c r="P535">
        <v>-0.148829122316749</v>
      </c>
      <c r="Q535">
        <v>7.7688294714781406E-2</v>
      </c>
      <c r="R535">
        <v>0.99057224974962799</v>
      </c>
      <c r="S535" t="s">
        <v>4367</v>
      </c>
      <c r="T535" t="s">
        <v>7662</v>
      </c>
      <c r="U535" t="s">
        <v>7662</v>
      </c>
      <c r="V535" t="s">
        <v>7662</v>
      </c>
      <c r="W535">
        <v>3</v>
      </c>
      <c r="X535" t="s">
        <v>8197</v>
      </c>
      <c r="Y535">
        <v>0.38318186947338989</v>
      </c>
      <c r="Z535" t="str">
        <f>HYPERLINK("Melting_Curves/meltCurve_sp_P08684_CP3A4_HUMAN_.pdf", "Melting_Curves/meltCurve_sp_P08684_CP3A4_HUMAN_.pdf")</f>
        <v>Melting_Curves/meltCurve_sp_P08684_CP3A4_HUMAN_.pdf</v>
      </c>
      <c r="AA535" t="s">
        <v>12017</v>
      </c>
      <c r="AB535" t="s">
        <v>15776</v>
      </c>
    </row>
    <row r="536" spans="1:28" x14ac:dyDescent="0.25">
      <c r="A536" t="s">
        <v>540</v>
      </c>
      <c r="B536">
        <v>0.98876768158843997</v>
      </c>
      <c r="C536">
        <v>0.92452371528704902</v>
      </c>
      <c r="D536">
        <v>0.83405413200072098</v>
      </c>
      <c r="E536">
        <v>0.70046146954764199</v>
      </c>
      <c r="F536">
        <v>0.59093997662207198</v>
      </c>
      <c r="G536">
        <v>0.35547387979704298</v>
      </c>
      <c r="H536">
        <v>0.14781996429385699</v>
      </c>
      <c r="I536">
        <v>0.108545970829067</v>
      </c>
      <c r="J536">
        <v>0.111770854407584</v>
      </c>
      <c r="K536">
        <v>0.108315458568639</v>
      </c>
      <c r="L536">
        <v>613.61756972776504</v>
      </c>
      <c r="M536">
        <v>11.4225378186303</v>
      </c>
      <c r="N536">
        <v>53.753922763736703</v>
      </c>
      <c r="O536">
        <v>52.152477170880303</v>
      </c>
      <c r="P536">
        <v>-5.4574173401806002E-2</v>
      </c>
      <c r="Q536">
        <v>3.60207588456925E-3</v>
      </c>
      <c r="R536">
        <v>0.99069259271354504</v>
      </c>
      <c r="S536" t="s">
        <v>4368</v>
      </c>
      <c r="T536" t="s">
        <v>7662</v>
      </c>
      <c r="U536" t="s">
        <v>7662</v>
      </c>
      <c r="V536" t="s">
        <v>7662</v>
      </c>
      <c r="W536">
        <v>4</v>
      </c>
      <c r="X536" t="s">
        <v>8198</v>
      </c>
      <c r="Y536">
        <v>0.48727069146397478</v>
      </c>
      <c r="Z536" t="str">
        <f>HYPERLINK("Melting_Curves/meltCurve_sp_P08697_A2AP_HUMAN_.pdf", "Melting_Curves/meltCurve_sp_P08697_A2AP_HUMAN_.pdf")</f>
        <v>Melting_Curves/meltCurve_sp_P08697_A2AP_HUMAN_.pdf</v>
      </c>
      <c r="AA536" t="s">
        <v>12018</v>
      </c>
      <c r="AB536" t="s">
        <v>15777</v>
      </c>
    </row>
    <row r="537" spans="1:28" x14ac:dyDescent="0.25">
      <c r="A537" t="s">
        <v>541</v>
      </c>
      <c r="B537">
        <v>0.98876768158843997</v>
      </c>
      <c r="C537">
        <v>0.97409527667969398</v>
      </c>
      <c r="D537">
        <v>0.92420117234136101</v>
      </c>
      <c r="E537">
        <v>0.72748863633873695</v>
      </c>
      <c r="F537">
        <v>0.60109682157498701</v>
      </c>
      <c r="G537">
        <v>0.43294835686139199</v>
      </c>
      <c r="H537">
        <v>0.338312874153955</v>
      </c>
      <c r="I537">
        <v>0.30071638433866699</v>
      </c>
      <c r="J537">
        <v>0.35044408431386298</v>
      </c>
      <c r="K537">
        <v>0.33271383984655101</v>
      </c>
      <c r="L537">
        <v>852.54158750271404</v>
      </c>
      <c r="M537">
        <v>16.514807840798301</v>
      </c>
      <c r="N537">
        <v>54.799836344005001</v>
      </c>
      <c r="O537">
        <v>50.883749516930401</v>
      </c>
      <c r="P537">
        <v>-5.6147627277273598E-2</v>
      </c>
      <c r="Q537">
        <v>0.30806235754087902</v>
      </c>
      <c r="R537">
        <v>0.99538104827996998</v>
      </c>
      <c r="S537" t="s">
        <v>4369</v>
      </c>
      <c r="T537" t="s">
        <v>7662</v>
      </c>
      <c r="U537" t="s">
        <v>7662</v>
      </c>
      <c r="V537" t="s">
        <v>7662</v>
      </c>
      <c r="W537">
        <v>16</v>
      </c>
      <c r="X537" t="s">
        <v>8199</v>
      </c>
      <c r="Y537">
        <v>0.58954238137618775</v>
      </c>
      <c r="Z537" t="str">
        <f>HYPERLINK("Melting_Curves/meltCurve_sp_P08727_K1C19_HUMAN_.pdf", "Melting_Curves/meltCurve_sp_P08727_K1C19_HUMAN_.pdf")</f>
        <v>Melting_Curves/meltCurve_sp_P08727_K1C19_HUMAN_.pdf</v>
      </c>
      <c r="AA537" t="s">
        <v>12019</v>
      </c>
      <c r="AB537" t="s">
        <v>15778</v>
      </c>
    </row>
    <row r="538" spans="1:28" x14ac:dyDescent="0.25">
      <c r="A538" t="s">
        <v>542</v>
      </c>
      <c r="B538">
        <v>0.98876768158843997</v>
      </c>
      <c r="C538">
        <v>0.96915696097846105</v>
      </c>
      <c r="D538">
        <v>0.91056481302335002</v>
      </c>
      <c r="E538">
        <v>0.70901961778675904</v>
      </c>
      <c r="F538">
        <v>0.69704156382795102</v>
      </c>
      <c r="G538">
        <v>0.50032506414266498</v>
      </c>
      <c r="H538">
        <v>0.359755289730329</v>
      </c>
      <c r="I538">
        <v>0.27820876600695699</v>
      </c>
      <c r="J538">
        <v>0.27135890504316101</v>
      </c>
      <c r="K538">
        <v>0.332462415689463</v>
      </c>
      <c r="L538">
        <v>637.05485023383903</v>
      </c>
      <c r="M538">
        <v>11.8895603159012</v>
      </c>
      <c r="N538">
        <v>56.496673840091297</v>
      </c>
      <c r="O538">
        <v>52.1327163423325</v>
      </c>
      <c r="P538">
        <v>-4.3953269884504702E-2</v>
      </c>
      <c r="Q538">
        <v>0.22929665780248601</v>
      </c>
      <c r="R538">
        <v>0.98161273075760702</v>
      </c>
      <c r="S538" t="s">
        <v>4370</v>
      </c>
      <c r="T538" t="s">
        <v>7662</v>
      </c>
      <c r="U538" t="s">
        <v>7662</v>
      </c>
      <c r="V538" t="s">
        <v>7662</v>
      </c>
      <c r="W538">
        <v>16</v>
      </c>
      <c r="X538" t="s">
        <v>8200</v>
      </c>
      <c r="Y538">
        <v>0.599303612396621</v>
      </c>
      <c r="Z538" t="str">
        <f>HYPERLINK("Melting_Curves/meltCurve_sp_P08729_K2C7_HUMAN_.pdf", "Melting_Curves/meltCurve_sp_P08729_K2C7_HUMAN_.pdf")</f>
        <v>Melting_Curves/meltCurve_sp_P08729_K2C7_HUMAN_.pdf</v>
      </c>
      <c r="AA538" t="s">
        <v>12020</v>
      </c>
      <c r="AB538" t="s">
        <v>15779</v>
      </c>
    </row>
    <row r="539" spans="1:28" x14ac:dyDescent="0.25">
      <c r="A539" t="s">
        <v>543</v>
      </c>
      <c r="B539">
        <v>0.98876768158843997</v>
      </c>
      <c r="C539">
        <v>0.84783729160296495</v>
      </c>
      <c r="D539">
        <v>1.07320769466438</v>
      </c>
      <c r="E539">
        <v>0.86567346596176797</v>
      </c>
      <c r="F539">
        <v>0.50211090434365002</v>
      </c>
      <c r="G539">
        <v>0.27270862157418402</v>
      </c>
      <c r="H539">
        <v>0.16130618996516599</v>
      </c>
      <c r="I539">
        <v>0.125491421428848</v>
      </c>
      <c r="J539">
        <v>0.100264082677765</v>
      </c>
      <c r="K539">
        <v>0.12877043513318401</v>
      </c>
      <c r="L539">
        <v>1463.61054198888</v>
      </c>
      <c r="M539">
        <v>27.736189215363702</v>
      </c>
      <c r="N539">
        <v>53.337881857904698</v>
      </c>
      <c r="O539">
        <v>52.496967298897097</v>
      </c>
      <c r="P539">
        <v>-0.11517313481742</v>
      </c>
      <c r="Q539">
        <v>0.12804372823038199</v>
      </c>
      <c r="R539">
        <v>0.97512432193876897</v>
      </c>
      <c r="S539" t="s">
        <v>4371</v>
      </c>
      <c r="T539" t="s">
        <v>7662</v>
      </c>
      <c r="U539" t="s">
        <v>7662</v>
      </c>
      <c r="V539" t="s">
        <v>7662</v>
      </c>
      <c r="W539">
        <v>3</v>
      </c>
      <c r="X539" t="s">
        <v>8201</v>
      </c>
      <c r="Y539">
        <v>0.50574593765805476</v>
      </c>
      <c r="Z539" t="str">
        <f>HYPERLINK("Melting_Curves/meltCurve_sp_P09012_SNRPA_HUMAN_.pdf", "Melting_Curves/meltCurve_sp_P09012_SNRPA_HUMAN_.pdf")</f>
        <v>Melting_Curves/meltCurve_sp_P09012_SNRPA_HUMAN_.pdf</v>
      </c>
      <c r="AA539" t="s">
        <v>12021</v>
      </c>
      <c r="AB539" t="s">
        <v>15780</v>
      </c>
    </row>
    <row r="540" spans="1:28" x14ac:dyDescent="0.25">
      <c r="A540" t="s">
        <v>544</v>
      </c>
      <c r="B540">
        <v>0.98876768158843997</v>
      </c>
      <c r="C540">
        <v>0.73569978451853701</v>
      </c>
      <c r="D540">
        <v>0.91606821420278906</v>
      </c>
      <c r="E540">
        <v>0.94021641432666303</v>
      </c>
      <c r="F540">
        <v>0.62286357330410902</v>
      </c>
      <c r="G540">
        <v>0.60186753955070305</v>
      </c>
      <c r="H540">
        <v>0.33948094133670498</v>
      </c>
      <c r="I540">
        <v>0.15393219044450501</v>
      </c>
      <c r="J540">
        <v>4.7134958198115098E-2</v>
      </c>
      <c r="K540">
        <v>2.8766956462815699E-2</v>
      </c>
      <c r="L540">
        <v>757.671666012944</v>
      </c>
      <c r="M540">
        <v>13.2903732580947</v>
      </c>
      <c r="N540">
        <v>57.009041901292797</v>
      </c>
      <c r="O540">
        <v>55.764750461840102</v>
      </c>
      <c r="P540">
        <v>-5.9591980510664902E-2</v>
      </c>
      <c r="Q540">
        <v>0</v>
      </c>
      <c r="R540">
        <v>0.916235259378543</v>
      </c>
      <c r="S540" t="s">
        <v>4372</v>
      </c>
      <c r="T540" t="s">
        <v>7662</v>
      </c>
      <c r="U540" t="s">
        <v>7662</v>
      </c>
      <c r="V540" t="s">
        <v>7662</v>
      </c>
      <c r="W540">
        <v>28</v>
      </c>
      <c r="X540" t="s">
        <v>8202</v>
      </c>
      <c r="Y540">
        <v>0.58357978049888592</v>
      </c>
      <c r="Z540" t="str">
        <f>HYPERLINK("Melting_Curves/meltCurve_sp_P09110_THIK_HUMAN_.pdf", "Melting_Curves/meltCurve_sp_P09110_THIK_HUMAN_.pdf")</f>
        <v>Melting_Curves/meltCurve_sp_P09110_THIK_HUMAN_.pdf</v>
      </c>
      <c r="AA540" t="s">
        <v>12022</v>
      </c>
      <c r="AB540" t="s">
        <v>15781</v>
      </c>
    </row>
    <row r="541" spans="1:28" x14ac:dyDescent="0.25">
      <c r="A541" t="s">
        <v>545</v>
      </c>
      <c r="B541">
        <v>0.98876768158843997</v>
      </c>
      <c r="C541">
        <v>0.97860973671769802</v>
      </c>
      <c r="D541">
        <v>0.95554694108707705</v>
      </c>
      <c r="E541">
        <v>0.48766266867345298</v>
      </c>
      <c r="F541">
        <v>0.264884958752097</v>
      </c>
      <c r="G541">
        <v>0.15260674733862001</v>
      </c>
      <c r="H541">
        <v>0.114279431093537</v>
      </c>
      <c r="I541">
        <v>0.118251377612064</v>
      </c>
      <c r="J541">
        <v>0.14406756538167101</v>
      </c>
      <c r="K541">
        <v>0.149426676999172</v>
      </c>
      <c r="L541">
        <v>1543.4019453452499</v>
      </c>
      <c r="M541">
        <v>31.147964658406401</v>
      </c>
      <c r="N541">
        <v>50.058068680037003</v>
      </c>
      <c r="O541">
        <v>49.347753235238699</v>
      </c>
      <c r="P541">
        <v>-0.13643741646969301</v>
      </c>
      <c r="Q541">
        <v>0.13537308409333601</v>
      </c>
      <c r="R541">
        <v>0.997455465427737</v>
      </c>
      <c r="S541" t="s">
        <v>4373</v>
      </c>
      <c r="T541" t="s">
        <v>7662</v>
      </c>
      <c r="U541" t="s">
        <v>7662</v>
      </c>
      <c r="V541" t="s">
        <v>7662</v>
      </c>
      <c r="W541">
        <v>4</v>
      </c>
      <c r="X541" t="s">
        <v>8203</v>
      </c>
      <c r="Y541">
        <v>0.41555077203894458</v>
      </c>
      <c r="Z541" t="str">
        <f>HYPERLINK("Melting_Curves/meltCurve_sp_P09132_SRP19_HUMAN_.pdf", "Melting_Curves/meltCurve_sp_P09132_SRP19_HUMAN_.pdf")</f>
        <v>Melting_Curves/meltCurve_sp_P09132_SRP19_HUMAN_.pdf</v>
      </c>
      <c r="AA541" t="s">
        <v>12023</v>
      </c>
      <c r="AB541" t="s">
        <v>15782</v>
      </c>
    </row>
    <row r="542" spans="1:28" x14ac:dyDescent="0.25">
      <c r="A542" t="s">
        <v>546</v>
      </c>
      <c r="B542">
        <v>0.98876768158843997</v>
      </c>
      <c r="C542">
        <v>1.0958368709797499</v>
      </c>
      <c r="D542">
        <v>0.76737652777248699</v>
      </c>
      <c r="E542">
        <v>0.240206964502065</v>
      </c>
      <c r="F542">
        <v>9.1737336369822203E-2</v>
      </c>
      <c r="G542">
        <v>5.0733311863829601E-2</v>
      </c>
      <c r="H542">
        <v>3.0591894629754399E-2</v>
      </c>
      <c r="I542">
        <v>2.7261095292345799E-2</v>
      </c>
      <c r="J542">
        <v>2.9535341264879701E-2</v>
      </c>
      <c r="K542">
        <v>2.6182877462227899E-2</v>
      </c>
      <c r="L542">
        <v>1535.7435415585201</v>
      </c>
      <c r="M542">
        <v>32.073328401426998</v>
      </c>
      <c r="N542">
        <v>47.990693302504503</v>
      </c>
      <c r="O542">
        <v>47.697274572093598</v>
      </c>
      <c r="P542">
        <v>-0.16223486712548599</v>
      </c>
      <c r="Q542">
        <v>3.4946134476325899E-2</v>
      </c>
      <c r="R542">
        <v>0.99096728296553105</v>
      </c>
      <c r="S542" t="s">
        <v>4374</v>
      </c>
      <c r="T542" t="s">
        <v>7662</v>
      </c>
      <c r="U542" t="s">
        <v>7662</v>
      </c>
      <c r="V542" t="s">
        <v>7662</v>
      </c>
      <c r="W542">
        <v>16</v>
      </c>
      <c r="X542" t="s">
        <v>8204</v>
      </c>
      <c r="Y542">
        <v>0.29355354399169492</v>
      </c>
      <c r="Z542" t="str">
        <f>HYPERLINK("Melting_Curves/meltCurve_sp_P09210_GSTA2_HUMAN_.pdf", "Melting_Curves/meltCurve_sp_P09210_GSTA2_HUMAN_.pdf")</f>
        <v>Melting_Curves/meltCurve_sp_P09210_GSTA2_HUMAN_.pdf</v>
      </c>
      <c r="AA542" t="s">
        <v>12024</v>
      </c>
      <c r="AB542" t="s">
        <v>15783</v>
      </c>
    </row>
    <row r="543" spans="1:28" x14ac:dyDescent="0.25">
      <c r="A543" t="s">
        <v>547</v>
      </c>
      <c r="B543">
        <v>0.98876768158843997</v>
      </c>
      <c r="C543">
        <v>0.994523190563256</v>
      </c>
      <c r="D543">
        <v>0.945721125502754</v>
      </c>
      <c r="E543">
        <v>0.67587605838005704</v>
      </c>
      <c r="F543">
        <v>0.66320544105909196</v>
      </c>
      <c r="G543">
        <v>0.45300334578863299</v>
      </c>
      <c r="H543">
        <v>0.37035456778347497</v>
      </c>
      <c r="I543">
        <v>0.44154671736284601</v>
      </c>
      <c r="J543">
        <v>0.43408078088498098</v>
      </c>
      <c r="K543">
        <v>0.77458926801022399</v>
      </c>
      <c r="L543">
        <v>1239.6223157621</v>
      </c>
      <c r="M543">
        <v>25.087872762895302</v>
      </c>
      <c r="O543">
        <v>49.100483446308203</v>
      </c>
      <c r="P543">
        <v>-6.3740506653232998E-2</v>
      </c>
      <c r="Q543">
        <v>0.50101020574501498</v>
      </c>
      <c r="R543">
        <v>0.78760922632218899</v>
      </c>
      <c r="S543" t="s">
        <v>4375</v>
      </c>
      <c r="T543" t="s">
        <v>7662</v>
      </c>
      <c r="U543" t="s">
        <v>7662</v>
      </c>
      <c r="V543" t="s">
        <v>7662</v>
      </c>
      <c r="W543">
        <v>2</v>
      </c>
      <c r="X543" t="s">
        <v>8205</v>
      </c>
      <c r="Y543">
        <v>0.66195062997926135</v>
      </c>
      <c r="Z543" t="str">
        <f>HYPERLINK("Melting_Curves/meltCurve_sp_P09234_RU1C_HUMAN_.pdf", "Melting_Curves/meltCurve_sp_P09234_RU1C_HUMAN_.pdf")</f>
        <v>Melting_Curves/meltCurve_sp_P09234_RU1C_HUMAN_.pdf</v>
      </c>
      <c r="AA543" t="s">
        <v>12025</v>
      </c>
      <c r="AB543" t="s">
        <v>15784</v>
      </c>
    </row>
    <row r="544" spans="1:28" x14ac:dyDescent="0.25">
      <c r="A544" t="s">
        <v>548</v>
      </c>
      <c r="B544">
        <v>0.98876768158843997</v>
      </c>
      <c r="C544">
        <v>0.92535357750712799</v>
      </c>
      <c r="D544">
        <v>0.75723042594041101</v>
      </c>
      <c r="E544">
        <v>0.38960249814624598</v>
      </c>
      <c r="F544">
        <v>0.16042321942923801</v>
      </c>
      <c r="G544">
        <v>7.4462961366774397E-2</v>
      </c>
      <c r="H544">
        <v>4.2524888571868397E-2</v>
      </c>
      <c r="I544">
        <v>3.9325216279618498E-2</v>
      </c>
      <c r="J544">
        <v>4.6279695887230902E-2</v>
      </c>
      <c r="K544">
        <v>3.9047520739164197E-2</v>
      </c>
      <c r="L544">
        <v>986.83340078171796</v>
      </c>
      <c r="M544">
        <v>20.3454607863173</v>
      </c>
      <c r="N544">
        <v>48.665773311373599</v>
      </c>
      <c r="O544">
        <v>48.042561020714601</v>
      </c>
      <c r="P544">
        <v>-0.102410520861864</v>
      </c>
      <c r="Q544">
        <v>3.2724881136521902E-2</v>
      </c>
      <c r="R544">
        <v>0.999365173390106</v>
      </c>
      <c r="S544" t="s">
        <v>4376</v>
      </c>
      <c r="T544" t="s">
        <v>7662</v>
      </c>
      <c r="U544" t="s">
        <v>7662</v>
      </c>
      <c r="V544" t="s">
        <v>7662</v>
      </c>
      <c r="W544">
        <v>20</v>
      </c>
      <c r="X544" t="s">
        <v>8206</v>
      </c>
      <c r="Y544">
        <v>0.32006177281551351</v>
      </c>
      <c r="Z544" t="str">
        <f>HYPERLINK("Melting_Curves/meltCurve_sp_P09327_VILI_HUMAN_.pdf", "Melting_Curves/meltCurve_sp_P09327_VILI_HUMAN_.pdf")</f>
        <v>Melting_Curves/meltCurve_sp_P09327_VILI_HUMAN_.pdf</v>
      </c>
      <c r="AA544" t="s">
        <v>12026</v>
      </c>
      <c r="AB544" t="s">
        <v>15785</v>
      </c>
    </row>
    <row r="545" spans="1:28" x14ac:dyDescent="0.25">
      <c r="A545" t="s">
        <v>549</v>
      </c>
      <c r="B545">
        <v>0.98876768158843997</v>
      </c>
      <c r="C545">
        <v>1.1841018676304</v>
      </c>
      <c r="D545">
        <v>0.86843801484948702</v>
      </c>
      <c r="E545">
        <v>0.80978079231588695</v>
      </c>
      <c r="F545">
        <v>0.89508857302046096</v>
      </c>
      <c r="G545">
        <v>0.62669420738448101</v>
      </c>
      <c r="H545">
        <v>0.45016746180962602</v>
      </c>
      <c r="I545">
        <v>0.44559645004966603</v>
      </c>
      <c r="J545">
        <v>0.47869716957226699</v>
      </c>
      <c r="K545">
        <v>0.53652056429752204</v>
      </c>
      <c r="L545">
        <v>972.04636891975099</v>
      </c>
      <c r="M545">
        <v>17.851053904694201</v>
      </c>
      <c r="N545">
        <v>62.716681596088101</v>
      </c>
      <c r="O545">
        <v>53.7836016651612</v>
      </c>
      <c r="P545">
        <v>-4.5439052336252499E-2</v>
      </c>
      <c r="Q545">
        <v>0.45241299222619402</v>
      </c>
      <c r="R545">
        <v>0.86437513287207302</v>
      </c>
      <c r="S545" t="s">
        <v>4377</v>
      </c>
      <c r="T545" t="s">
        <v>7662</v>
      </c>
      <c r="U545" t="s">
        <v>7662</v>
      </c>
      <c r="V545" t="s">
        <v>7662</v>
      </c>
      <c r="W545">
        <v>10</v>
      </c>
      <c r="X545" t="s">
        <v>8207</v>
      </c>
      <c r="Y545">
        <v>0.72496982883486405</v>
      </c>
      <c r="Z545" t="str">
        <f>HYPERLINK("Melting_Curves/meltCurve_sp_P09382_LEG1_HUMAN_.pdf", "Melting_Curves/meltCurve_sp_P09382_LEG1_HUMAN_.pdf")</f>
        <v>Melting_Curves/meltCurve_sp_P09382_LEG1_HUMAN_.pdf</v>
      </c>
      <c r="AA545" t="s">
        <v>12027</v>
      </c>
      <c r="AB545" t="s">
        <v>15786</v>
      </c>
    </row>
    <row r="546" spans="1:28" x14ac:dyDescent="0.25">
      <c r="A546" t="s">
        <v>550</v>
      </c>
      <c r="B546">
        <v>0.98876768158843997</v>
      </c>
      <c r="C546">
        <v>1.02158378103801</v>
      </c>
      <c r="D546">
        <v>0.84152311879852004</v>
      </c>
      <c r="E546">
        <v>0.76426986688265697</v>
      </c>
      <c r="F546">
        <v>0.21280637021377299</v>
      </c>
      <c r="G546">
        <v>8.0725422872438599E-2</v>
      </c>
      <c r="H546">
        <v>4.72054243527147E-2</v>
      </c>
      <c r="I546">
        <v>4.4522560913241201E-2</v>
      </c>
      <c r="J546">
        <v>4.3458713097112397E-2</v>
      </c>
      <c r="K546">
        <v>4.3648744556937E-2</v>
      </c>
      <c r="L546">
        <v>2177.6308170357302</v>
      </c>
      <c r="M546">
        <v>42.535344037150601</v>
      </c>
      <c r="N546">
        <v>51.3155607008947</v>
      </c>
      <c r="O546">
        <v>51.083029087650701</v>
      </c>
      <c r="P546">
        <v>-0.19833169532895101</v>
      </c>
      <c r="Q546">
        <v>4.72519425160444E-2</v>
      </c>
      <c r="R546">
        <v>0.985689122509253</v>
      </c>
      <c r="S546" t="s">
        <v>4378</v>
      </c>
      <c r="T546" t="s">
        <v>7662</v>
      </c>
      <c r="U546" t="s">
        <v>7662</v>
      </c>
      <c r="V546" t="s">
        <v>7662</v>
      </c>
      <c r="W546">
        <v>13</v>
      </c>
      <c r="X546" t="s">
        <v>8208</v>
      </c>
      <c r="Y546">
        <v>0.40578979714771107</v>
      </c>
      <c r="Z546" t="str">
        <f>HYPERLINK("Melting_Curves/meltCurve_sp_P09417_DHPR_HUMAN_.pdf", "Melting_Curves/meltCurve_sp_P09417_DHPR_HUMAN_.pdf")</f>
        <v>Melting_Curves/meltCurve_sp_P09417_DHPR_HUMAN_.pdf</v>
      </c>
      <c r="AA546" t="s">
        <v>12028</v>
      </c>
      <c r="AB546" t="s">
        <v>15787</v>
      </c>
    </row>
    <row r="547" spans="1:28" x14ac:dyDescent="0.25">
      <c r="A547" t="s">
        <v>551</v>
      </c>
      <c r="B547">
        <v>0.98876768158843997</v>
      </c>
      <c r="C547">
        <v>1.19619349964317</v>
      </c>
      <c r="D547">
        <v>0.88431033477926702</v>
      </c>
      <c r="E547">
        <v>0.84046367552980294</v>
      </c>
      <c r="F547">
        <v>1.0678003759066499</v>
      </c>
      <c r="G547">
        <v>0.72874944280118203</v>
      </c>
      <c r="H547">
        <v>0.55220413345559105</v>
      </c>
      <c r="I547">
        <v>0.68725921051821803</v>
      </c>
      <c r="J547">
        <v>0.60058573684543803</v>
      </c>
      <c r="K547">
        <v>1.0611630256198901</v>
      </c>
      <c r="L547">
        <v>14001.2394410947</v>
      </c>
      <c r="M547">
        <v>250</v>
      </c>
      <c r="O547">
        <v>56.0013740772429</v>
      </c>
      <c r="P547">
        <v>-0.30657503446058199</v>
      </c>
      <c r="Q547">
        <v>0.72530203058968701</v>
      </c>
      <c r="R547">
        <v>0.42876143955053297</v>
      </c>
      <c r="S547" t="s">
        <v>4379</v>
      </c>
      <c r="T547" t="s">
        <v>7662</v>
      </c>
      <c r="U547" t="s">
        <v>7662</v>
      </c>
      <c r="V547" t="s">
        <v>7662</v>
      </c>
      <c r="W547">
        <v>15</v>
      </c>
      <c r="X547" t="s">
        <v>8209</v>
      </c>
      <c r="Y547">
        <v>0.87188001000255411</v>
      </c>
      <c r="Z547" t="str">
        <f>HYPERLINK("Melting_Curves/meltCurve_sp_P09429_HMGB1_HUMAN_.pdf", "Melting_Curves/meltCurve_sp_P09429_HMGB1_HUMAN_.pdf")</f>
        <v>Melting_Curves/meltCurve_sp_P09429_HMGB1_HUMAN_.pdf</v>
      </c>
      <c r="AA547" t="s">
        <v>12029</v>
      </c>
      <c r="AB547" t="s">
        <v>15788</v>
      </c>
    </row>
    <row r="548" spans="1:28" x14ac:dyDescent="0.25">
      <c r="A548" t="s">
        <v>552</v>
      </c>
      <c r="B548">
        <v>0.98876768158843997</v>
      </c>
      <c r="C548">
        <v>0.94341919224654502</v>
      </c>
      <c r="D548">
        <v>0.99022726491784296</v>
      </c>
      <c r="E548">
        <v>0.94169436333010204</v>
      </c>
      <c r="F548">
        <v>0.81459900207783897</v>
      </c>
      <c r="G548">
        <v>0.63672766502758105</v>
      </c>
      <c r="H548">
        <v>0.56660210241301801</v>
      </c>
      <c r="I548">
        <v>0.67423079433260802</v>
      </c>
      <c r="J548">
        <v>0.52322592419011005</v>
      </c>
      <c r="K548">
        <v>0.157409457633785</v>
      </c>
      <c r="L548">
        <v>508.40092592331501</v>
      </c>
      <c r="M548">
        <v>7.9218849577774</v>
      </c>
      <c r="N548">
        <v>64.176760558223506</v>
      </c>
      <c r="O548">
        <v>60.473720076322998</v>
      </c>
      <c r="P548">
        <v>-3.2787711890774299E-2</v>
      </c>
      <c r="Q548">
        <v>0</v>
      </c>
      <c r="R548">
        <v>0.86272419922737797</v>
      </c>
      <c r="S548" t="s">
        <v>4380</v>
      </c>
      <c r="T548" t="s">
        <v>7662</v>
      </c>
      <c r="U548" t="s">
        <v>7662</v>
      </c>
      <c r="V548" t="s">
        <v>7662</v>
      </c>
      <c r="W548">
        <v>28</v>
      </c>
      <c r="X548" t="s">
        <v>8210</v>
      </c>
      <c r="Y548">
        <v>0.74085861221296778</v>
      </c>
      <c r="Z548" t="str">
        <f>HYPERLINK("Melting_Curves/meltCurve_sp_P09467_F16P1_HUMAN_.pdf", "Melting_Curves/meltCurve_sp_P09467_F16P1_HUMAN_.pdf")</f>
        <v>Melting_Curves/meltCurve_sp_P09467_F16P1_HUMAN_.pdf</v>
      </c>
      <c r="AA548" t="s">
        <v>12030</v>
      </c>
      <c r="AB548" t="s">
        <v>15789</v>
      </c>
    </row>
    <row r="549" spans="1:28" x14ac:dyDescent="0.25">
      <c r="A549" t="s">
        <v>553</v>
      </c>
      <c r="B549">
        <v>0.98876768158843997</v>
      </c>
      <c r="C549">
        <v>1.06895650571686</v>
      </c>
      <c r="D549">
        <v>0.91180334284857201</v>
      </c>
      <c r="E549">
        <v>0.80674372829863805</v>
      </c>
      <c r="F549">
        <v>0.92693897701880601</v>
      </c>
      <c r="G549">
        <v>0.70662444335987895</v>
      </c>
      <c r="H549">
        <v>0.58882345522008195</v>
      </c>
      <c r="I549">
        <v>0.65413112097537396</v>
      </c>
      <c r="J549">
        <v>0.87474712308213098</v>
      </c>
      <c r="K549">
        <v>0.98427884088171702</v>
      </c>
      <c r="L549">
        <v>1151.0692487221399</v>
      </c>
      <c r="M549">
        <v>24.008532946800401</v>
      </c>
      <c r="O549">
        <v>47.615261077251198</v>
      </c>
      <c r="P549">
        <v>-2.78864671193901E-2</v>
      </c>
      <c r="Q549">
        <v>0.77877857801573702</v>
      </c>
      <c r="R549">
        <v>0.40131562733591902</v>
      </c>
      <c r="S549" t="s">
        <v>4381</v>
      </c>
      <c r="T549" t="s">
        <v>7662</v>
      </c>
      <c r="U549" t="s">
        <v>7662</v>
      </c>
      <c r="V549" t="s">
        <v>7662</v>
      </c>
      <c r="W549">
        <v>25</v>
      </c>
      <c r="X549" t="s">
        <v>8211</v>
      </c>
      <c r="Y549">
        <v>0.83949092261756664</v>
      </c>
      <c r="Z549" t="str">
        <f>HYPERLINK("Melting_Curves/meltCurve_sp_P09493_3_TPM1_HUMAN_.pdf", "Melting_Curves/meltCurve_sp_P09493_3_TPM1_HUMAN_.pdf")</f>
        <v>Melting_Curves/meltCurve_sp_P09493_3_TPM1_HUMAN_.pdf</v>
      </c>
      <c r="AA549" t="s">
        <v>12031</v>
      </c>
      <c r="AB549" t="s">
        <v>15790</v>
      </c>
    </row>
    <row r="550" spans="1:28" x14ac:dyDescent="0.25">
      <c r="A550" t="s">
        <v>554</v>
      </c>
      <c r="B550">
        <v>0.98876768158843997</v>
      </c>
      <c r="C550">
        <v>0.95612051724094405</v>
      </c>
      <c r="D550">
        <v>1.1215902002295699</v>
      </c>
      <c r="E550">
        <v>0.91215631511237805</v>
      </c>
      <c r="F550">
        <v>1.10147412116206</v>
      </c>
      <c r="G550">
        <v>0.82908493886148704</v>
      </c>
      <c r="H550">
        <v>0.66619004561397599</v>
      </c>
      <c r="I550">
        <v>0.849549708271925</v>
      </c>
      <c r="J550">
        <v>1.0709055785502799</v>
      </c>
      <c r="K550">
        <v>1.1736005157940399</v>
      </c>
      <c r="L550">
        <v>15000</v>
      </c>
      <c r="M550">
        <v>223.50971352124</v>
      </c>
      <c r="O550">
        <v>67.1058021803223</v>
      </c>
      <c r="P550">
        <v>0.14456898623408301</v>
      </c>
      <c r="Q550">
        <v>1.17361962376346</v>
      </c>
      <c r="R550">
        <v>0.108996058478513</v>
      </c>
      <c r="S550" t="s">
        <v>4382</v>
      </c>
      <c r="T550" t="s">
        <v>7662</v>
      </c>
      <c r="U550" t="s">
        <v>7662</v>
      </c>
      <c r="V550" t="s">
        <v>7662</v>
      </c>
      <c r="W550">
        <v>10</v>
      </c>
      <c r="X550" t="s">
        <v>8212</v>
      </c>
      <c r="Y550">
        <v>1.016693147662078</v>
      </c>
      <c r="Z550" t="str">
        <f>HYPERLINK("Melting_Curves/meltCurve_sp_P09496_2_CLCA_HUMAN_.pdf", "Melting_Curves/meltCurve_sp_P09496_2_CLCA_HUMAN_.pdf")</f>
        <v>Melting_Curves/meltCurve_sp_P09496_2_CLCA_HUMAN_.pdf</v>
      </c>
      <c r="AA550" t="s">
        <v>12032</v>
      </c>
      <c r="AB550" t="s">
        <v>15791</v>
      </c>
    </row>
    <row r="551" spans="1:28" x14ac:dyDescent="0.25">
      <c r="A551" t="s">
        <v>555</v>
      </c>
      <c r="B551">
        <v>0.98876768158843997</v>
      </c>
      <c r="C551">
        <v>0.96233385381668402</v>
      </c>
      <c r="D551">
        <v>1.1515693759524901</v>
      </c>
      <c r="E551">
        <v>0.96363605942508801</v>
      </c>
      <c r="F551">
        <v>1.1678797141692201</v>
      </c>
      <c r="G551">
        <v>0.87690444670998802</v>
      </c>
      <c r="H551">
        <v>0.70531792470208798</v>
      </c>
      <c r="I551">
        <v>0.82933645451649196</v>
      </c>
      <c r="J551">
        <v>1.0388679586921401</v>
      </c>
      <c r="K551">
        <v>1.21404541445706</v>
      </c>
      <c r="L551">
        <v>2682.086800306</v>
      </c>
      <c r="M551">
        <v>48.378937843064101</v>
      </c>
      <c r="O551">
        <v>55.344668787610097</v>
      </c>
      <c r="P551">
        <v>-1.3739868401012101E-2</v>
      </c>
      <c r="Q551">
        <v>0.93712737814240898</v>
      </c>
      <c r="R551">
        <v>7.4301827671512097E-2</v>
      </c>
      <c r="S551" t="s">
        <v>4383</v>
      </c>
      <c r="T551" t="s">
        <v>7662</v>
      </c>
      <c r="U551" t="s">
        <v>7662</v>
      </c>
      <c r="V551" t="s">
        <v>7662</v>
      </c>
      <c r="W551">
        <v>11</v>
      </c>
      <c r="X551" t="s">
        <v>8213</v>
      </c>
      <c r="Y551">
        <v>0.96964814113613862</v>
      </c>
      <c r="Z551" t="str">
        <f>HYPERLINK("Melting_Curves/meltCurve_sp_P09497_2_CLCB_HUMAN_.pdf", "Melting_Curves/meltCurve_sp_P09497_2_CLCB_HUMAN_.pdf")</f>
        <v>Melting_Curves/meltCurve_sp_P09497_2_CLCB_HUMAN_.pdf</v>
      </c>
      <c r="AA551" t="s">
        <v>12033</v>
      </c>
      <c r="AB551" t="s">
        <v>15792</v>
      </c>
    </row>
    <row r="552" spans="1:28" x14ac:dyDescent="0.25">
      <c r="A552" t="s">
        <v>556</v>
      </c>
      <c r="B552">
        <v>0.98876768158843997</v>
      </c>
      <c r="C552">
        <v>1.011083592016</v>
      </c>
      <c r="D552">
        <v>0.98064763139338396</v>
      </c>
      <c r="E552">
        <v>0.67177252870418502</v>
      </c>
      <c r="F552">
        <v>0.20932665154296801</v>
      </c>
      <c r="G552">
        <v>0.15264929387078399</v>
      </c>
      <c r="H552">
        <v>9.3886346884826305E-2</v>
      </c>
      <c r="I552">
        <v>7.8291075893607398E-2</v>
      </c>
      <c r="J552">
        <v>9.4100903292525004E-2</v>
      </c>
      <c r="K552">
        <v>6.34232082263817E-2</v>
      </c>
      <c r="L552">
        <v>2095.5571362291598</v>
      </c>
      <c r="M552">
        <v>41.3595814437302</v>
      </c>
      <c r="N552">
        <v>50.919738944249303</v>
      </c>
      <c r="O552">
        <v>50.5487711796723</v>
      </c>
      <c r="P552">
        <v>-0.185557344893994</v>
      </c>
      <c r="Q552">
        <v>9.2865212239203201E-2</v>
      </c>
      <c r="R552">
        <v>0.99749326122991699</v>
      </c>
      <c r="S552" t="s">
        <v>4384</v>
      </c>
      <c r="T552" t="s">
        <v>7662</v>
      </c>
      <c r="U552" t="s">
        <v>7662</v>
      </c>
      <c r="V552" t="s">
        <v>7662</v>
      </c>
      <c r="W552">
        <v>6</v>
      </c>
      <c r="X552" t="s">
        <v>8214</v>
      </c>
      <c r="Y552">
        <v>0.41837592480265612</v>
      </c>
      <c r="Z552" t="str">
        <f>HYPERLINK("Melting_Curves/meltCurve_sp_P09525_ANXA4_HUMAN_.pdf", "Melting_Curves/meltCurve_sp_P09525_ANXA4_HUMAN_.pdf")</f>
        <v>Melting_Curves/meltCurve_sp_P09525_ANXA4_HUMAN_.pdf</v>
      </c>
      <c r="AA552" t="s">
        <v>12034</v>
      </c>
      <c r="AB552" t="s">
        <v>15793</v>
      </c>
    </row>
    <row r="553" spans="1:28" x14ac:dyDescent="0.25">
      <c r="A553" t="s">
        <v>557</v>
      </c>
      <c r="B553">
        <v>0.98876768158843997</v>
      </c>
      <c r="C553">
        <v>1.02052425336153</v>
      </c>
      <c r="D553">
        <v>0.81966453038920595</v>
      </c>
      <c r="E553">
        <v>0.64692088527875702</v>
      </c>
      <c r="F553">
        <v>0.53430924288696502</v>
      </c>
      <c r="G553">
        <v>0.25175133636646502</v>
      </c>
      <c r="H553">
        <v>9.3241526051584603E-2</v>
      </c>
      <c r="I553">
        <v>9.3122843560679694E-2</v>
      </c>
      <c r="J553">
        <v>0.10121931663269999</v>
      </c>
      <c r="K553">
        <v>0.100843565737299</v>
      </c>
      <c r="L553">
        <v>750.17760268707696</v>
      </c>
      <c r="M553">
        <v>14.373804913892201</v>
      </c>
      <c r="N553">
        <v>52.5293474878886</v>
      </c>
      <c r="O553">
        <v>51.211622770254301</v>
      </c>
      <c r="P553">
        <v>-6.7070857331009703E-2</v>
      </c>
      <c r="Q553">
        <v>4.4262374159485501E-2</v>
      </c>
      <c r="R553">
        <v>0.98729218109903005</v>
      </c>
      <c r="S553" t="s">
        <v>4385</v>
      </c>
      <c r="T553" t="s">
        <v>7662</v>
      </c>
      <c r="U553" t="s">
        <v>7662</v>
      </c>
      <c r="V553" t="s">
        <v>7662</v>
      </c>
      <c r="W553">
        <v>10</v>
      </c>
      <c r="X553" t="s">
        <v>8215</v>
      </c>
      <c r="Y553">
        <v>0.45523554249551451</v>
      </c>
      <c r="Z553" t="str">
        <f>HYPERLINK("Melting_Curves/meltCurve_sp_P09543_2_CN37_HUMAN_.pdf", "Melting_Curves/meltCurve_sp_P09543_2_CN37_HUMAN_.pdf")</f>
        <v>Melting_Curves/meltCurve_sp_P09543_2_CN37_HUMAN_.pdf</v>
      </c>
      <c r="AA553" t="s">
        <v>12035</v>
      </c>
      <c r="AB553" t="s">
        <v>15794</v>
      </c>
    </row>
    <row r="554" spans="1:28" x14ac:dyDescent="0.25">
      <c r="A554" t="s">
        <v>558</v>
      </c>
      <c r="B554">
        <v>0.98876768158843997</v>
      </c>
      <c r="C554">
        <v>0.93987242348095601</v>
      </c>
      <c r="D554">
        <v>0.85596367810395202</v>
      </c>
      <c r="E554">
        <v>0.69896841972869905</v>
      </c>
      <c r="F554">
        <v>0.60270668348159095</v>
      </c>
      <c r="G554">
        <v>0.389712281714023</v>
      </c>
      <c r="H554">
        <v>0.19018285842192401</v>
      </c>
      <c r="I554">
        <v>0.170251565937558</v>
      </c>
      <c r="J554">
        <v>0.18752310770323599</v>
      </c>
      <c r="K554">
        <v>0.186537264821765</v>
      </c>
      <c r="L554">
        <v>651.20572609579199</v>
      </c>
      <c r="M554">
        <v>12.2737029936924</v>
      </c>
      <c r="N554">
        <v>54.084576381112903</v>
      </c>
      <c r="O554">
        <v>51.7075140881362</v>
      </c>
      <c r="P554">
        <v>-5.3182104289641902E-2</v>
      </c>
      <c r="Q554">
        <v>0.10400076678005001</v>
      </c>
      <c r="R554">
        <v>0.98951710502304902</v>
      </c>
      <c r="S554" t="s">
        <v>4386</v>
      </c>
      <c r="T554" t="s">
        <v>7662</v>
      </c>
      <c r="U554" t="s">
        <v>7662</v>
      </c>
      <c r="V554" t="s">
        <v>7662</v>
      </c>
      <c r="W554">
        <v>9</v>
      </c>
      <c r="X554" t="s">
        <v>8216</v>
      </c>
      <c r="Y554">
        <v>0.51873135949602012</v>
      </c>
      <c r="Z554" t="str">
        <f>HYPERLINK("Melting_Curves/meltCurve_sp_P09601_HMOX1_HUMAN_.pdf", "Melting_Curves/meltCurve_sp_P09601_HMOX1_HUMAN_.pdf")</f>
        <v>Melting_Curves/meltCurve_sp_P09601_HMOX1_HUMAN_.pdf</v>
      </c>
      <c r="AA554" t="s">
        <v>12036</v>
      </c>
      <c r="AB554" t="s">
        <v>15795</v>
      </c>
    </row>
    <row r="555" spans="1:28" x14ac:dyDescent="0.25">
      <c r="A555" t="s">
        <v>559</v>
      </c>
      <c r="B555">
        <v>0.98876768158843997</v>
      </c>
      <c r="C555">
        <v>0.98460457368951804</v>
      </c>
      <c r="D555">
        <v>0.94338309030382905</v>
      </c>
      <c r="E555">
        <v>0.924216685283197</v>
      </c>
      <c r="F555">
        <v>0.85967021657075304</v>
      </c>
      <c r="G555">
        <v>0.64879972971738398</v>
      </c>
      <c r="H555">
        <v>0.61889347833130903</v>
      </c>
      <c r="I555">
        <v>0.76884123958866601</v>
      </c>
      <c r="J555">
        <v>0.79037960734693802</v>
      </c>
      <c r="K555">
        <v>0.91099129191914696</v>
      </c>
      <c r="L555">
        <v>1893.10882243372</v>
      </c>
      <c r="M555">
        <v>36.643717018131397</v>
      </c>
      <c r="O555">
        <v>51.509438997983402</v>
      </c>
      <c r="P555">
        <v>-4.4282777122525901E-2</v>
      </c>
      <c r="Q555">
        <v>0.75101060883390802</v>
      </c>
      <c r="R555">
        <v>0.60830746222238696</v>
      </c>
      <c r="S555" t="s">
        <v>4387</v>
      </c>
      <c r="T555" t="s">
        <v>7662</v>
      </c>
      <c r="U555" t="s">
        <v>7662</v>
      </c>
      <c r="V555" t="s">
        <v>7662</v>
      </c>
      <c r="W555">
        <v>26</v>
      </c>
      <c r="X555" t="s">
        <v>8217</v>
      </c>
      <c r="Y555">
        <v>0.84886606283355825</v>
      </c>
      <c r="Z555" t="str">
        <f>HYPERLINK("Melting_Curves/meltCurve_sp_P09622_DLDH_HUMAN_.pdf", "Melting_Curves/meltCurve_sp_P09622_DLDH_HUMAN_.pdf")</f>
        <v>Melting_Curves/meltCurve_sp_P09622_DLDH_HUMAN_.pdf</v>
      </c>
      <c r="AA555" t="s">
        <v>12037</v>
      </c>
      <c r="AB555" t="s">
        <v>15796</v>
      </c>
    </row>
    <row r="556" spans="1:28" x14ac:dyDescent="0.25">
      <c r="A556" t="s">
        <v>560</v>
      </c>
      <c r="B556">
        <v>0.98876768158843997</v>
      </c>
      <c r="C556">
        <v>0.94809948007125799</v>
      </c>
      <c r="D556">
        <v>0.81540366548793197</v>
      </c>
      <c r="E556">
        <v>0.685133442339387</v>
      </c>
      <c r="F556">
        <v>0.78301853183449199</v>
      </c>
      <c r="G556">
        <v>0.47840106046341502</v>
      </c>
      <c r="H556">
        <v>0.23397763455148601</v>
      </c>
      <c r="I556">
        <v>0.19437334314823601</v>
      </c>
      <c r="J556">
        <v>0.185922195872503</v>
      </c>
      <c r="K556">
        <v>0.24100912147300199</v>
      </c>
      <c r="L556">
        <v>552.11380316423697</v>
      </c>
      <c r="M556">
        <v>9.9864468680273593</v>
      </c>
      <c r="N556">
        <v>55.966039253905301</v>
      </c>
      <c r="O556">
        <v>53.206534308045697</v>
      </c>
      <c r="P556">
        <v>-4.4264832898953103E-2</v>
      </c>
      <c r="Q556">
        <v>5.7111112892839398E-2</v>
      </c>
      <c r="R556">
        <v>0.944875472546576</v>
      </c>
      <c r="S556" t="s">
        <v>4388</v>
      </c>
      <c r="T556" t="s">
        <v>7662</v>
      </c>
      <c r="U556" t="s">
        <v>7662</v>
      </c>
      <c r="V556" t="s">
        <v>7662</v>
      </c>
      <c r="W556">
        <v>12</v>
      </c>
      <c r="X556" t="s">
        <v>8218</v>
      </c>
      <c r="Y556">
        <v>0.56071412134417231</v>
      </c>
      <c r="Z556" t="str">
        <f>HYPERLINK("Melting_Curves/meltCurve_sp_P09651_3_ROA1_HUMAN_.pdf", "Melting_Curves/meltCurve_sp_P09651_3_ROA1_HUMAN_.pdf")</f>
        <v>Melting_Curves/meltCurve_sp_P09651_3_ROA1_HUMAN_.pdf</v>
      </c>
      <c r="AA556" t="s">
        <v>12038</v>
      </c>
      <c r="AB556" t="s">
        <v>15797</v>
      </c>
    </row>
    <row r="557" spans="1:28" x14ac:dyDescent="0.25">
      <c r="A557" t="s">
        <v>561</v>
      </c>
      <c r="B557">
        <v>0.98876768158843997</v>
      </c>
      <c r="C557">
        <v>0.96950390267777098</v>
      </c>
      <c r="D557">
        <v>1.0418738657914099</v>
      </c>
      <c r="E557">
        <v>0.88595445952162499</v>
      </c>
      <c r="F557">
        <v>0.64929043666153996</v>
      </c>
      <c r="G557">
        <v>0.39644451801290898</v>
      </c>
      <c r="H557">
        <v>0.18096921175356201</v>
      </c>
      <c r="I557">
        <v>0.17217773303404499</v>
      </c>
      <c r="J557">
        <v>0.20737525690950201</v>
      </c>
      <c r="K557">
        <v>0.221771658669348</v>
      </c>
      <c r="L557">
        <v>1295.07366137745</v>
      </c>
      <c r="M557">
        <v>24.0590150748429</v>
      </c>
      <c r="N557">
        <v>54.880445570421301</v>
      </c>
      <c r="O557">
        <v>53.461294125785201</v>
      </c>
      <c r="P557">
        <v>-9.1733762967062302E-2</v>
      </c>
      <c r="Q557">
        <v>0.184650221100463</v>
      </c>
      <c r="R557">
        <v>0.99134804423935297</v>
      </c>
      <c r="S557" t="s">
        <v>4389</v>
      </c>
      <c r="T557" t="s">
        <v>7662</v>
      </c>
      <c r="U557" t="s">
        <v>7662</v>
      </c>
      <c r="V557" t="s">
        <v>7662</v>
      </c>
      <c r="W557">
        <v>10</v>
      </c>
      <c r="X557" t="s">
        <v>8219</v>
      </c>
      <c r="Y557">
        <v>0.5685858090427337</v>
      </c>
      <c r="Z557" t="str">
        <f>HYPERLINK("Melting_Curves/meltCurve_sp_P09661_RU2A_HUMAN_.pdf", "Melting_Curves/meltCurve_sp_P09661_RU2A_HUMAN_.pdf")</f>
        <v>Melting_Curves/meltCurve_sp_P09661_RU2A_HUMAN_.pdf</v>
      </c>
      <c r="AA557" t="s">
        <v>12039</v>
      </c>
      <c r="AB557" t="s">
        <v>15798</v>
      </c>
    </row>
    <row r="558" spans="1:28" x14ac:dyDescent="0.25">
      <c r="A558" t="s">
        <v>562</v>
      </c>
      <c r="B558">
        <v>0.98876768158843997</v>
      </c>
      <c r="C558">
        <v>1.0432884797407</v>
      </c>
      <c r="D558">
        <v>0.89874157415745803</v>
      </c>
      <c r="E558">
        <v>0.84227449855770997</v>
      </c>
      <c r="F558">
        <v>0.84330119166386197</v>
      </c>
      <c r="G558">
        <v>0.59263900050513396</v>
      </c>
      <c r="H558">
        <v>0.39831346457421402</v>
      </c>
      <c r="I558">
        <v>0.38024838833927799</v>
      </c>
      <c r="J558">
        <v>0.29591109092255602</v>
      </c>
      <c r="K558">
        <v>0.23962003586597899</v>
      </c>
      <c r="L558">
        <v>684.80860122092395</v>
      </c>
      <c r="M558">
        <v>11.8969717858922</v>
      </c>
      <c r="N558">
        <v>59.418517843419998</v>
      </c>
      <c r="O558">
        <v>56.007534797659098</v>
      </c>
      <c r="P558">
        <v>-4.4870795229602398E-2</v>
      </c>
      <c r="Q558">
        <v>0.155255162128283</v>
      </c>
      <c r="R558">
        <v>0.98119403400730798</v>
      </c>
      <c r="S558" t="s">
        <v>4390</v>
      </c>
      <c r="T558" t="s">
        <v>7662</v>
      </c>
      <c r="U558" t="s">
        <v>7662</v>
      </c>
      <c r="V558" t="s">
        <v>7662</v>
      </c>
      <c r="W558">
        <v>4</v>
      </c>
      <c r="X558" t="s">
        <v>8220</v>
      </c>
      <c r="Y558">
        <v>0.66203873590782225</v>
      </c>
      <c r="Z558" t="str">
        <f>HYPERLINK("Melting_Curves/meltCurve_sp_P09668_CATH_HUMAN_.pdf", "Melting_Curves/meltCurve_sp_P09668_CATH_HUMAN_.pdf")</f>
        <v>Melting_Curves/meltCurve_sp_P09668_CATH_HUMAN_.pdf</v>
      </c>
      <c r="AA558" t="s">
        <v>12040</v>
      </c>
      <c r="AB558" t="s">
        <v>15799</v>
      </c>
    </row>
    <row r="559" spans="1:28" x14ac:dyDescent="0.25">
      <c r="A559" t="s">
        <v>563</v>
      </c>
      <c r="B559">
        <v>0.98876768158843997</v>
      </c>
      <c r="C559">
        <v>0.91638056280937097</v>
      </c>
      <c r="D559">
        <v>0.83775772026951001</v>
      </c>
      <c r="E559">
        <v>0.48748259718658199</v>
      </c>
      <c r="F559">
        <v>0.24899636165377501</v>
      </c>
      <c r="G559">
        <v>0.13770474267684699</v>
      </c>
      <c r="H559">
        <v>9.2534614348705996E-2</v>
      </c>
      <c r="I559">
        <v>8.0208420713984305E-2</v>
      </c>
      <c r="J559">
        <v>7.42293599457996E-2</v>
      </c>
      <c r="K559">
        <v>6.2941824388011797E-2</v>
      </c>
      <c r="L559">
        <v>959.11692466593104</v>
      </c>
      <c r="M559">
        <v>19.404433055968301</v>
      </c>
      <c r="N559">
        <v>49.791363820623197</v>
      </c>
      <c r="O559">
        <v>48.911751144011902</v>
      </c>
      <c r="P559">
        <v>-9.2631722285181503E-2</v>
      </c>
      <c r="Q559">
        <v>6.6066317027559204E-2</v>
      </c>
      <c r="R559">
        <v>0.99846262332480096</v>
      </c>
      <c r="S559" t="s">
        <v>4391</v>
      </c>
      <c r="T559" t="s">
        <v>7662</v>
      </c>
      <c r="U559" t="s">
        <v>7662</v>
      </c>
      <c r="V559" t="s">
        <v>7662</v>
      </c>
      <c r="W559">
        <v>6</v>
      </c>
      <c r="X559" t="s">
        <v>8221</v>
      </c>
      <c r="Y559">
        <v>0.37340993009192219</v>
      </c>
      <c r="Z559" t="str">
        <f>HYPERLINK("Melting_Curves/meltCurve_sp_P09871_C1S_HUMAN_.pdf", "Melting_Curves/meltCurve_sp_P09871_C1S_HUMAN_.pdf")</f>
        <v>Melting_Curves/meltCurve_sp_P09871_C1S_HUMAN_.pdf</v>
      </c>
      <c r="AA559" t="s">
        <v>12041</v>
      </c>
      <c r="AB559" t="s">
        <v>15800</v>
      </c>
    </row>
    <row r="560" spans="1:28" x14ac:dyDescent="0.25">
      <c r="A560" t="s">
        <v>564</v>
      </c>
      <c r="B560">
        <v>0.98876768158843997</v>
      </c>
      <c r="C560">
        <v>1.0749957997717601</v>
      </c>
      <c r="D560">
        <v>0.85832833695529998</v>
      </c>
      <c r="E560">
        <v>0.63736414337021596</v>
      </c>
      <c r="F560">
        <v>0.34263532826149901</v>
      </c>
      <c r="G560">
        <v>0.21327244845420401</v>
      </c>
      <c r="H560">
        <v>0.15098458861175701</v>
      </c>
      <c r="I560">
        <v>0.15431108887162001</v>
      </c>
      <c r="J560">
        <v>0.21200404567898601</v>
      </c>
      <c r="K560">
        <v>0.19393367043721299</v>
      </c>
      <c r="L560">
        <v>1205.84205519891</v>
      </c>
      <c r="M560">
        <v>24.002201411094202</v>
      </c>
      <c r="N560">
        <v>51.134893792881698</v>
      </c>
      <c r="O560">
        <v>49.893977057956903</v>
      </c>
      <c r="P560">
        <v>-9.9620609776050806E-2</v>
      </c>
      <c r="Q560">
        <v>0.17167765967639301</v>
      </c>
      <c r="R560">
        <v>0.98713768091230603</v>
      </c>
      <c r="S560" t="s">
        <v>4392</v>
      </c>
      <c r="T560" t="s">
        <v>7662</v>
      </c>
      <c r="U560" t="s">
        <v>7662</v>
      </c>
      <c r="V560" t="s">
        <v>7662</v>
      </c>
      <c r="W560">
        <v>12</v>
      </c>
      <c r="X560" t="s">
        <v>8222</v>
      </c>
      <c r="Y560">
        <v>0.46242914059791929</v>
      </c>
      <c r="Z560" t="str">
        <f>HYPERLINK("Melting_Curves/meltCurve_sp_P09874_PARP1_HUMAN_.pdf", "Melting_Curves/meltCurve_sp_P09874_PARP1_HUMAN_.pdf")</f>
        <v>Melting_Curves/meltCurve_sp_P09874_PARP1_HUMAN_.pdf</v>
      </c>
      <c r="AA560" t="s">
        <v>12042</v>
      </c>
      <c r="AB560" t="s">
        <v>15801</v>
      </c>
    </row>
    <row r="561" spans="1:28" x14ac:dyDescent="0.25">
      <c r="A561" t="s">
        <v>565</v>
      </c>
      <c r="B561">
        <v>0.98876768158843997</v>
      </c>
      <c r="C561">
        <v>0.95683479082218703</v>
      </c>
      <c r="D561">
        <v>0.92222451885315004</v>
      </c>
      <c r="E561">
        <v>0.54837273726190205</v>
      </c>
      <c r="F561">
        <v>0.28543918159627601</v>
      </c>
      <c r="G561">
        <v>0.19908953053863901</v>
      </c>
      <c r="H561">
        <v>0.14646983696287499</v>
      </c>
      <c r="I561">
        <v>0.14114656962661401</v>
      </c>
      <c r="J561">
        <v>0.15199632741890201</v>
      </c>
      <c r="K561">
        <v>0.173507046232898</v>
      </c>
      <c r="L561">
        <v>1326.73825903644</v>
      </c>
      <c r="M561">
        <v>26.6714232342804</v>
      </c>
      <c r="N561">
        <v>50.440218395511103</v>
      </c>
      <c r="O561">
        <v>49.466715448071902</v>
      </c>
      <c r="P561">
        <v>-0.114034289123458</v>
      </c>
      <c r="Q561">
        <v>0.154024768414566</v>
      </c>
      <c r="R561">
        <v>0.99812197017258097</v>
      </c>
      <c r="S561" t="s">
        <v>4393</v>
      </c>
      <c r="T561" t="s">
        <v>7662</v>
      </c>
      <c r="U561" t="s">
        <v>7662</v>
      </c>
      <c r="V561" t="s">
        <v>7662</v>
      </c>
      <c r="W561">
        <v>4</v>
      </c>
      <c r="X561" t="s">
        <v>8223</v>
      </c>
      <c r="Y561">
        <v>0.43540773219727791</v>
      </c>
      <c r="Z561" t="str">
        <f>HYPERLINK("Melting_Curves/meltCurve_sp_P09913_IFIT2_HUMAN_.pdf", "Melting_Curves/meltCurve_sp_P09913_IFIT2_HUMAN_.pdf")</f>
        <v>Melting_Curves/meltCurve_sp_P09913_IFIT2_HUMAN_.pdf</v>
      </c>
      <c r="AA561" t="s">
        <v>12043</v>
      </c>
      <c r="AB561" t="s">
        <v>15802</v>
      </c>
    </row>
    <row r="562" spans="1:28" x14ac:dyDescent="0.25">
      <c r="A562" t="s">
        <v>566</v>
      </c>
      <c r="B562">
        <v>0.98876768158843997</v>
      </c>
      <c r="C562">
        <v>0.994940485751454</v>
      </c>
      <c r="D562">
        <v>0.89707474943424204</v>
      </c>
      <c r="E562">
        <v>0.84665414624058499</v>
      </c>
      <c r="F562">
        <v>0.76544082843226102</v>
      </c>
      <c r="G562">
        <v>0.29073608825653902</v>
      </c>
      <c r="H562">
        <v>6.50791045402314E-2</v>
      </c>
      <c r="I562">
        <v>5.2885322524901399E-2</v>
      </c>
      <c r="J562">
        <v>5.3794951084964897E-2</v>
      </c>
      <c r="K562">
        <v>4.3662365239264297E-2</v>
      </c>
      <c r="L562">
        <v>1347.6121262854799</v>
      </c>
      <c r="M562">
        <v>24.5571098225616</v>
      </c>
      <c r="N562">
        <v>54.987727527376599</v>
      </c>
      <c r="O562">
        <v>54.516641010159603</v>
      </c>
      <c r="P562">
        <v>-0.10988968665904</v>
      </c>
      <c r="Q562">
        <v>2.41962671887158E-2</v>
      </c>
      <c r="R562">
        <v>0.98859699004421697</v>
      </c>
      <c r="S562" t="s">
        <v>4394</v>
      </c>
      <c r="T562" t="s">
        <v>7662</v>
      </c>
      <c r="U562" t="s">
        <v>7662</v>
      </c>
      <c r="V562" t="s">
        <v>7662</v>
      </c>
      <c r="W562">
        <v>25</v>
      </c>
      <c r="X562" t="s">
        <v>8224</v>
      </c>
      <c r="Y562">
        <v>0.51740492586379638</v>
      </c>
      <c r="Z562" t="str">
        <f>HYPERLINK("Melting_Curves/meltCurve_sp_P09960_LKHA4_HUMAN_.pdf", "Melting_Curves/meltCurve_sp_P09960_LKHA4_HUMAN_.pdf")</f>
        <v>Melting_Curves/meltCurve_sp_P09960_LKHA4_HUMAN_.pdf</v>
      </c>
      <c r="AA562" t="s">
        <v>12044</v>
      </c>
      <c r="AB562" t="s">
        <v>15803</v>
      </c>
    </row>
    <row r="563" spans="1:28" x14ac:dyDescent="0.25">
      <c r="A563" t="s">
        <v>567</v>
      </c>
      <c r="B563">
        <v>0.98876768158843997</v>
      </c>
      <c r="C563">
        <v>0.90267208837330604</v>
      </c>
      <c r="D563">
        <v>0.98688420781393804</v>
      </c>
      <c r="E563">
        <v>1.0009946167092301</v>
      </c>
      <c r="F563">
        <v>0.34015353056049602</v>
      </c>
      <c r="G563">
        <v>0.124887159656331</v>
      </c>
      <c r="H563">
        <v>6.77926732938543E-2</v>
      </c>
      <c r="I563">
        <v>6.3336948883908797E-2</v>
      </c>
      <c r="J563">
        <v>6.3623489240765496E-2</v>
      </c>
      <c r="K563">
        <v>4.7922433032958803E-2</v>
      </c>
      <c r="L563">
        <v>6227.2623197292796</v>
      </c>
      <c r="M563">
        <v>118.401212538981</v>
      </c>
      <c r="N563">
        <v>52.665288054865798</v>
      </c>
      <c r="O563">
        <v>52.579583835674697</v>
      </c>
      <c r="P563">
        <v>-0.52159276683722999</v>
      </c>
      <c r="Q563">
        <v>7.3484851972948406E-2</v>
      </c>
      <c r="R563">
        <v>0.99265539106148004</v>
      </c>
      <c r="S563" t="s">
        <v>4395</v>
      </c>
      <c r="T563" t="s">
        <v>7662</v>
      </c>
      <c r="U563" t="s">
        <v>7662</v>
      </c>
      <c r="V563" t="s">
        <v>7662</v>
      </c>
      <c r="W563">
        <v>23</v>
      </c>
      <c r="X563" t="s">
        <v>8225</v>
      </c>
      <c r="Y563">
        <v>0.46283545930019698</v>
      </c>
      <c r="Z563" t="str">
        <f>HYPERLINK("Melting_Curves/meltCurve_sp_P09972_ALDOC_HUMAN_.pdf", "Melting_Curves/meltCurve_sp_P09972_ALDOC_HUMAN_.pdf")</f>
        <v>Melting_Curves/meltCurve_sp_P09972_ALDOC_HUMAN_.pdf</v>
      </c>
      <c r="AA563" t="s">
        <v>12045</v>
      </c>
      <c r="AB563" t="s">
        <v>15804</v>
      </c>
    </row>
    <row r="564" spans="1:28" x14ac:dyDescent="0.25">
      <c r="A564" t="s">
        <v>568</v>
      </c>
      <c r="B564">
        <v>0.98876768158843997</v>
      </c>
      <c r="C564">
        <v>1.12001285691369</v>
      </c>
      <c r="D564">
        <v>0.87397682126569398</v>
      </c>
      <c r="E564">
        <v>0.85075434215643397</v>
      </c>
      <c r="F564">
        <v>0.85161496966078298</v>
      </c>
      <c r="G564">
        <v>0.67067172390919505</v>
      </c>
      <c r="H564">
        <v>0.37523926700410898</v>
      </c>
      <c r="I564">
        <v>0.22705388943066901</v>
      </c>
      <c r="J564">
        <v>0.18705131221768101</v>
      </c>
      <c r="K564">
        <v>0.15971391886195699</v>
      </c>
      <c r="L564">
        <v>811.82852206745997</v>
      </c>
      <c r="M564">
        <v>13.8271234836332</v>
      </c>
      <c r="N564">
        <v>59.048107812504099</v>
      </c>
      <c r="O564">
        <v>57.525569566579698</v>
      </c>
      <c r="P564">
        <v>-5.7830068348394797E-2</v>
      </c>
      <c r="Q564">
        <v>3.7762099180078397E-2</v>
      </c>
      <c r="R564">
        <v>0.96694464891101095</v>
      </c>
      <c r="S564" t="s">
        <v>4396</v>
      </c>
      <c r="T564" t="s">
        <v>7662</v>
      </c>
      <c r="U564" t="s">
        <v>7662</v>
      </c>
      <c r="V564" t="s">
        <v>7662</v>
      </c>
      <c r="W564">
        <v>6</v>
      </c>
      <c r="X564" t="s">
        <v>8226</v>
      </c>
      <c r="Y564">
        <v>0.64854399238586558</v>
      </c>
      <c r="Z564" t="str">
        <f>HYPERLINK("Melting_Curves/meltCurve_sp_P0C024_NUDT7_HUMAN_.pdf", "Melting_Curves/meltCurve_sp_P0C024_NUDT7_HUMAN_.pdf")</f>
        <v>Melting_Curves/meltCurve_sp_P0C024_NUDT7_HUMAN_.pdf</v>
      </c>
      <c r="AA564" t="s">
        <v>12046</v>
      </c>
      <c r="AB564" t="s">
        <v>15805</v>
      </c>
    </row>
    <row r="565" spans="1:28" x14ac:dyDescent="0.25">
      <c r="A565" t="s">
        <v>569</v>
      </c>
      <c r="B565">
        <v>0.98876768158843997</v>
      </c>
      <c r="C565">
        <v>0.90819375792559398</v>
      </c>
      <c r="D565">
        <v>1.02589671151356</v>
      </c>
      <c r="E565">
        <v>0.933031300709117</v>
      </c>
      <c r="F565">
        <v>0.64516387883279203</v>
      </c>
      <c r="G565">
        <v>0.48667088643284501</v>
      </c>
      <c r="H565">
        <v>0.23717519238024501</v>
      </c>
      <c r="I565">
        <v>0.14947942778981499</v>
      </c>
      <c r="J565">
        <v>0.128830123930948</v>
      </c>
      <c r="K565">
        <v>0.12734088345623501</v>
      </c>
      <c r="L565">
        <v>965.66484222829695</v>
      </c>
      <c r="M565">
        <v>17.417648603373198</v>
      </c>
      <c r="N565">
        <v>56.077555018841799</v>
      </c>
      <c r="O565">
        <v>54.7264126850325</v>
      </c>
      <c r="P565">
        <v>-7.2441594664689593E-2</v>
      </c>
      <c r="Q565">
        <v>8.9602499754677906E-2</v>
      </c>
      <c r="R565">
        <v>0.98395629415619601</v>
      </c>
      <c r="S565" t="s">
        <v>4397</v>
      </c>
      <c r="T565" t="s">
        <v>7662</v>
      </c>
      <c r="U565" t="s">
        <v>7662</v>
      </c>
      <c r="V565" t="s">
        <v>7662</v>
      </c>
      <c r="W565">
        <v>47</v>
      </c>
      <c r="X565" t="s">
        <v>8227</v>
      </c>
      <c r="Y565">
        <v>0.57260184393094316</v>
      </c>
      <c r="Z565" t="str">
        <f>HYPERLINK("Melting_Curves/meltCurve_sp_P0C0L5_CO4B_HUMAN_.pdf", "Melting_Curves/meltCurve_sp_P0C0L5_CO4B_HUMAN_.pdf")</f>
        <v>Melting_Curves/meltCurve_sp_P0C0L5_CO4B_HUMAN_.pdf</v>
      </c>
      <c r="AA565" t="s">
        <v>12047</v>
      </c>
      <c r="AB565" t="s">
        <v>15806</v>
      </c>
    </row>
    <row r="566" spans="1:28" x14ac:dyDescent="0.25">
      <c r="A566" t="s">
        <v>570</v>
      </c>
      <c r="B566">
        <v>0.98876768158843997</v>
      </c>
      <c r="C566">
        <v>0.78120830081743997</v>
      </c>
      <c r="D566">
        <v>0.34223834234315897</v>
      </c>
      <c r="E566">
        <v>0.118828179579287</v>
      </c>
      <c r="F566">
        <v>9.3747861197433099E-2</v>
      </c>
      <c r="G566">
        <v>5.0322642022829399E-2</v>
      </c>
      <c r="H566">
        <v>3.0980234038750599E-2</v>
      </c>
      <c r="I566">
        <v>3.13389827185293E-2</v>
      </c>
      <c r="J566">
        <v>5.10519231825729E-2</v>
      </c>
      <c r="K566">
        <v>4.0417318510084899E-2</v>
      </c>
      <c r="L566">
        <v>1244.4584528457999</v>
      </c>
      <c r="M566">
        <v>27.808050657388399</v>
      </c>
      <c r="N566">
        <v>44.919011832012004</v>
      </c>
      <c r="O566">
        <v>44.522221240484399</v>
      </c>
      <c r="P566">
        <v>-0.148466911442272</v>
      </c>
      <c r="Q566">
        <v>4.9193565457479903E-2</v>
      </c>
      <c r="R566">
        <v>0.99738979743854705</v>
      </c>
      <c r="S566" t="s">
        <v>4398</v>
      </c>
      <c r="T566" t="s">
        <v>7662</v>
      </c>
      <c r="U566" t="s">
        <v>7662</v>
      </c>
      <c r="V566" t="s">
        <v>7662</v>
      </c>
      <c r="W566">
        <v>3</v>
      </c>
      <c r="X566" t="s">
        <v>8228</v>
      </c>
      <c r="Y566">
        <v>0.20731703622498909</v>
      </c>
      <c r="Z566" t="str">
        <f>HYPERLINK("Melting_Curves/meltCurve_sp_P0C7P0_CISD3_HUMAN_.pdf", "Melting_Curves/meltCurve_sp_P0C7P0_CISD3_HUMAN_.pdf")</f>
        <v>Melting_Curves/meltCurve_sp_P0C7P0_CISD3_HUMAN_.pdf</v>
      </c>
      <c r="AA566" t="s">
        <v>12048</v>
      </c>
      <c r="AB566" t="s">
        <v>15807</v>
      </c>
    </row>
    <row r="567" spans="1:28" x14ac:dyDescent="0.25">
      <c r="A567" t="s">
        <v>571</v>
      </c>
      <c r="B567">
        <v>0.98876768158843997</v>
      </c>
      <c r="C567">
        <v>0.96192352048818397</v>
      </c>
      <c r="D567">
        <v>1.00035388427713</v>
      </c>
      <c r="E567">
        <v>0.90440875158274103</v>
      </c>
      <c r="F567">
        <v>0.396200227649736</v>
      </c>
      <c r="G567">
        <v>0.30778167713904803</v>
      </c>
      <c r="H567">
        <v>0.53791687095037299</v>
      </c>
      <c r="I567">
        <v>0.241804382307472</v>
      </c>
      <c r="J567">
        <v>1.1067213995179701</v>
      </c>
      <c r="K567">
        <v>0.46873810498329599</v>
      </c>
      <c r="L567">
        <v>12570.8818209408</v>
      </c>
      <c r="M567">
        <v>250</v>
      </c>
      <c r="O567">
        <v>50.280309518092999</v>
      </c>
      <c r="P567">
        <v>-0.60925896268698498</v>
      </c>
      <c r="Q567">
        <v>0.50986033349912696</v>
      </c>
      <c r="R567">
        <v>0.50644628953639903</v>
      </c>
      <c r="S567" t="s">
        <v>4399</v>
      </c>
      <c r="T567" t="s">
        <v>7662</v>
      </c>
      <c r="U567" t="s">
        <v>7662</v>
      </c>
      <c r="V567" t="s">
        <v>7662</v>
      </c>
      <c r="W567">
        <v>2</v>
      </c>
      <c r="X567" t="s">
        <v>8229</v>
      </c>
      <c r="Y567">
        <v>0.6779157412039486</v>
      </c>
      <c r="Z567" t="str">
        <f>HYPERLINK("Melting_Curves/meltCurve_sp_P0C7U0_ELFN1_HUMAN_.pdf", "Melting_Curves/meltCurve_sp_P0C7U0_ELFN1_HUMAN_.pdf")</f>
        <v>Melting_Curves/meltCurve_sp_P0C7U0_ELFN1_HUMAN_.pdf</v>
      </c>
      <c r="AA567" t="s">
        <v>12049</v>
      </c>
      <c r="AB567" t="s">
        <v>15808</v>
      </c>
    </row>
    <row r="568" spans="1:28" x14ac:dyDescent="0.25">
      <c r="A568" t="s">
        <v>572</v>
      </c>
      <c r="B568">
        <v>0.98876768158843997</v>
      </c>
      <c r="C568">
        <v>0.96610233898327602</v>
      </c>
      <c r="D568">
        <v>0.88943085164510205</v>
      </c>
      <c r="E568">
        <v>0.845033281249853</v>
      </c>
      <c r="F568">
        <v>0.87712958255378404</v>
      </c>
      <c r="G568">
        <v>0.563537524245869</v>
      </c>
      <c r="H568">
        <v>0.49660412524869801</v>
      </c>
      <c r="I568">
        <v>0.51895974394066402</v>
      </c>
      <c r="J568">
        <v>0.56068504654523799</v>
      </c>
      <c r="K568">
        <v>0.65567870898911795</v>
      </c>
      <c r="L568">
        <v>1124.57561264526</v>
      </c>
      <c r="M568">
        <v>21.235767984671099</v>
      </c>
      <c r="O568">
        <v>52.493760047719299</v>
      </c>
      <c r="P568">
        <v>-4.6092048257187802E-2</v>
      </c>
      <c r="Q568">
        <v>0.54426259362841201</v>
      </c>
      <c r="R568">
        <v>0.86367228383892902</v>
      </c>
      <c r="S568" t="s">
        <v>4400</v>
      </c>
      <c r="T568" t="s">
        <v>7662</v>
      </c>
      <c r="U568" t="s">
        <v>7662</v>
      </c>
      <c r="V568" t="s">
        <v>7662</v>
      </c>
      <c r="W568">
        <v>4</v>
      </c>
      <c r="X568" t="s">
        <v>8230</v>
      </c>
      <c r="Y568">
        <v>0.74674071888320392</v>
      </c>
      <c r="Z568" t="str">
        <f>HYPERLINK("Melting_Curves/meltCurve_sp_P0CG05_LAC2_HUMAN_.pdf", "Melting_Curves/meltCurve_sp_P0CG05_LAC2_HUMAN_.pdf")</f>
        <v>Melting_Curves/meltCurve_sp_P0CG05_LAC2_HUMAN_.pdf</v>
      </c>
      <c r="AA568" t="s">
        <v>12050</v>
      </c>
      <c r="AB568" t="s">
        <v>15809</v>
      </c>
    </row>
    <row r="569" spans="1:28" x14ac:dyDescent="0.25">
      <c r="A569" t="s">
        <v>573</v>
      </c>
      <c r="B569">
        <v>0.98876768158843997</v>
      </c>
      <c r="C569">
        <v>0.97528172982070804</v>
      </c>
      <c r="D569">
        <v>0.86801508136300298</v>
      </c>
      <c r="E569">
        <v>0.62550521773146595</v>
      </c>
      <c r="F569">
        <v>0.50933855109571502</v>
      </c>
      <c r="G569">
        <v>0.36506114799310302</v>
      </c>
      <c r="H569">
        <v>0.30147549486312802</v>
      </c>
      <c r="I569">
        <v>0.28999324150507699</v>
      </c>
      <c r="J569">
        <v>0.47671038568615598</v>
      </c>
      <c r="K569">
        <v>0.47321005930629301</v>
      </c>
      <c r="L569">
        <v>1080.18100195018</v>
      </c>
      <c r="M569">
        <v>22.041971838473</v>
      </c>
      <c r="N569">
        <v>52.373528344407099</v>
      </c>
      <c r="O569">
        <v>48.6076306031797</v>
      </c>
      <c r="P569">
        <v>-7.0421663710969903E-2</v>
      </c>
      <c r="Q569">
        <v>0.37882975789961099</v>
      </c>
      <c r="R569">
        <v>0.94289263077420904</v>
      </c>
      <c r="S569" t="s">
        <v>4401</v>
      </c>
      <c r="T569" t="s">
        <v>7662</v>
      </c>
      <c r="U569" t="s">
        <v>7662</v>
      </c>
      <c r="V569" t="s">
        <v>7662</v>
      </c>
      <c r="W569">
        <v>3</v>
      </c>
      <c r="X569" t="s">
        <v>8231</v>
      </c>
      <c r="Y569">
        <v>0.57243067483742327</v>
      </c>
      <c r="Z569" t="str">
        <f>HYPERLINK("Melting_Curves/meltCurve_sp_P0CG12_CTF8A_HUMAN_.pdf", "Melting_Curves/meltCurve_sp_P0CG12_CTF8A_HUMAN_.pdf")</f>
        <v>Melting_Curves/meltCurve_sp_P0CG12_CTF8A_HUMAN_.pdf</v>
      </c>
      <c r="AA569" t="s">
        <v>12051</v>
      </c>
      <c r="AB569" t="s">
        <v>15810</v>
      </c>
    </row>
    <row r="570" spans="1:28" x14ac:dyDescent="0.25">
      <c r="A570" t="s">
        <v>574</v>
      </c>
      <c r="B570">
        <v>0.98876768158843997</v>
      </c>
      <c r="C570">
        <v>1.37513540264971</v>
      </c>
      <c r="D570">
        <v>0.927728607903193</v>
      </c>
      <c r="E570">
        <v>0.87677756495296999</v>
      </c>
      <c r="F570">
        <v>0.907384518448761</v>
      </c>
      <c r="G570">
        <v>0.63447648322292305</v>
      </c>
      <c r="H570">
        <v>0.321574968081699</v>
      </c>
      <c r="I570">
        <v>0.19053015902161299</v>
      </c>
      <c r="J570">
        <v>0.12682754278915201</v>
      </c>
      <c r="K570">
        <v>0.134006067239367</v>
      </c>
      <c r="L570">
        <v>1181.89356978513</v>
      </c>
      <c r="M570">
        <v>20.386185016556599</v>
      </c>
      <c r="N570">
        <v>58.507150188756597</v>
      </c>
      <c r="O570">
        <v>57.426014624168097</v>
      </c>
      <c r="P570">
        <v>-8.1244878326009101E-2</v>
      </c>
      <c r="Q570">
        <v>8.4590137008902305E-2</v>
      </c>
      <c r="R570">
        <v>0.90819085027600599</v>
      </c>
      <c r="S570" t="s">
        <v>4402</v>
      </c>
      <c r="T570" t="s">
        <v>7662</v>
      </c>
      <c r="U570" t="s">
        <v>7662</v>
      </c>
      <c r="V570" t="s">
        <v>7662</v>
      </c>
      <c r="W570">
        <v>1</v>
      </c>
      <c r="X570" t="s">
        <v>8232</v>
      </c>
      <c r="Y570">
        <v>0.64328185928557113</v>
      </c>
      <c r="Z570" t="str">
        <f>HYPERLINK("Melting_Curves/meltCurve_sp_P0CW22_RS17L_HUMAN_.pdf", "Melting_Curves/meltCurve_sp_P0CW22_RS17L_HUMAN_.pdf")</f>
        <v>Melting_Curves/meltCurve_sp_P0CW22_RS17L_HUMAN_.pdf</v>
      </c>
      <c r="AA570" t="s">
        <v>12052</v>
      </c>
      <c r="AB570" t="s">
        <v>15811</v>
      </c>
    </row>
    <row r="571" spans="1:28" x14ac:dyDescent="0.25">
      <c r="A571" t="s">
        <v>575</v>
      </c>
      <c r="B571">
        <v>0.98876768158843997</v>
      </c>
      <c r="C571">
        <v>0.92355716469248805</v>
      </c>
      <c r="D571">
        <v>0.70141608853201598</v>
      </c>
      <c r="E571">
        <v>0.52727355556051902</v>
      </c>
      <c r="F571">
        <v>0.34089446473672802</v>
      </c>
      <c r="G571">
        <v>0.11797931051747899</v>
      </c>
      <c r="H571">
        <v>0.123155244140285</v>
      </c>
      <c r="I571">
        <v>0.110364882296085</v>
      </c>
      <c r="J571">
        <v>0.106369496540044</v>
      </c>
      <c r="K571">
        <v>9.5365794083281302E-2</v>
      </c>
      <c r="L571">
        <v>717.31220231795305</v>
      </c>
      <c r="M571">
        <v>14.5613159845424</v>
      </c>
      <c r="N571">
        <v>49.794298746621401</v>
      </c>
      <c r="O571">
        <v>48.360373547955298</v>
      </c>
      <c r="P571">
        <v>-6.9852777178227202E-2</v>
      </c>
      <c r="Q571">
        <v>7.2137951114565196E-2</v>
      </c>
      <c r="R571">
        <v>0.99050028139795598</v>
      </c>
      <c r="S571" t="s">
        <v>4403</v>
      </c>
      <c r="T571" t="s">
        <v>7662</v>
      </c>
      <c r="U571" t="s">
        <v>7662</v>
      </c>
      <c r="V571" t="s">
        <v>7662</v>
      </c>
      <c r="W571">
        <v>1</v>
      </c>
      <c r="X571" t="s">
        <v>8233</v>
      </c>
      <c r="Y571">
        <v>0.38254187585197003</v>
      </c>
      <c r="Z571" t="str">
        <f>HYPERLINK("Melting_Curves/meltCurve_sp_P0DJI8_SAA1_HUMAN_.pdf", "Melting_Curves/meltCurve_sp_P0DJI8_SAA1_HUMAN_.pdf")</f>
        <v>Melting_Curves/meltCurve_sp_P0DJI8_SAA1_HUMAN_.pdf</v>
      </c>
      <c r="AA571" t="s">
        <v>12053</v>
      </c>
      <c r="AB571" t="s">
        <v>15812</v>
      </c>
    </row>
    <row r="572" spans="1:28" x14ac:dyDescent="0.25">
      <c r="A572" t="s">
        <v>576</v>
      </c>
      <c r="B572">
        <v>0.98876768158843997</v>
      </c>
      <c r="C572">
        <v>1.2518836185929101</v>
      </c>
      <c r="D572">
        <v>0.92113864307694904</v>
      </c>
      <c r="E572">
        <v>0.864093475868418</v>
      </c>
      <c r="F572">
        <v>1.1823195672106801</v>
      </c>
      <c r="G572">
        <v>0.79531429530473396</v>
      </c>
      <c r="H572">
        <v>0.718305053561902</v>
      </c>
      <c r="I572">
        <v>0.78280870373540101</v>
      </c>
      <c r="J572">
        <v>1.4766827597557499</v>
      </c>
      <c r="K572">
        <v>1.15077452495457</v>
      </c>
      <c r="L572">
        <v>173.10400114254799</v>
      </c>
      <c r="M572">
        <v>19.393677383647798</v>
      </c>
      <c r="Q572">
        <v>1.01320883348721</v>
      </c>
      <c r="R572">
        <v>-3.90325993748775E-10</v>
      </c>
      <c r="S572" t="s">
        <v>4404</v>
      </c>
      <c r="T572" t="s">
        <v>7662</v>
      </c>
      <c r="U572" t="s">
        <v>7662</v>
      </c>
      <c r="V572" t="s">
        <v>7662</v>
      </c>
      <c r="W572">
        <v>9</v>
      </c>
      <c r="X572" t="s">
        <v>8234</v>
      </c>
      <c r="Y572">
        <v>1.0132088320323309</v>
      </c>
      <c r="Z572" t="str">
        <f>HYPERLINK("Melting_Curves/meltCurve_sp_P10109_ADX_HUMAN_.pdf", "Melting_Curves/meltCurve_sp_P10109_ADX_HUMAN_.pdf")</f>
        <v>Melting_Curves/meltCurve_sp_P10109_ADX_HUMAN_.pdf</v>
      </c>
      <c r="AA572" t="s">
        <v>12054</v>
      </c>
      <c r="AB572" t="s">
        <v>15813</v>
      </c>
    </row>
    <row r="573" spans="1:28" x14ac:dyDescent="0.25">
      <c r="A573" t="s">
        <v>577</v>
      </c>
      <c r="B573">
        <v>0.98876768158843997</v>
      </c>
      <c r="C573">
        <v>1.1196448331739299</v>
      </c>
      <c r="D573">
        <v>0.85487712204882904</v>
      </c>
      <c r="E573">
        <v>0.70436608493472996</v>
      </c>
      <c r="F573">
        <v>0.27185654261866499</v>
      </c>
      <c r="G573">
        <v>0.23097783612154399</v>
      </c>
      <c r="H573">
        <v>0.19140240324272001</v>
      </c>
      <c r="I573">
        <v>0.238832049590991</v>
      </c>
      <c r="J573">
        <v>0.20687917799523101</v>
      </c>
      <c r="K573">
        <v>0.19389086086838</v>
      </c>
      <c r="L573">
        <v>2074.2411460077301</v>
      </c>
      <c r="M573">
        <v>41.0890014342367</v>
      </c>
      <c r="N573">
        <v>51.144356801502802</v>
      </c>
      <c r="O573">
        <v>50.362545524818302</v>
      </c>
      <c r="P573">
        <v>-0.16186702285100901</v>
      </c>
      <c r="Q573">
        <v>0.206403909823551</v>
      </c>
      <c r="R573">
        <v>0.97208663748626101</v>
      </c>
      <c r="S573" t="s">
        <v>4405</v>
      </c>
      <c r="T573" t="s">
        <v>7662</v>
      </c>
      <c r="U573" t="s">
        <v>7662</v>
      </c>
      <c r="V573" t="s">
        <v>7662</v>
      </c>
      <c r="W573">
        <v>3</v>
      </c>
      <c r="X573" t="s">
        <v>8235</v>
      </c>
      <c r="Y573">
        <v>0.48630108341862321</v>
      </c>
      <c r="Z573" t="str">
        <f>HYPERLINK("Melting_Curves/meltCurve_sp_P10153_RNAS2_HUMAN_.pdf", "Melting_Curves/meltCurve_sp_P10153_RNAS2_HUMAN_.pdf")</f>
        <v>Melting_Curves/meltCurve_sp_P10153_RNAS2_HUMAN_.pdf</v>
      </c>
      <c r="AA573" t="s">
        <v>12055</v>
      </c>
      <c r="AB573" t="s">
        <v>15814</v>
      </c>
    </row>
    <row r="574" spans="1:28" x14ac:dyDescent="0.25">
      <c r="A574" t="s">
        <v>578</v>
      </c>
      <c r="B574">
        <v>0.98876768158843997</v>
      </c>
      <c r="C574">
        <v>0.95416406068464199</v>
      </c>
      <c r="D574">
        <v>0.95846556922718196</v>
      </c>
      <c r="E574">
        <v>0.88026372153697996</v>
      </c>
      <c r="F574">
        <v>0.66591750479641998</v>
      </c>
      <c r="G574">
        <v>0.50339569068999102</v>
      </c>
      <c r="H574">
        <v>0.311989353417779</v>
      </c>
      <c r="I574">
        <v>0.21757227755124001</v>
      </c>
      <c r="J574">
        <v>0.110327086876901</v>
      </c>
      <c r="K574">
        <v>0.11164691102475301</v>
      </c>
      <c r="L574">
        <v>699.86112478530799</v>
      </c>
      <c r="M574">
        <v>12.330760143769799</v>
      </c>
      <c r="N574">
        <v>56.849832732902001</v>
      </c>
      <c r="O574">
        <v>55.326513045964198</v>
      </c>
      <c r="P574">
        <v>-5.5176747143849299E-2</v>
      </c>
      <c r="Q574">
        <v>9.9311384769742907E-3</v>
      </c>
      <c r="R574">
        <v>0.99535170613673396</v>
      </c>
      <c r="S574" t="s">
        <v>4406</v>
      </c>
      <c r="T574" t="s">
        <v>7662</v>
      </c>
      <c r="U574" t="s">
        <v>7662</v>
      </c>
      <c r="V574" t="s">
        <v>7662</v>
      </c>
      <c r="W574">
        <v>15</v>
      </c>
      <c r="X574" t="s">
        <v>8236</v>
      </c>
      <c r="Y574">
        <v>0.58047077054663776</v>
      </c>
      <c r="Z574" t="str">
        <f>HYPERLINK("Melting_Curves/meltCurve_sp_P10155_3_RO60_HUMAN_.pdf", "Melting_Curves/meltCurve_sp_P10155_3_RO60_HUMAN_.pdf")</f>
        <v>Melting_Curves/meltCurve_sp_P10155_3_RO60_HUMAN_.pdf</v>
      </c>
      <c r="AA574" t="s">
        <v>12056</v>
      </c>
      <c r="AB574" t="s">
        <v>15815</v>
      </c>
    </row>
    <row r="575" spans="1:28" x14ac:dyDescent="0.25">
      <c r="A575" t="s">
        <v>579</v>
      </c>
      <c r="B575">
        <v>0.98876768158843997</v>
      </c>
      <c r="C575">
        <v>0.94546331975335396</v>
      </c>
      <c r="D575">
        <v>0.96430653632808605</v>
      </c>
      <c r="E575">
        <v>0.88508076608168396</v>
      </c>
      <c r="F575">
        <v>0.67876718138464398</v>
      </c>
      <c r="G575">
        <v>0.437152243095</v>
      </c>
      <c r="H575">
        <v>0.23124059102709499</v>
      </c>
      <c r="I575">
        <v>0.14892289018778701</v>
      </c>
      <c r="J575">
        <v>0.140867279688241</v>
      </c>
      <c r="K575">
        <v>0.14579885914607099</v>
      </c>
      <c r="L575">
        <v>971.91524446454798</v>
      </c>
      <c r="M575">
        <v>17.676399458997</v>
      </c>
      <c r="N575">
        <v>55.728939929733599</v>
      </c>
      <c r="O575">
        <v>54.294544163054503</v>
      </c>
      <c r="P575">
        <v>-7.2828782358227998E-2</v>
      </c>
      <c r="Q575">
        <v>0.105248549926111</v>
      </c>
      <c r="R575">
        <v>0.99636972579851502</v>
      </c>
      <c r="S575" t="s">
        <v>4407</v>
      </c>
      <c r="T575" t="s">
        <v>7662</v>
      </c>
      <c r="U575" t="s">
        <v>7662</v>
      </c>
      <c r="V575" t="s">
        <v>7662</v>
      </c>
      <c r="W575">
        <v>24</v>
      </c>
      <c r="X575" t="s">
        <v>8237</v>
      </c>
      <c r="Y575">
        <v>0.56633164506908973</v>
      </c>
      <c r="Z575" t="str">
        <f>HYPERLINK("Melting_Curves/meltCurve_sp_P10253_LYAG_HUMAN_.pdf", "Melting_Curves/meltCurve_sp_P10253_LYAG_HUMAN_.pdf")</f>
        <v>Melting_Curves/meltCurve_sp_P10253_LYAG_HUMAN_.pdf</v>
      </c>
      <c r="AA575" t="s">
        <v>12057</v>
      </c>
      <c r="AB575" t="s">
        <v>15816</v>
      </c>
    </row>
    <row r="576" spans="1:28" x14ac:dyDescent="0.25">
      <c r="A576" t="s">
        <v>580</v>
      </c>
      <c r="B576">
        <v>0.98876768158843997</v>
      </c>
      <c r="C576">
        <v>0.96995256348549896</v>
      </c>
      <c r="D576">
        <v>1.0048252364713299</v>
      </c>
      <c r="E576">
        <v>0.83932671432136596</v>
      </c>
      <c r="F576">
        <v>0.71025647831661098</v>
      </c>
      <c r="G576">
        <v>0.52113156156871798</v>
      </c>
      <c r="H576">
        <v>0.50428964706129098</v>
      </c>
      <c r="I576">
        <v>0.60401407367025794</v>
      </c>
      <c r="J576">
        <v>0.63216848328733499</v>
      </c>
      <c r="K576">
        <v>0.79574536112240801</v>
      </c>
      <c r="L576">
        <v>1866.4296196671901</v>
      </c>
      <c r="M576">
        <v>36.859596531042499</v>
      </c>
      <c r="O576">
        <v>50.487843228753199</v>
      </c>
      <c r="P576">
        <v>-7.0266909593451998E-2</v>
      </c>
      <c r="Q576">
        <v>0.61501322690482196</v>
      </c>
      <c r="R576">
        <v>0.82410492993455797</v>
      </c>
      <c r="S576" t="s">
        <v>4408</v>
      </c>
      <c r="T576" t="s">
        <v>7662</v>
      </c>
      <c r="U576" t="s">
        <v>7662</v>
      </c>
      <c r="V576" t="s">
        <v>7662</v>
      </c>
      <c r="W576">
        <v>9</v>
      </c>
      <c r="X576" t="s">
        <v>8238</v>
      </c>
      <c r="Y576">
        <v>0.7530954330895967</v>
      </c>
      <c r="Z576" t="str">
        <f>HYPERLINK("Melting_Curves/meltCurve_sp_P10412_H14_HUMAN_.pdf", "Melting_Curves/meltCurve_sp_P10412_H14_HUMAN_.pdf")</f>
        <v>Melting_Curves/meltCurve_sp_P10412_H14_HUMAN_.pdf</v>
      </c>
      <c r="AA576" t="s">
        <v>12058</v>
      </c>
      <c r="AB576" t="s">
        <v>15817</v>
      </c>
    </row>
    <row r="577" spans="1:28" x14ac:dyDescent="0.25">
      <c r="A577" t="s">
        <v>581</v>
      </c>
      <c r="B577">
        <v>0.98876768158843997</v>
      </c>
      <c r="C577">
        <v>0.91188347444753404</v>
      </c>
      <c r="D577">
        <v>0.94718437111726195</v>
      </c>
      <c r="E577">
        <v>0.67170950731662205</v>
      </c>
      <c r="F577">
        <v>0.49238667313317802</v>
      </c>
      <c r="G577">
        <v>0.30549917001094601</v>
      </c>
      <c r="H577">
        <v>0.17901940382756101</v>
      </c>
      <c r="I577">
        <v>0.15778657553384401</v>
      </c>
      <c r="J577">
        <v>0.19070251050721401</v>
      </c>
      <c r="K577">
        <v>0.15819821410360499</v>
      </c>
      <c r="L577">
        <v>871.53780725083004</v>
      </c>
      <c r="M577">
        <v>16.863107457535399</v>
      </c>
      <c r="N577">
        <v>52.753133993592598</v>
      </c>
      <c r="O577">
        <v>50.9727062892714</v>
      </c>
      <c r="P577">
        <v>-7.0731685087358498E-2</v>
      </c>
      <c r="Q577">
        <v>0.14484197639312099</v>
      </c>
      <c r="R577">
        <v>0.99271133696169001</v>
      </c>
      <c r="S577" t="s">
        <v>4409</v>
      </c>
      <c r="T577" t="s">
        <v>7662</v>
      </c>
      <c r="U577" t="s">
        <v>7662</v>
      </c>
      <c r="V577" t="s">
        <v>7662</v>
      </c>
      <c r="W577">
        <v>6</v>
      </c>
      <c r="X577" t="s">
        <v>8239</v>
      </c>
      <c r="Y577">
        <v>0.49384860153054322</v>
      </c>
      <c r="Z577" t="str">
        <f>HYPERLINK("Melting_Curves/meltCurve_sp_P10515_ODP2_HUMAN_.pdf", "Melting_Curves/meltCurve_sp_P10515_ODP2_HUMAN_.pdf")</f>
        <v>Melting_Curves/meltCurve_sp_P10515_ODP2_HUMAN_.pdf</v>
      </c>
      <c r="AA577" t="s">
        <v>12059</v>
      </c>
      <c r="AB577" t="s">
        <v>15818</v>
      </c>
    </row>
    <row r="578" spans="1:28" x14ac:dyDescent="0.25">
      <c r="A578" t="s">
        <v>582</v>
      </c>
      <c r="B578">
        <v>0.98876768158843997</v>
      </c>
      <c r="C578">
        <v>0.84608296850744902</v>
      </c>
      <c r="D578">
        <v>1.12399409889902</v>
      </c>
      <c r="E578">
        <v>0.93886157222428401</v>
      </c>
      <c r="F578">
        <v>7.7504560367849903E-2</v>
      </c>
      <c r="G578">
        <v>5.52774192323192E-2</v>
      </c>
      <c r="H578">
        <v>1.9959165834543501E-2</v>
      </c>
      <c r="I578">
        <v>1.1745049206501299E-2</v>
      </c>
      <c r="J578">
        <v>5.8501154213616204E-3</v>
      </c>
      <c r="K578">
        <v>3.7944248724953401E-3</v>
      </c>
      <c r="L578">
        <v>4833.5848507260998</v>
      </c>
      <c r="M578">
        <v>93.960848212654994</v>
      </c>
      <c r="N578">
        <v>51.464111272310603</v>
      </c>
      <c r="O578">
        <v>51.419252065422</v>
      </c>
      <c r="P578">
        <v>-0.44802633107671003</v>
      </c>
      <c r="Q578">
        <v>1.9286106873963999E-2</v>
      </c>
      <c r="R578">
        <v>0.98129656727720704</v>
      </c>
      <c r="S578" t="s">
        <v>4410</v>
      </c>
      <c r="T578" t="s">
        <v>7662</v>
      </c>
      <c r="U578" t="s">
        <v>7662</v>
      </c>
      <c r="V578" t="s">
        <v>7662</v>
      </c>
      <c r="W578">
        <v>2</v>
      </c>
      <c r="X578" t="s">
        <v>8240</v>
      </c>
      <c r="Y578">
        <v>0.39397573226577293</v>
      </c>
      <c r="Z578" t="str">
        <f>HYPERLINK("Melting_Curves/meltCurve_sp_P10586_2_PTPRF_HUMAN_.pdf", "Melting_Curves/meltCurve_sp_P10586_2_PTPRF_HUMAN_.pdf")</f>
        <v>Melting_Curves/meltCurve_sp_P10586_2_PTPRF_HUMAN_.pdf</v>
      </c>
      <c r="AA578" t="s">
        <v>12060</v>
      </c>
      <c r="AB578" t="s">
        <v>15819</v>
      </c>
    </row>
    <row r="579" spans="1:28" x14ac:dyDescent="0.25">
      <c r="A579" t="s">
        <v>583</v>
      </c>
      <c r="B579">
        <v>0.98876768158843997</v>
      </c>
      <c r="C579">
        <v>1.10025697895981</v>
      </c>
      <c r="D579">
        <v>0.88611193753383</v>
      </c>
      <c r="E579">
        <v>0.71310697947143897</v>
      </c>
      <c r="F579">
        <v>0.86917104598866002</v>
      </c>
      <c r="G579">
        <v>0.60875006930879405</v>
      </c>
      <c r="H579">
        <v>0.50295283720574502</v>
      </c>
      <c r="I579">
        <v>0.68371717352152095</v>
      </c>
      <c r="J579">
        <v>0.74756968941573299</v>
      </c>
      <c r="K579">
        <v>0.92850678457929803</v>
      </c>
      <c r="L579">
        <v>11516.814331843299</v>
      </c>
      <c r="M579">
        <v>250</v>
      </c>
      <c r="O579">
        <v>46.064289077926801</v>
      </c>
      <c r="P579">
        <v>-0.37723376118280999</v>
      </c>
      <c r="Q579">
        <v>0.72196779685724899</v>
      </c>
      <c r="R579">
        <v>0.546323760311202</v>
      </c>
      <c r="S579" t="s">
        <v>4411</v>
      </c>
      <c r="T579" t="s">
        <v>7662</v>
      </c>
      <c r="U579" t="s">
        <v>7662</v>
      </c>
      <c r="V579" t="s">
        <v>7662</v>
      </c>
      <c r="W579">
        <v>7</v>
      </c>
      <c r="X579" t="s">
        <v>8241</v>
      </c>
      <c r="Y579">
        <v>0.7782200390744336</v>
      </c>
      <c r="Z579" t="str">
        <f>HYPERLINK("Melting_Curves/meltCurve_sp_P10606_COX5B_HUMAN_.pdf", "Melting_Curves/meltCurve_sp_P10606_COX5B_HUMAN_.pdf")</f>
        <v>Melting_Curves/meltCurve_sp_P10606_COX5B_HUMAN_.pdf</v>
      </c>
      <c r="AA579" t="s">
        <v>12061</v>
      </c>
      <c r="AB579" t="s">
        <v>15820</v>
      </c>
    </row>
    <row r="580" spans="1:28" x14ac:dyDescent="0.25">
      <c r="A580" t="s">
        <v>584</v>
      </c>
      <c r="B580">
        <v>0.98876768158843997</v>
      </c>
      <c r="C580">
        <v>1.10310286484093</v>
      </c>
      <c r="D580">
        <v>0.87123041754227504</v>
      </c>
      <c r="E580">
        <v>0.40879438677422297</v>
      </c>
      <c r="F580">
        <v>0.104978926474252</v>
      </c>
      <c r="G580">
        <v>5.89145462996402E-2</v>
      </c>
      <c r="H580">
        <v>3.8289781224620303E-2</v>
      </c>
      <c r="I580">
        <v>3.3545619489600602E-2</v>
      </c>
      <c r="J580">
        <v>5.1249333458770002E-2</v>
      </c>
      <c r="K580">
        <v>3.4715916932363901E-2</v>
      </c>
      <c r="L580">
        <v>1567.33248231994</v>
      </c>
      <c r="M580">
        <v>31.8787391863534</v>
      </c>
      <c r="N580">
        <v>49.288032897437503</v>
      </c>
      <c r="O580">
        <v>48.973191384679502</v>
      </c>
      <c r="P580">
        <v>-0.15653434394340199</v>
      </c>
      <c r="Q580">
        <v>3.8111626993916702E-2</v>
      </c>
      <c r="R580">
        <v>0.99175639419017403</v>
      </c>
      <c r="S580" t="s">
        <v>4412</v>
      </c>
      <c r="T580" t="s">
        <v>7662</v>
      </c>
      <c r="U580" t="s">
        <v>7662</v>
      </c>
      <c r="V580" t="s">
        <v>7662</v>
      </c>
      <c r="W580">
        <v>7</v>
      </c>
      <c r="X580" t="s">
        <v>8242</v>
      </c>
      <c r="Y580">
        <v>0.337170266683054</v>
      </c>
      <c r="Z580" t="str">
        <f>HYPERLINK("Melting_Curves/meltCurve_sp_P10619_PPGB_HUMAN_.pdf", "Melting_Curves/meltCurve_sp_P10619_PPGB_HUMAN_.pdf")</f>
        <v>Melting_Curves/meltCurve_sp_P10619_PPGB_HUMAN_.pdf</v>
      </c>
      <c r="AA580" t="s">
        <v>12062</v>
      </c>
      <c r="AB580" t="s">
        <v>15821</v>
      </c>
    </row>
    <row r="581" spans="1:28" x14ac:dyDescent="0.25">
      <c r="A581" t="s">
        <v>585</v>
      </c>
      <c r="B581">
        <v>0.98876768158843997</v>
      </c>
      <c r="C581">
        <v>0.89076329740509197</v>
      </c>
      <c r="D581">
        <v>0.94467098883798095</v>
      </c>
      <c r="E581">
        <v>0.413194791810575</v>
      </c>
      <c r="F581">
        <v>0.20173014958885499</v>
      </c>
      <c r="G581">
        <v>0.10501735493264</v>
      </c>
      <c r="H581">
        <v>5.37510988123866E-2</v>
      </c>
      <c r="I581">
        <v>3.8118107707868699E-2</v>
      </c>
      <c r="J581">
        <v>4.0742557230369202E-2</v>
      </c>
      <c r="K581">
        <v>3.2883608673087497E-2</v>
      </c>
      <c r="L581">
        <v>1357.67387000961</v>
      </c>
      <c r="M581">
        <v>27.487900973261301</v>
      </c>
      <c r="N581">
        <v>49.578861203737802</v>
      </c>
      <c r="O581">
        <v>49.132500548274599</v>
      </c>
      <c r="P581">
        <v>-0.13297413589920401</v>
      </c>
      <c r="Q581">
        <v>4.9284816757760599E-2</v>
      </c>
      <c r="R581">
        <v>0.98984765377108097</v>
      </c>
      <c r="S581" t="s">
        <v>4413</v>
      </c>
      <c r="T581" t="s">
        <v>7662</v>
      </c>
      <c r="U581" t="s">
        <v>7662</v>
      </c>
      <c r="V581" t="s">
        <v>7662</v>
      </c>
      <c r="W581">
        <v>5</v>
      </c>
      <c r="X581" t="s">
        <v>8243</v>
      </c>
      <c r="Y581">
        <v>0.35387389468641228</v>
      </c>
      <c r="Z581" t="str">
        <f>HYPERLINK("Melting_Curves/meltCurve_sp_P10632_2_CP2C8_HUMAN_.pdf", "Melting_Curves/meltCurve_sp_P10632_2_CP2C8_HUMAN_.pdf")</f>
        <v>Melting_Curves/meltCurve_sp_P10632_2_CP2C8_HUMAN_.pdf</v>
      </c>
      <c r="AA581" t="s">
        <v>12063</v>
      </c>
      <c r="AB581" t="s">
        <v>15822</v>
      </c>
    </row>
    <row r="582" spans="1:28" x14ac:dyDescent="0.25">
      <c r="A582" t="s">
        <v>586</v>
      </c>
      <c r="B582">
        <v>0.98876768158843997</v>
      </c>
      <c r="C582">
        <v>0.96916973730139799</v>
      </c>
      <c r="D582">
        <v>0.76477021059680905</v>
      </c>
      <c r="E582">
        <v>0.45096143971984098</v>
      </c>
      <c r="F582">
        <v>0.275927883921188</v>
      </c>
      <c r="G582">
        <v>0.13248995927510099</v>
      </c>
      <c r="H582">
        <v>8.7846874856262996E-2</v>
      </c>
      <c r="I582">
        <v>8.4697298358335199E-2</v>
      </c>
      <c r="J582">
        <v>8.9620971523347595E-2</v>
      </c>
      <c r="K582">
        <v>0.104467285486807</v>
      </c>
      <c r="L582">
        <v>913.21744567631197</v>
      </c>
      <c r="M582">
        <v>18.662225594714499</v>
      </c>
      <c r="N582">
        <v>49.405238180344199</v>
      </c>
      <c r="O582">
        <v>48.382532635685898</v>
      </c>
      <c r="P582">
        <v>-8.85724403778817E-2</v>
      </c>
      <c r="Q582">
        <v>8.1529770813870597E-2</v>
      </c>
      <c r="R582">
        <v>0.998007096317024</v>
      </c>
      <c r="S582" t="s">
        <v>4414</v>
      </c>
      <c r="T582" t="s">
        <v>7662</v>
      </c>
      <c r="U582" t="s">
        <v>7662</v>
      </c>
      <c r="V582" t="s">
        <v>7662</v>
      </c>
      <c r="W582">
        <v>15</v>
      </c>
      <c r="X582" t="s">
        <v>8244</v>
      </c>
      <c r="Y582">
        <v>0.36986439640120822</v>
      </c>
      <c r="Z582" t="str">
        <f>HYPERLINK("Melting_Curves/meltCurve_sp_P10644_KAP0_HUMAN_.pdf", "Melting_Curves/meltCurve_sp_P10644_KAP0_HUMAN_.pdf")</f>
        <v>Melting_Curves/meltCurve_sp_P10644_KAP0_HUMAN_.pdf</v>
      </c>
      <c r="AA582" t="s">
        <v>12064</v>
      </c>
      <c r="AB582" t="s">
        <v>15823</v>
      </c>
    </row>
    <row r="583" spans="1:28" x14ac:dyDescent="0.25">
      <c r="A583" t="s">
        <v>587</v>
      </c>
      <c r="B583">
        <v>0.98876768158843997</v>
      </c>
      <c r="C583">
        <v>1.1007905817792401</v>
      </c>
      <c r="D583">
        <v>0.84495659597863504</v>
      </c>
      <c r="E583">
        <v>0.64701945252927895</v>
      </c>
      <c r="F583">
        <v>0.26290072301185102</v>
      </c>
      <c r="G583">
        <v>0.130298837258671</v>
      </c>
      <c r="H583">
        <v>8.1153415021421094E-2</v>
      </c>
      <c r="I583">
        <v>6.2542791124740205E-2</v>
      </c>
      <c r="J583">
        <v>8.7559872984535297E-2</v>
      </c>
      <c r="K583">
        <v>6.2932958566375902E-2</v>
      </c>
      <c r="L583">
        <v>1251.87973238528</v>
      </c>
      <c r="M583">
        <v>24.734523488480601</v>
      </c>
      <c r="N583">
        <v>50.908102082382499</v>
      </c>
      <c r="O583">
        <v>50.285297752059101</v>
      </c>
      <c r="P583">
        <v>-0.11475051244319499</v>
      </c>
      <c r="Q583">
        <v>6.6861710589055906E-2</v>
      </c>
      <c r="R583">
        <v>0.98566842941573296</v>
      </c>
      <c r="S583" t="s">
        <v>4415</v>
      </c>
      <c r="T583" t="s">
        <v>7662</v>
      </c>
      <c r="U583" t="s">
        <v>7662</v>
      </c>
      <c r="V583" t="s">
        <v>7662</v>
      </c>
      <c r="W583">
        <v>4</v>
      </c>
      <c r="X583" t="s">
        <v>8245</v>
      </c>
      <c r="Y583">
        <v>0.40553793194571702</v>
      </c>
      <c r="Z583" t="str">
        <f>HYPERLINK("Melting_Curves/meltCurve_sp_P10746_HEM4_HUMAN_.pdf", "Melting_Curves/meltCurve_sp_P10746_HEM4_HUMAN_.pdf")</f>
        <v>Melting_Curves/meltCurve_sp_P10746_HEM4_HUMAN_.pdf</v>
      </c>
      <c r="AA583" t="s">
        <v>12065</v>
      </c>
      <c r="AB583" t="s">
        <v>15824</v>
      </c>
    </row>
    <row r="584" spans="1:28" x14ac:dyDescent="0.25">
      <c r="A584" t="s">
        <v>588</v>
      </c>
      <c r="B584">
        <v>0.98876768158843997</v>
      </c>
      <c r="C584">
        <v>1.0308861797384701</v>
      </c>
      <c r="D584">
        <v>0.88855212945509798</v>
      </c>
      <c r="E584">
        <v>0.85932907828181904</v>
      </c>
      <c r="F584">
        <v>0.843689642033012</v>
      </c>
      <c r="G584">
        <v>0.33789852118014801</v>
      </c>
      <c r="H584">
        <v>6.7771277072868397E-2</v>
      </c>
      <c r="I584">
        <v>4.1751359963075697E-2</v>
      </c>
      <c r="J584">
        <v>4.33507874217419E-2</v>
      </c>
      <c r="K584">
        <v>3.5846611675804899E-2</v>
      </c>
      <c r="L584">
        <v>1572.5157019492001</v>
      </c>
      <c r="M584">
        <v>28.305906608513499</v>
      </c>
      <c r="N584">
        <v>55.6408446625884</v>
      </c>
      <c r="O584">
        <v>55.2792845829104</v>
      </c>
      <c r="P584">
        <v>-0.125257614394293</v>
      </c>
      <c r="Q584">
        <v>2.1533890318342699E-2</v>
      </c>
      <c r="R584">
        <v>0.98535101129134495</v>
      </c>
      <c r="S584" t="s">
        <v>4416</v>
      </c>
      <c r="T584" t="s">
        <v>7662</v>
      </c>
      <c r="U584" t="s">
        <v>7662</v>
      </c>
      <c r="V584" t="s">
        <v>7662</v>
      </c>
      <c r="W584">
        <v>11</v>
      </c>
      <c r="X584" t="s">
        <v>8246</v>
      </c>
      <c r="Y584">
        <v>0.53609548942273721</v>
      </c>
      <c r="Z584" t="str">
        <f>HYPERLINK("Melting_Curves/meltCurve_sp_P10768_ESTD_HUMAN_.pdf", "Melting_Curves/meltCurve_sp_P10768_ESTD_HUMAN_.pdf")</f>
        <v>Melting_Curves/meltCurve_sp_P10768_ESTD_HUMAN_.pdf</v>
      </c>
      <c r="AA584" t="s">
        <v>12066</v>
      </c>
      <c r="AB584" t="s">
        <v>15825</v>
      </c>
    </row>
    <row r="585" spans="1:28" x14ac:dyDescent="0.25">
      <c r="A585" t="s">
        <v>589</v>
      </c>
      <c r="B585">
        <v>0.98876768158843997</v>
      </c>
      <c r="C585">
        <v>0.81958147088509203</v>
      </c>
      <c r="D585">
        <v>0.91466869327905298</v>
      </c>
      <c r="E585">
        <v>0.67318296976204095</v>
      </c>
      <c r="F585">
        <v>0.416522620254968</v>
      </c>
      <c r="G585">
        <v>0.29913191593778998</v>
      </c>
      <c r="H585">
        <v>0.24687669206781501</v>
      </c>
      <c r="I585">
        <v>0.18606609432406501</v>
      </c>
      <c r="J585">
        <v>6.8435059834086501E-2</v>
      </c>
      <c r="K585">
        <v>5.6303278128358801E-2</v>
      </c>
      <c r="L585">
        <v>569.37529573542804</v>
      </c>
      <c r="M585">
        <v>10.821549767049399</v>
      </c>
      <c r="N585">
        <v>52.7649460337664</v>
      </c>
      <c r="O585">
        <v>50.913825796062397</v>
      </c>
      <c r="P585">
        <v>-5.23505081307356E-2</v>
      </c>
      <c r="Q585">
        <v>1.51478215304225E-2</v>
      </c>
      <c r="R585">
        <v>0.97262868936793501</v>
      </c>
      <c r="S585" t="s">
        <v>4417</v>
      </c>
      <c r="T585" t="s">
        <v>7662</v>
      </c>
      <c r="U585" t="s">
        <v>7662</v>
      </c>
      <c r="V585" t="s">
        <v>7662</v>
      </c>
      <c r="W585">
        <v>51</v>
      </c>
      <c r="X585" t="s">
        <v>8247</v>
      </c>
      <c r="Y585">
        <v>0.46169953612145148</v>
      </c>
      <c r="Z585" t="str">
        <f>HYPERLINK("Melting_Curves/meltCurve_sp_P10809_CH60_HUMAN_.pdf", "Melting_Curves/meltCurve_sp_P10809_CH60_HUMAN_.pdf")</f>
        <v>Melting_Curves/meltCurve_sp_P10809_CH60_HUMAN_.pdf</v>
      </c>
      <c r="AA585" t="s">
        <v>12067</v>
      </c>
      <c r="AB585" t="s">
        <v>15826</v>
      </c>
    </row>
    <row r="586" spans="1:28" x14ac:dyDescent="0.25">
      <c r="A586" t="s">
        <v>590</v>
      </c>
      <c r="B586">
        <v>0.98876768158843997</v>
      </c>
      <c r="C586">
        <v>1.00065412005094</v>
      </c>
      <c r="D586">
        <v>0.908234433240803</v>
      </c>
      <c r="E586">
        <v>0.62958149995272705</v>
      </c>
      <c r="F586">
        <v>0.36822678783868801</v>
      </c>
      <c r="G586">
        <v>0.247504801975717</v>
      </c>
      <c r="H586">
        <v>0.182605080785715</v>
      </c>
      <c r="I586">
        <v>0.17666889740559899</v>
      </c>
      <c r="J586">
        <v>0.20303913279146399</v>
      </c>
      <c r="K586">
        <v>0.219289676090341</v>
      </c>
      <c r="L586">
        <v>1202.6198132848399</v>
      </c>
      <c r="M586">
        <v>23.924151049113298</v>
      </c>
      <c r="N586">
        <v>51.309591296356501</v>
      </c>
      <c r="O586">
        <v>49.920783545597097</v>
      </c>
      <c r="P586">
        <v>-9.6766367037160003E-2</v>
      </c>
      <c r="Q586">
        <v>0.19235196178768099</v>
      </c>
      <c r="R586">
        <v>0.99798715684681905</v>
      </c>
      <c r="S586" t="s">
        <v>4418</v>
      </c>
      <c r="T586" t="s">
        <v>7662</v>
      </c>
      <c r="U586" t="s">
        <v>7662</v>
      </c>
      <c r="V586" t="s">
        <v>7662</v>
      </c>
      <c r="W586">
        <v>4</v>
      </c>
      <c r="X586" t="s">
        <v>8248</v>
      </c>
      <c r="Y586">
        <v>0.47668602810559008</v>
      </c>
      <c r="Z586" t="str">
        <f>HYPERLINK("Melting_Curves/meltCurve_sp_P10909_4_CLUS_HUMAN_.pdf", "Melting_Curves/meltCurve_sp_P10909_4_CLUS_HUMAN_.pdf")</f>
        <v>Melting_Curves/meltCurve_sp_P10909_4_CLUS_HUMAN_.pdf</v>
      </c>
      <c r="AA586" t="s">
        <v>12068</v>
      </c>
      <c r="AB586" t="s">
        <v>15827</v>
      </c>
    </row>
    <row r="587" spans="1:28" x14ac:dyDescent="0.25">
      <c r="A587" t="s">
        <v>591</v>
      </c>
      <c r="B587">
        <v>0.98876768158843997</v>
      </c>
      <c r="C587">
        <v>0.94993378868650102</v>
      </c>
      <c r="D587">
        <v>0.93182541905210603</v>
      </c>
      <c r="E587">
        <v>0.74622263705547598</v>
      </c>
      <c r="F587">
        <v>0.58024129825340198</v>
      </c>
      <c r="G587">
        <v>0.36814366177303198</v>
      </c>
      <c r="H587">
        <v>0.222545701404188</v>
      </c>
      <c r="I587">
        <v>0.141455298721399</v>
      </c>
      <c r="J587">
        <v>0.105369096264901</v>
      </c>
      <c r="K587">
        <v>8.7072451192750394E-2</v>
      </c>
      <c r="L587">
        <v>701.17712384196795</v>
      </c>
      <c r="M587">
        <v>12.9546006699439</v>
      </c>
      <c r="N587">
        <v>54.423467323015402</v>
      </c>
      <c r="O587">
        <v>52.884649981071902</v>
      </c>
      <c r="P587">
        <v>-5.9155470082200699E-2</v>
      </c>
      <c r="Q587">
        <v>3.4209792554535698E-2</v>
      </c>
      <c r="R587">
        <v>0.99921487498820405</v>
      </c>
      <c r="S587" t="s">
        <v>4419</v>
      </c>
      <c r="T587" t="s">
        <v>7662</v>
      </c>
      <c r="U587" t="s">
        <v>7662</v>
      </c>
      <c r="V587" t="s">
        <v>7662</v>
      </c>
      <c r="W587">
        <v>39</v>
      </c>
      <c r="X587" t="s">
        <v>8249</v>
      </c>
      <c r="Y587">
        <v>0.51212731513906118</v>
      </c>
      <c r="Z587" t="str">
        <f>HYPERLINK("Melting_Curves/meltCurve_sp_P11021_GRP78_HUMAN_.pdf", "Melting_Curves/meltCurve_sp_P11021_GRP78_HUMAN_.pdf")</f>
        <v>Melting_Curves/meltCurve_sp_P11021_GRP78_HUMAN_.pdf</v>
      </c>
      <c r="AA587" t="s">
        <v>12069</v>
      </c>
      <c r="AB587" t="s">
        <v>15828</v>
      </c>
    </row>
    <row r="588" spans="1:28" x14ac:dyDescent="0.25">
      <c r="A588" t="s">
        <v>592</v>
      </c>
      <c r="B588">
        <v>0.98876768158843997</v>
      </c>
      <c r="C588">
        <v>0.93809509773946098</v>
      </c>
      <c r="D588">
        <v>1.0288585861470001</v>
      </c>
      <c r="E588">
        <v>0.75169585381054305</v>
      </c>
      <c r="F588">
        <v>0.39659209194352102</v>
      </c>
      <c r="G588">
        <v>0.227411984688487</v>
      </c>
      <c r="H588">
        <v>0.242294348889217</v>
      </c>
      <c r="I588">
        <v>0.21397501033737901</v>
      </c>
      <c r="J588">
        <v>0.14978097509326499</v>
      </c>
      <c r="K588">
        <v>0.30620436152763703</v>
      </c>
      <c r="L588">
        <v>1881.8440723645699</v>
      </c>
      <c r="M588">
        <v>36.833632717578801</v>
      </c>
      <c r="N588">
        <v>51.9341463968113</v>
      </c>
      <c r="O588">
        <v>50.940484027138098</v>
      </c>
      <c r="P588">
        <v>-0.140065702053637</v>
      </c>
      <c r="Q588">
        <v>0.22516535925050901</v>
      </c>
      <c r="R588">
        <v>0.98397418557987104</v>
      </c>
      <c r="S588" t="s">
        <v>4420</v>
      </c>
      <c r="T588" t="s">
        <v>7662</v>
      </c>
      <c r="U588" t="s">
        <v>7662</v>
      </c>
      <c r="V588" t="s">
        <v>7662</v>
      </c>
      <c r="W588">
        <v>2</v>
      </c>
      <c r="X588" t="s">
        <v>8250</v>
      </c>
      <c r="Y588">
        <v>0.51483597550493176</v>
      </c>
      <c r="Z588" t="str">
        <f>HYPERLINK("Melting_Curves/meltCurve_sp_P11047_LAMC1_HUMAN_.pdf", "Melting_Curves/meltCurve_sp_P11047_LAMC1_HUMAN_.pdf")</f>
        <v>Melting_Curves/meltCurve_sp_P11047_LAMC1_HUMAN_.pdf</v>
      </c>
      <c r="AA588" t="s">
        <v>12070</v>
      </c>
      <c r="AB588" t="s">
        <v>15829</v>
      </c>
    </row>
    <row r="589" spans="1:28" x14ac:dyDescent="0.25">
      <c r="A589" t="s">
        <v>593</v>
      </c>
      <c r="B589">
        <v>0.98876768158843997</v>
      </c>
      <c r="C589">
        <v>1.0107052884402601</v>
      </c>
      <c r="D589">
        <v>0.93654018418552099</v>
      </c>
      <c r="E589">
        <v>0.62142302128554405</v>
      </c>
      <c r="F589">
        <v>0.24509683155565701</v>
      </c>
      <c r="G589">
        <v>8.4159227945167295E-2</v>
      </c>
      <c r="H589">
        <v>4.48767632502814E-2</v>
      </c>
      <c r="I589">
        <v>3.7912051097678798E-2</v>
      </c>
      <c r="J589">
        <v>4.8840265024998601E-2</v>
      </c>
      <c r="K589">
        <v>3.6387159047899402E-2</v>
      </c>
      <c r="L589">
        <v>1459.87659423224</v>
      </c>
      <c r="M589">
        <v>28.800008109043102</v>
      </c>
      <c r="N589">
        <v>50.836742376582002</v>
      </c>
      <c r="O589">
        <v>50.447639073775697</v>
      </c>
      <c r="P589">
        <v>-0.137036351345494</v>
      </c>
      <c r="Q589">
        <v>3.9846494724840399E-2</v>
      </c>
      <c r="R589">
        <v>0.999496979253364</v>
      </c>
      <c r="S589" t="s">
        <v>4421</v>
      </c>
      <c r="T589" t="s">
        <v>7662</v>
      </c>
      <c r="U589" t="s">
        <v>7662</v>
      </c>
      <c r="V589" t="s">
        <v>7662</v>
      </c>
      <c r="W589">
        <v>43</v>
      </c>
      <c r="X589" t="s">
        <v>8251</v>
      </c>
      <c r="Y589">
        <v>0.38850492853468283</v>
      </c>
      <c r="Z589" t="str">
        <f>HYPERLINK("Melting_Curves/meltCurve_sp_P11142_HSP7C_HUMAN_.pdf", "Melting_Curves/meltCurve_sp_P11142_HSP7C_HUMAN_.pdf")</f>
        <v>Melting_Curves/meltCurve_sp_P11142_HSP7C_HUMAN_.pdf</v>
      </c>
      <c r="AA589" t="s">
        <v>12071</v>
      </c>
      <c r="AB589" t="s">
        <v>15830</v>
      </c>
    </row>
    <row r="590" spans="1:28" x14ac:dyDescent="0.25">
      <c r="A590" t="s">
        <v>594</v>
      </c>
      <c r="B590">
        <v>0.98876768158843997</v>
      </c>
      <c r="C590">
        <v>0.99059548367016004</v>
      </c>
      <c r="D590">
        <v>0.87022791442275604</v>
      </c>
      <c r="E590">
        <v>0.63502278347787</v>
      </c>
      <c r="F590">
        <v>0.43316950108427399</v>
      </c>
      <c r="G590">
        <v>0.30686166570756801</v>
      </c>
      <c r="H590">
        <v>0.23320963616472801</v>
      </c>
      <c r="I590">
        <v>0.25084985479761601</v>
      </c>
      <c r="J590">
        <v>0.35429792897948398</v>
      </c>
      <c r="K590">
        <v>0.33812001596170199</v>
      </c>
      <c r="L590">
        <v>1107.06454971832</v>
      </c>
      <c r="M590">
        <v>22.286958336057602</v>
      </c>
      <c r="N590">
        <v>51.655363525163899</v>
      </c>
      <c r="O590">
        <v>49.278468852794802</v>
      </c>
      <c r="P590">
        <v>-8.0572396525768197E-2</v>
      </c>
      <c r="Q590">
        <v>0.28740385793836298</v>
      </c>
      <c r="R590">
        <v>0.98309681931962201</v>
      </c>
      <c r="S590" t="s">
        <v>4422</v>
      </c>
      <c r="T590" t="s">
        <v>7662</v>
      </c>
      <c r="U590" t="s">
        <v>7662</v>
      </c>
      <c r="V590" t="s">
        <v>7662</v>
      </c>
      <c r="W590">
        <v>8</v>
      </c>
      <c r="X590" t="s">
        <v>8252</v>
      </c>
      <c r="Y590">
        <v>0.5251788754436405</v>
      </c>
      <c r="Z590" t="str">
        <f>HYPERLINK("Melting_Curves/meltCurve_sp_P11171_4_41_HUMAN_.pdf", "Melting_Curves/meltCurve_sp_P11171_4_41_HUMAN_.pdf")</f>
        <v>Melting_Curves/meltCurve_sp_P11171_4_41_HUMAN_.pdf</v>
      </c>
      <c r="AA590" t="s">
        <v>12072</v>
      </c>
      <c r="AB590" t="s">
        <v>15831</v>
      </c>
    </row>
    <row r="591" spans="1:28" x14ac:dyDescent="0.25">
      <c r="A591" t="s">
        <v>595</v>
      </c>
      <c r="B591">
        <v>0.98876768158843997</v>
      </c>
      <c r="C591">
        <v>0.96322509128548195</v>
      </c>
      <c r="D591">
        <v>0.74314852022335098</v>
      </c>
      <c r="E591">
        <v>0.458711056277887</v>
      </c>
      <c r="F591">
        <v>0.18293453716517799</v>
      </c>
      <c r="G591">
        <v>8.2156923570803397E-2</v>
      </c>
      <c r="H591">
        <v>4.6640793195554898E-2</v>
      </c>
      <c r="I591">
        <v>3.7781307488056998E-2</v>
      </c>
      <c r="J591">
        <v>4.3951994271743199E-2</v>
      </c>
      <c r="K591">
        <v>4.4160359312042E-2</v>
      </c>
      <c r="L591">
        <v>936.89702772666396</v>
      </c>
      <c r="M591">
        <v>19.1431416593542</v>
      </c>
      <c r="N591">
        <v>49.098413302250798</v>
      </c>
      <c r="O591">
        <v>48.416966900310896</v>
      </c>
      <c r="P591">
        <v>-9.5918722886344301E-2</v>
      </c>
      <c r="Q591">
        <v>2.96444167378416E-2</v>
      </c>
      <c r="R591">
        <v>0.99668340933963795</v>
      </c>
      <c r="S591" t="s">
        <v>4423</v>
      </c>
      <c r="T591" t="s">
        <v>7662</v>
      </c>
      <c r="U591" t="s">
        <v>7662</v>
      </c>
      <c r="V591" t="s">
        <v>7662</v>
      </c>
      <c r="W591">
        <v>16</v>
      </c>
      <c r="X591" t="s">
        <v>8253</v>
      </c>
      <c r="Y591">
        <v>0.33372906226499233</v>
      </c>
      <c r="Z591" t="str">
        <f>HYPERLINK("Melting_Curves/meltCurve_sp_P11172_UMPS_HUMAN_.pdf", "Melting_Curves/meltCurve_sp_P11172_UMPS_HUMAN_.pdf")</f>
        <v>Melting_Curves/meltCurve_sp_P11172_UMPS_HUMAN_.pdf</v>
      </c>
      <c r="AA591" t="s">
        <v>12073</v>
      </c>
      <c r="AB591" t="s">
        <v>15832</v>
      </c>
    </row>
    <row r="592" spans="1:28" x14ac:dyDescent="0.25">
      <c r="A592" t="s">
        <v>596</v>
      </c>
      <c r="B592">
        <v>0.98876768158843997</v>
      </c>
      <c r="C592">
        <v>0.54705125379486796</v>
      </c>
      <c r="D592">
        <v>0.33385444862224201</v>
      </c>
      <c r="E592">
        <v>0.12707234112215199</v>
      </c>
      <c r="F592">
        <v>8.2328050755298907E-2</v>
      </c>
      <c r="G592">
        <v>4.9632512174065599E-2</v>
      </c>
      <c r="H592">
        <v>2.95055274851285E-2</v>
      </c>
      <c r="I592">
        <v>2.2095314135568402E-2</v>
      </c>
      <c r="J592">
        <v>3.1350190014630797E-2</v>
      </c>
      <c r="K592">
        <v>2.4338935563416701E-2</v>
      </c>
      <c r="L592">
        <v>924.76631222696301</v>
      </c>
      <c r="M592">
        <v>21.094325663529201</v>
      </c>
      <c r="N592">
        <v>44.0052739427218</v>
      </c>
      <c r="O592">
        <v>43.451291539103501</v>
      </c>
      <c r="P592">
        <v>-0.116737177792841</v>
      </c>
      <c r="Q592">
        <v>3.81778517238371E-2</v>
      </c>
      <c r="R592">
        <v>0.97860945841277802</v>
      </c>
      <c r="S592" t="s">
        <v>4424</v>
      </c>
      <c r="T592" t="s">
        <v>7662</v>
      </c>
      <c r="U592" t="s">
        <v>7662</v>
      </c>
      <c r="V592" t="s">
        <v>7662</v>
      </c>
      <c r="W592">
        <v>6</v>
      </c>
      <c r="X592" t="s">
        <v>8254</v>
      </c>
      <c r="Y592">
        <v>0.17827506986120301</v>
      </c>
      <c r="Z592" t="str">
        <f>HYPERLINK("Melting_Curves/meltCurve_sp_P11177_3_ODPB_HUMAN_.pdf", "Melting_Curves/meltCurve_sp_P11177_3_ODPB_HUMAN_.pdf")</f>
        <v>Melting_Curves/meltCurve_sp_P11177_3_ODPB_HUMAN_.pdf</v>
      </c>
      <c r="AA592" t="s">
        <v>12074</v>
      </c>
      <c r="AB592" t="s">
        <v>15833</v>
      </c>
    </row>
    <row r="593" spans="1:28" x14ac:dyDescent="0.25">
      <c r="A593" t="s">
        <v>597</v>
      </c>
      <c r="B593">
        <v>0.98876768158843997</v>
      </c>
      <c r="C593">
        <v>1.0500291928401699</v>
      </c>
      <c r="D593">
        <v>0.88073422672966495</v>
      </c>
      <c r="E593">
        <v>0.74940915621397097</v>
      </c>
      <c r="F593">
        <v>0.57916765019294103</v>
      </c>
      <c r="G593">
        <v>0.29570106721057698</v>
      </c>
      <c r="H593">
        <v>0.191387141656673</v>
      </c>
      <c r="I593">
        <v>0.20778079100184399</v>
      </c>
      <c r="J593">
        <v>0.22953949099328599</v>
      </c>
      <c r="K593">
        <v>0.28203594592627501</v>
      </c>
      <c r="L593">
        <v>1054.5955865086501</v>
      </c>
      <c r="M593">
        <v>20.274812077222499</v>
      </c>
      <c r="N593">
        <v>53.456164530130799</v>
      </c>
      <c r="O593">
        <v>51.516976558314603</v>
      </c>
      <c r="P593">
        <v>-7.7676848359607004E-2</v>
      </c>
      <c r="Q593">
        <v>0.21053714829879899</v>
      </c>
      <c r="R593">
        <v>0.98166537526113995</v>
      </c>
      <c r="S593" t="s">
        <v>4425</v>
      </c>
      <c r="T593" t="s">
        <v>7662</v>
      </c>
      <c r="U593" t="s">
        <v>7662</v>
      </c>
      <c r="V593" t="s">
        <v>7662</v>
      </c>
      <c r="W593">
        <v>8</v>
      </c>
      <c r="X593" t="s">
        <v>8255</v>
      </c>
      <c r="Y593">
        <v>0.53737861032394918</v>
      </c>
      <c r="Z593" t="str">
        <f>HYPERLINK("Melting_Curves/meltCurve_sp_P11182_ODB2_HUMAN_.pdf", "Melting_Curves/meltCurve_sp_P11182_ODB2_HUMAN_.pdf")</f>
        <v>Melting_Curves/meltCurve_sp_P11182_ODB2_HUMAN_.pdf</v>
      </c>
      <c r="AA593" t="s">
        <v>12075</v>
      </c>
      <c r="AB593" t="s">
        <v>15834</v>
      </c>
    </row>
    <row r="594" spans="1:28" x14ac:dyDescent="0.25">
      <c r="A594" t="s">
        <v>598</v>
      </c>
      <c r="B594">
        <v>0.98876768158843997</v>
      </c>
      <c r="C594">
        <v>0.91950062876697503</v>
      </c>
      <c r="D594">
        <v>0.83716928887558895</v>
      </c>
      <c r="E594">
        <v>0.91396117280065403</v>
      </c>
      <c r="F594">
        <v>0.59546695254144799</v>
      </c>
      <c r="G594">
        <v>0.27344057504861502</v>
      </c>
      <c r="H594">
        <v>0.111946640831753</v>
      </c>
      <c r="I594">
        <v>8.8739170389519006E-2</v>
      </c>
      <c r="J594">
        <v>8.8543080406717295E-2</v>
      </c>
      <c r="K594">
        <v>8.8863021198323205E-2</v>
      </c>
      <c r="L594">
        <v>1233.2277761755299</v>
      </c>
      <c r="M594">
        <v>22.9440271375645</v>
      </c>
      <c r="N594">
        <v>54.114776679865699</v>
      </c>
      <c r="O594">
        <v>53.346094742130902</v>
      </c>
      <c r="P594">
        <v>-9.9810818400890497E-2</v>
      </c>
      <c r="Q594">
        <v>7.1755525819779398E-2</v>
      </c>
      <c r="R594">
        <v>0.97840744580488104</v>
      </c>
      <c r="S594" t="s">
        <v>4426</v>
      </c>
      <c r="T594" t="s">
        <v>7662</v>
      </c>
      <c r="U594" t="s">
        <v>7662</v>
      </c>
      <c r="V594" t="s">
        <v>7662</v>
      </c>
      <c r="W594">
        <v>38</v>
      </c>
      <c r="X594" t="s">
        <v>8256</v>
      </c>
      <c r="Y594">
        <v>0.50720178097873869</v>
      </c>
      <c r="Z594" t="str">
        <f>HYPERLINK("Melting_Curves/meltCurve_sp_P11216_PYGB_HUMAN_.pdf", "Melting_Curves/meltCurve_sp_P11216_PYGB_HUMAN_.pdf")</f>
        <v>Melting_Curves/meltCurve_sp_P11216_PYGB_HUMAN_.pdf</v>
      </c>
      <c r="AA594" t="s">
        <v>12076</v>
      </c>
      <c r="AB594" t="s">
        <v>15835</v>
      </c>
    </row>
    <row r="595" spans="1:28" x14ac:dyDescent="0.25">
      <c r="A595" t="s">
        <v>599</v>
      </c>
      <c r="B595">
        <v>0.98876768158843997</v>
      </c>
      <c r="C595">
        <v>0.942985200130949</v>
      </c>
      <c r="D595">
        <v>0.82003160348222404</v>
      </c>
      <c r="E595">
        <v>0.50025141784902305</v>
      </c>
      <c r="F595">
        <v>0.66773919231248902</v>
      </c>
      <c r="G595">
        <v>0.37679809573315098</v>
      </c>
      <c r="H595">
        <v>0.31274844514526601</v>
      </c>
      <c r="I595">
        <v>0.28833903053911702</v>
      </c>
      <c r="J595">
        <v>0.408121532720711</v>
      </c>
      <c r="K595">
        <v>0.45089769173656102</v>
      </c>
      <c r="L595">
        <v>752.09000804567495</v>
      </c>
      <c r="M595">
        <v>15.4954906997572</v>
      </c>
      <c r="N595">
        <v>52.904282833594401</v>
      </c>
      <c r="O595">
        <v>47.749248771267503</v>
      </c>
      <c r="P595">
        <v>-5.1854202049156403E-2</v>
      </c>
      <c r="Q595">
        <v>0.36090336554485197</v>
      </c>
      <c r="R595">
        <v>0.89422311064440896</v>
      </c>
      <c r="S595" t="s">
        <v>4427</v>
      </c>
      <c r="T595" t="s">
        <v>7662</v>
      </c>
      <c r="U595" t="s">
        <v>7662</v>
      </c>
      <c r="V595" t="s">
        <v>7662</v>
      </c>
      <c r="W595">
        <v>5</v>
      </c>
      <c r="X595" t="s">
        <v>8257</v>
      </c>
      <c r="Y595">
        <v>0.55782951734797637</v>
      </c>
      <c r="Z595" t="str">
        <f>HYPERLINK("Melting_Curves/meltCurve_sp_P11226_MBL2_HUMAN_.pdf", "Melting_Curves/meltCurve_sp_P11226_MBL2_HUMAN_.pdf")</f>
        <v>Melting_Curves/meltCurve_sp_P11226_MBL2_HUMAN_.pdf</v>
      </c>
      <c r="AA595" t="s">
        <v>12077</v>
      </c>
      <c r="AB595" t="s">
        <v>15836</v>
      </c>
    </row>
    <row r="596" spans="1:28" x14ac:dyDescent="0.25">
      <c r="A596" t="s">
        <v>600</v>
      </c>
      <c r="B596">
        <v>0.98876768158843997</v>
      </c>
      <c r="C596">
        <v>1.0166357717189101</v>
      </c>
      <c r="D596">
        <v>0.87579972988895805</v>
      </c>
      <c r="E596">
        <v>0.66307876787209297</v>
      </c>
      <c r="F596">
        <v>0.411152732522652</v>
      </c>
      <c r="G596">
        <v>0.17824181228958</v>
      </c>
      <c r="H596">
        <v>0.109420791254453</v>
      </c>
      <c r="I596">
        <v>8.7985369665979099E-2</v>
      </c>
      <c r="J596">
        <v>7.8685099330783798E-2</v>
      </c>
      <c r="K596">
        <v>6.7687279238110895E-2</v>
      </c>
      <c r="L596">
        <v>959.74974116518104</v>
      </c>
      <c r="M596">
        <v>18.6570083004267</v>
      </c>
      <c r="N596">
        <v>51.806433533584404</v>
      </c>
      <c r="O596">
        <v>50.861716408249997</v>
      </c>
      <c r="P596">
        <v>-8.6065513286629702E-2</v>
      </c>
      <c r="Q596">
        <v>6.1531795229814598E-2</v>
      </c>
      <c r="R596">
        <v>0.99800019253531302</v>
      </c>
      <c r="S596" t="s">
        <v>4428</v>
      </c>
      <c r="T596" t="s">
        <v>7662</v>
      </c>
      <c r="U596" t="s">
        <v>7662</v>
      </c>
      <c r="V596" t="s">
        <v>7662</v>
      </c>
      <c r="W596">
        <v>9</v>
      </c>
      <c r="X596" t="s">
        <v>8258</v>
      </c>
      <c r="Y596">
        <v>0.43421692312601851</v>
      </c>
      <c r="Z596" t="str">
        <f>HYPERLINK("Melting_Curves/meltCurve_sp_P11245_ARY2_HUMAN_.pdf", "Melting_Curves/meltCurve_sp_P11245_ARY2_HUMAN_.pdf")</f>
        <v>Melting_Curves/meltCurve_sp_P11245_ARY2_HUMAN_.pdf</v>
      </c>
      <c r="AA596" t="s">
        <v>12078</v>
      </c>
      <c r="AB596" t="s">
        <v>15837</v>
      </c>
    </row>
    <row r="597" spans="1:28" x14ac:dyDescent="0.25">
      <c r="A597" t="s">
        <v>601</v>
      </c>
      <c r="B597">
        <v>0.98876768158843997</v>
      </c>
      <c r="C597">
        <v>0.91337289208550498</v>
      </c>
      <c r="D597">
        <v>0.94653404984140999</v>
      </c>
      <c r="E597">
        <v>0.91203636248432496</v>
      </c>
      <c r="F597">
        <v>0.69076916129089605</v>
      </c>
      <c r="G597">
        <v>0.242066097539991</v>
      </c>
      <c r="H597">
        <v>0.110741013983793</v>
      </c>
      <c r="I597">
        <v>0.133413617424544</v>
      </c>
      <c r="J597">
        <v>0.14592759500431801</v>
      </c>
      <c r="K597">
        <v>0.140582822503305</v>
      </c>
      <c r="L597">
        <v>1776.2269636410199</v>
      </c>
      <c r="M597">
        <v>32.9798965090325</v>
      </c>
      <c r="N597">
        <v>54.336980601440402</v>
      </c>
      <c r="O597">
        <v>53.661012860222201</v>
      </c>
      <c r="P597">
        <v>-0.134264482480275</v>
      </c>
      <c r="Q597">
        <v>0.12616640625508299</v>
      </c>
      <c r="R597">
        <v>0.99110160472017905</v>
      </c>
      <c r="S597" t="s">
        <v>4429</v>
      </c>
      <c r="T597" t="s">
        <v>7662</v>
      </c>
      <c r="U597" t="s">
        <v>7662</v>
      </c>
      <c r="V597" t="s">
        <v>7662</v>
      </c>
      <c r="W597">
        <v>8</v>
      </c>
      <c r="X597" t="s">
        <v>8259</v>
      </c>
      <c r="Y597">
        <v>0.53457926368657516</v>
      </c>
      <c r="Z597" t="str">
        <f>HYPERLINK("Melting_Curves/meltCurve_sp_P11277_3_SPTB1_HUMAN_.pdf", "Melting_Curves/meltCurve_sp_P11277_3_SPTB1_HUMAN_.pdf")</f>
        <v>Melting_Curves/meltCurve_sp_P11277_3_SPTB1_HUMAN_.pdf</v>
      </c>
      <c r="AA597" t="s">
        <v>12079</v>
      </c>
      <c r="AB597" t="s">
        <v>15838</v>
      </c>
    </row>
    <row r="598" spans="1:28" x14ac:dyDescent="0.25">
      <c r="A598" t="s">
        <v>602</v>
      </c>
      <c r="B598">
        <v>0.98876768158843997</v>
      </c>
      <c r="C598">
        <v>0.86275222442261001</v>
      </c>
      <c r="D598">
        <v>0.90975677203689997</v>
      </c>
      <c r="E598">
        <v>0.72186910676312899</v>
      </c>
      <c r="F598">
        <v>0.34361834078528503</v>
      </c>
      <c r="G598">
        <v>0.15502281526591499</v>
      </c>
      <c r="H598">
        <v>7.1475290413892695E-2</v>
      </c>
      <c r="I598">
        <v>5.4183245292887101E-2</v>
      </c>
      <c r="J598">
        <v>4.75137739960457E-2</v>
      </c>
      <c r="K598">
        <v>3.4859415090212002E-2</v>
      </c>
      <c r="L598">
        <v>1090.2092453790599</v>
      </c>
      <c r="M598">
        <v>21.143769809551099</v>
      </c>
      <c r="N598">
        <v>51.7402794091863</v>
      </c>
      <c r="O598">
        <v>51.107148127804898</v>
      </c>
      <c r="P598">
        <v>-9.9792215730882497E-2</v>
      </c>
      <c r="Q598">
        <v>3.5183930989570199E-2</v>
      </c>
      <c r="R598">
        <v>0.98634084243725495</v>
      </c>
      <c r="S598" t="s">
        <v>4430</v>
      </c>
      <c r="T598" t="s">
        <v>7662</v>
      </c>
      <c r="U598" t="s">
        <v>7662</v>
      </c>
      <c r="V598" t="s">
        <v>7662</v>
      </c>
      <c r="W598">
        <v>23</v>
      </c>
      <c r="X598" t="s">
        <v>8260</v>
      </c>
      <c r="Y598">
        <v>0.41908365231026451</v>
      </c>
      <c r="Z598" t="str">
        <f>HYPERLINK("Melting_Curves/meltCurve_sp_P11310_ACADM_HUMAN_.pdf", "Melting_Curves/meltCurve_sp_P11310_ACADM_HUMAN_.pdf")</f>
        <v>Melting_Curves/meltCurve_sp_P11310_ACADM_HUMAN_.pdf</v>
      </c>
      <c r="AA598" t="s">
        <v>12080</v>
      </c>
      <c r="AB598" t="s">
        <v>15839</v>
      </c>
    </row>
    <row r="599" spans="1:28" x14ac:dyDescent="0.25">
      <c r="A599" t="s">
        <v>603</v>
      </c>
      <c r="B599">
        <v>0.98876768158843997</v>
      </c>
      <c r="C599">
        <v>0.93663597226597195</v>
      </c>
      <c r="D599">
        <v>0.86970570279895398</v>
      </c>
      <c r="E599">
        <v>0.665955702676993</v>
      </c>
      <c r="F599">
        <v>0.53933322294322406</v>
      </c>
      <c r="G599">
        <v>0.34853572230100199</v>
      </c>
      <c r="H599">
        <v>0.246838128441321</v>
      </c>
      <c r="I599">
        <v>0.21224400897113899</v>
      </c>
      <c r="J599">
        <v>0.27697303409862201</v>
      </c>
      <c r="K599">
        <v>0.24476733455483499</v>
      </c>
      <c r="L599">
        <v>748.45788532045196</v>
      </c>
      <c r="M599">
        <v>14.6224023863538</v>
      </c>
      <c r="N599">
        <v>53.180392850092602</v>
      </c>
      <c r="O599">
        <v>50.256970923641397</v>
      </c>
      <c r="P599">
        <v>-5.7391036488450502E-2</v>
      </c>
      <c r="Q599">
        <v>0.211079957583617</v>
      </c>
      <c r="R599">
        <v>0.99300074268273197</v>
      </c>
      <c r="S599" t="s">
        <v>4431</v>
      </c>
      <c r="T599" t="s">
        <v>7662</v>
      </c>
      <c r="U599" t="s">
        <v>7662</v>
      </c>
      <c r="V599" t="s">
        <v>7662</v>
      </c>
      <c r="W599">
        <v>6</v>
      </c>
      <c r="X599" t="s">
        <v>8261</v>
      </c>
      <c r="Y599">
        <v>0.52411834325903162</v>
      </c>
      <c r="Z599" t="str">
        <f>HYPERLINK("Melting_Curves/meltCurve_sp_P11441_UBL4A_HUMAN_.pdf", "Melting_Curves/meltCurve_sp_P11441_UBL4A_HUMAN_.pdf")</f>
        <v>Melting_Curves/meltCurve_sp_P11441_UBL4A_HUMAN_.pdf</v>
      </c>
      <c r="AA599" t="s">
        <v>12081</v>
      </c>
      <c r="AB599" t="s">
        <v>15840</v>
      </c>
    </row>
    <row r="600" spans="1:28" x14ac:dyDescent="0.25">
      <c r="A600" t="s">
        <v>604</v>
      </c>
      <c r="B600">
        <v>0.98876768158843997</v>
      </c>
      <c r="C600">
        <v>0.73684177019382302</v>
      </c>
      <c r="D600">
        <v>0.450052435050522</v>
      </c>
      <c r="E600">
        <v>0.13747044774077399</v>
      </c>
      <c r="F600">
        <v>7.7874882698397402E-2</v>
      </c>
      <c r="G600">
        <v>4.1590870968579899E-2</v>
      </c>
      <c r="H600">
        <v>2.63876152230327E-2</v>
      </c>
      <c r="I600">
        <v>2.3575808334106701E-2</v>
      </c>
      <c r="J600">
        <v>2.8274708513790901E-2</v>
      </c>
      <c r="K600">
        <v>2.4934747667458401E-2</v>
      </c>
      <c r="L600">
        <v>945.62971607493898</v>
      </c>
      <c r="M600">
        <v>20.877674431972601</v>
      </c>
      <c r="N600">
        <v>45.407644477747702</v>
      </c>
      <c r="O600">
        <v>44.884416254417097</v>
      </c>
      <c r="P600">
        <v>-0.113324354739227</v>
      </c>
      <c r="Q600">
        <v>2.5493440919462099E-2</v>
      </c>
      <c r="R600">
        <v>0.996808337729994</v>
      </c>
      <c r="S600" t="s">
        <v>4432</v>
      </c>
      <c r="T600" t="s">
        <v>7662</v>
      </c>
      <c r="U600" t="s">
        <v>7662</v>
      </c>
      <c r="V600" t="s">
        <v>7662</v>
      </c>
      <c r="W600">
        <v>58</v>
      </c>
      <c r="X600" t="s">
        <v>8262</v>
      </c>
      <c r="Y600">
        <v>0.21192084784718301</v>
      </c>
      <c r="Z600" t="str">
        <f>HYPERLINK("Melting_Curves/meltCurve_sp_P11498_PYC_HUMAN_.pdf", "Melting_Curves/meltCurve_sp_P11498_PYC_HUMAN_.pdf")</f>
        <v>Melting_Curves/meltCurve_sp_P11498_PYC_HUMAN_.pdf</v>
      </c>
      <c r="AA600" t="s">
        <v>12082</v>
      </c>
      <c r="AB600" t="s">
        <v>15841</v>
      </c>
    </row>
    <row r="601" spans="1:28" x14ac:dyDescent="0.25">
      <c r="A601" t="s">
        <v>605</v>
      </c>
      <c r="B601">
        <v>0.98876768158843997</v>
      </c>
      <c r="C601">
        <v>0.99730638078865097</v>
      </c>
      <c r="D601">
        <v>0.885495526001852</v>
      </c>
      <c r="E601">
        <v>0.69456885042708005</v>
      </c>
      <c r="F601">
        <v>0.61779245315284403</v>
      </c>
      <c r="G601">
        <v>0.41104889174602499</v>
      </c>
      <c r="H601">
        <v>0.31704745030107001</v>
      </c>
      <c r="I601">
        <v>0.34009851815976799</v>
      </c>
      <c r="J601">
        <v>0.46686955867869401</v>
      </c>
      <c r="K601">
        <v>0.44465380876389798</v>
      </c>
      <c r="L601">
        <v>946.52866108304897</v>
      </c>
      <c r="M601">
        <v>18.806504970513899</v>
      </c>
      <c r="N601">
        <v>54.553691077919801</v>
      </c>
      <c r="O601">
        <v>49.771150961905803</v>
      </c>
      <c r="P601">
        <v>-5.8246818611613897E-2</v>
      </c>
      <c r="Q601">
        <v>0.38342805824670301</v>
      </c>
      <c r="R601">
        <v>0.95735950400186598</v>
      </c>
      <c r="S601" t="s">
        <v>4433</v>
      </c>
      <c r="T601" t="s">
        <v>7662</v>
      </c>
      <c r="U601" t="s">
        <v>7662</v>
      </c>
      <c r="V601" t="s">
        <v>7662</v>
      </c>
      <c r="W601">
        <v>10</v>
      </c>
      <c r="X601" t="s">
        <v>8263</v>
      </c>
      <c r="Y601">
        <v>0.60537403511202248</v>
      </c>
      <c r="Z601" t="str">
        <f>HYPERLINK("Melting_Curves/meltCurve_sp_P11532_3_DMD_HUMAN_.pdf", "Melting_Curves/meltCurve_sp_P11532_3_DMD_HUMAN_.pdf")</f>
        <v>Melting_Curves/meltCurve_sp_P11532_3_DMD_HUMAN_.pdf</v>
      </c>
      <c r="AA601" t="s">
        <v>12083</v>
      </c>
      <c r="AB601" t="s">
        <v>15842</v>
      </c>
    </row>
    <row r="602" spans="1:28" x14ac:dyDescent="0.25">
      <c r="A602" t="s">
        <v>606</v>
      </c>
      <c r="B602">
        <v>0.98876768158843997</v>
      </c>
      <c r="C602">
        <v>0.75204817673384206</v>
      </c>
      <c r="D602">
        <v>0.44128486110912002</v>
      </c>
      <c r="E602">
        <v>0.11734709873985</v>
      </c>
      <c r="F602">
        <v>7.1037754563511996E-2</v>
      </c>
      <c r="G602">
        <v>3.8322345742664798E-2</v>
      </c>
      <c r="H602">
        <v>2.7336759838677002E-2</v>
      </c>
      <c r="I602">
        <v>2.39944525591489E-2</v>
      </c>
      <c r="J602">
        <v>2.98492573570102E-2</v>
      </c>
      <c r="K602">
        <v>2.38397255100983E-2</v>
      </c>
      <c r="L602">
        <v>1008.51729369435</v>
      </c>
      <c r="M602">
        <v>22.285966397009801</v>
      </c>
      <c r="N602">
        <v>45.361934437346299</v>
      </c>
      <c r="O602">
        <v>44.8938127059102</v>
      </c>
      <c r="P602">
        <v>-0.120886224072538</v>
      </c>
      <c r="Q602">
        <v>2.5946623903033199E-2</v>
      </c>
      <c r="R602">
        <v>0.99761108706411905</v>
      </c>
      <c r="S602" t="s">
        <v>4434</v>
      </c>
      <c r="T602" t="s">
        <v>7662</v>
      </c>
      <c r="U602" t="s">
        <v>7662</v>
      </c>
      <c r="V602" t="s">
        <v>7662</v>
      </c>
      <c r="W602">
        <v>48</v>
      </c>
      <c r="X602" t="s">
        <v>8264</v>
      </c>
      <c r="Y602">
        <v>0.2089648494965993</v>
      </c>
      <c r="Z602" t="str">
        <f>HYPERLINK("Melting_Curves/meltCurve_sp_P11586_C1TC_HUMAN_.pdf", "Melting_Curves/meltCurve_sp_P11586_C1TC_HUMAN_.pdf")</f>
        <v>Melting_Curves/meltCurve_sp_P11586_C1TC_HUMAN_.pdf</v>
      </c>
      <c r="AA602" t="s">
        <v>12084</v>
      </c>
      <c r="AB602" t="s">
        <v>15843</v>
      </c>
    </row>
    <row r="603" spans="1:28" x14ac:dyDescent="0.25">
      <c r="A603" t="s">
        <v>607</v>
      </c>
      <c r="B603">
        <v>0.98876768158843997</v>
      </c>
      <c r="C603">
        <v>0.85468999128013401</v>
      </c>
      <c r="D603">
        <v>0.82881243833942297</v>
      </c>
      <c r="E603">
        <v>0.45843224101861402</v>
      </c>
      <c r="F603">
        <v>0.20839834587169601</v>
      </c>
      <c r="G603">
        <v>0.105843666984865</v>
      </c>
      <c r="H603">
        <v>6.1821927177539898E-2</v>
      </c>
      <c r="I603">
        <v>4.7298573372033297E-2</v>
      </c>
      <c r="J603">
        <v>0.10469764454913</v>
      </c>
      <c r="K603">
        <v>7.37931965532449E-2</v>
      </c>
      <c r="L603">
        <v>958.36821179202104</v>
      </c>
      <c r="M603">
        <v>19.547446350554299</v>
      </c>
      <c r="N603">
        <v>49.339695989433302</v>
      </c>
      <c r="O603">
        <v>48.523334108567099</v>
      </c>
      <c r="P603">
        <v>-9.4861650354310698E-2</v>
      </c>
      <c r="Q603">
        <v>5.8119552924288401E-2</v>
      </c>
      <c r="R603">
        <v>0.98989373304945205</v>
      </c>
      <c r="S603" t="s">
        <v>4435</v>
      </c>
      <c r="T603" t="s">
        <v>7662</v>
      </c>
      <c r="U603" t="s">
        <v>7662</v>
      </c>
      <c r="V603" t="s">
        <v>7662</v>
      </c>
      <c r="W603">
        <v>1</v>
      </c>
      <c r="X603" t="s">
        <v>8265</v>
      </c>
      <c r="Y603">
        <v>0.35537297192303818</v>
      </c>
      <c r="Z603" t="str">
        <f>HYPERLINK("Melting_Curves/meltCurve_sp_P11712_CP2C9_HUMAN_.pdf", "Melting_Curves/meltCurve_sp_P11712_CP2C9_HUMAN_.pdf")</f>
        <v>Melting_Curves/meltCurve_sp_P11712_CP2C9_HUMAN_.pdf</v>
      </c>
      <c r="AA603" t="s">
        <v>12085</v>
      </c>
      <c r="AB603" t="s">
        <v>15844</v>
      </c>
    </row>
    <row r="604" spans="1:28" x14ac:dyDescent="0.25">
      <c r="A604" t="s">
        <v>608</v>
      </c>
      <c r="B604">
        <v>0.98876768158843997</v>
      </c>
      <c r="C604">
        <v>1.21354797468779</v>
      </c>
      <c r="D604">
        <v>0.74499970929281401</v>
      </c>
      <c r="E604">
        <v>0.79304142947746603</v>
      </c>
      <c r="F604">
        <v>1.47845922616611</v>
      </c>
      <c r="G604">
        <v>0.95292882687112901</v>
      </c>
      <c r="H604">
        <v>0.678624231631618</v>
      </c>
      <c r="I604">
        <v>0.64624329276158499</v>
      </c>
      <c r="J604">
        <v>1.2378779065407599</v>
      </c>
      <c r="K604">
        <v>1.36142618523306</v>
      </c>
      <c r="L604">
        <v>15000</v>
      </c>
      <c r="M604">
        <v>224.53429731369999</v>
      </c>
      <c r="O604">
        <v>66.7996392182596</v>
      </c>
      <c r="P604">
        <v>0.30375755290925999</v>
      </c>
      <c r="Q604">
        <v>1.3614751980735</v>
      </c>
      <c r="R604">
        <v>0.23301287329363399</v>
      </c>
      <c r="S604" t="s">
        <v>4436</v>
      </c>
      <c r="T604" t="s">
        <v>7662</v>
      </c>
      <c r="U604" t="s">
        <v>7662</v>
      </c>
      <c r="V604" t="s">
        <v>7662</v>
      </c>
      <c r="W604">
        <v>2</v>
      </c>
      <c r="X604" t="s">
        <v>8266</v>
      </c>
      <c r="Y604">
        <v>1.038445445218382</v>
      </c>
      <c r="Z604" t="str">
        <f>HYPERLINK("Melting_Curves/meltCurve_sp_P11717_MPRI_HUMAN_.pdf", "Melting_Curves/meltCurve_sp_P11717_MPRI_HUMAN_.pdf")</f>
        <v>Melting_Curves/meltCurve_sp_P11717_MPRI_HUMAN_.pdf</v>
      </c>
      <c r="AA604" t="s">
        <v>12086</v>
      </c>
      <c r="AB604" t="s">
        <v>15845</v>
      </c>
    </row>
    <row r="605" spans="1:28" x14ac:dyDescent="0.25">
      <c r="A605" t="s">
        <v>609</v>
      </c>
      <c r="B605">
        <v>0.98876768158843997</v>
      </c>
      <c r="C605">
        <v>0.94947781348886595</v>
      </c>
      <c r="D605">
        <v>0.88188954603772596</v>
      </c>
      <c r="E605">
        <v>0.83181071106802895</v>
      </c>
      <c r="F605">
        <v>0.72384936829592095</v>
      </c>
      <c r="G605">
        <v>0.37195817684840998</v>
      </c>
      <c r="H605">
        <v>0.13146783711184401</v>
      </c>
      <c r="I605">
        <v>7.7183890441531899E-2</v>
      </c>
      <c r="J605">
        <v>6.8641506114807196E-2</v>
      </c>
      <c r="K605">
        <v>5.8679525943906102E-2</v>
      </c>
      <c r="L605">
        <v>940.07516894389596</v>
      </c>
      <c r="M605">
        <v>17.033370391127601</v>
      </c>
      <c r="N605">
        <v>55.237902828768803</v>
      </c>
      <c r="O605">
        <v>54.446344618806101</v>
      </c>
      <c r="P605">
        <v>-7.7645471347281503E-2</v>
      </c>
      <c r="Q605">
        <v>7.3008350131313999E-3</v>
      </c>
      <c r="R605">
        <v>0.98947450485371002</v>
      </c>
      <c r="S605" t="s">
        <v>4437</v>
      </c>
      <c r="T605" t="s">
        <v>7662</v>
      </c>
      <c r="U605" t="s">
        <v>7662</v>
      </c>
      <c r="V605" t="s">
        <v>7662</v>
      </c>
      <c r="W605">
        <v>19</v>
      </c>
      <c r="X605" t="s">
        <v>8267</v>
      </c>
      <c r="Y605">
        <v>0.52629268494951797</v>
      </c>
      <c r="Z605" t="str">
        <f>HYPERLINK("Melting_Curves/meltCurve_sp_P11766_ADHX_HUMAN_.pdf", "Melting_Curves/meltCurve_sp_P11766_ADHX_HUMAN_.pdf")</f>
        <v>Melting_Curves/meltCurve_sp_P11766_ADHX_HUMAN_.pdf</v>
      </c>
      <c r="AA605" t="s">
        <v>12087</v>
      </c>
      <c r="AB605" t="s">
        <v>15846</v>
      </c>
    </row>
    <row r="606" spans="1:28" x14ac:dyDescent="0.25">
      <c r="A606" t="s">
        <v>610</v>
      </c>
      <c r="B606">
        <v>0.98876768158843997</v>
      </c>
      <c r="C606">
        <v>1.13416491137985</v>
      </c>
      <c r="D606">
        <v>1.0725103613629201</v>
      </c>
      <c r="E606">
        <v>0.82080250844869695</v>
      </c>
      <c r="F606">
        <v>0.41418923421114801</v>
      </c>
      <c r="G606">
        <v>0.139895021023556</v>
      </c>
      <c r="H606">
        <v>7.5866168364536302E-2</v>
      </c>
      <c r="I606">
        <v>6.6313656838261598E-2</v>
      </c>
      <c r="J606">
        <v>8.7404922666114604E-2</v>
      </c>
      <c r="K606">
        <v>6.0296378792352202E-2</v>
      </c>
      <c r="L606">
        <v>1793.9444874268399</v>
      </c>
      <c r="M606">
        <v>34.385891737801003</v>
      </c>
      <c r="N606">
        <v>52.415810365867898</v>
      </c>
      <c r="O606">
        <v>51.995441338444202</v>
      </c>
      <c r="P606">
        <v>-0.15306474603763501</v>
      </c>
      <c r="Q606">
        <v>7.4197182509054604E-2</v>
      </c>
      <c r="R606">
        <v>0.98668054768543101</v>
      </c>
      <c r="S606" t="s">
        <v>4438</v>
      </c>
      <c r="T606" t="s">
        <v>7662</v>
      </c>
      <c r="U606" t="s">
        <v>7662</v>
      </c>
      <c r="V606" t="s">
        <v>7662</v>
      </c>
      <c r="W606">
        <v>10</v>
      </c>
      <c r="X606" t="s">
        <v>8268</v>
      </c>
      <c r="Y606">
        <v>0.45431348511575359</v>
      </c>
      <c r="Z606" t="str">
        <f>HYPERLINK("Melting_Curves/meltCurve_sp_P11908_PRPS2_HUMAN_.pdf", "Melting_Curves/meltCurve_sp_P11908_PRPS2_HUMAN_.pdf")</f>
        <v>Melting_Curves/meltCurve_sp_P11908_PRPS2_HUMAN_.pdf</v>
      </c>
      <c r="AA606" t="s">
        <v>12088</v>
      </c>
      <c r="AB606" t="s">
        <v>15847</v>
      </c>
    </row>
    <row r="607" spans="1:28" x14ac:dyDescent="0.25">
      <c r="A607" t="s">
        <v>611</v>
      </c>
      <c r="B607">
        <v>0.98876768158843997</v>
      </c>
      <c r="C607">
        <v>0.99185289837458201</v>
      </c>
      <c r="D607">
        <v>1.03129371646585</v>
      </c>
      <c r="E607">
        <v>0.77457194214386704</v>
      </c>
      <c r="F607">
        <v>0.31630864357313698</v>
      </c>
      <c r="G607">
        <v>0.13927353544452001</v>
      </c>
      <c r="H607">
        <v>5.53718758306537E-2</v>
      </c>
      <c r="I607">
        <v>5.25750105019148E-2</v>
      </c>
      <c r="J607">
        <v>6.1420713595333902E-2</v>
      </c>
      <c r="K607">
        <v>4.51654538793448E-2</v>
      </c>
      <c r="L607">
        <v>1831.53354983124</v>
      </c>
      <c r="M607">
        <v>35.486604535480701</v>
      </c>
      <c r="N607">
        <v>51.804134691356303</v>
      </c>
      <c r="O607">
        <v>51.448890843244797</v>
      </c>
      <c r="P607">
        <v>-0.16180259002372799</v>
      </c>
      <c r="Q607">
        <v>6.1669998935357101E-2</v>
      </c>
      <c r="R607">
        <v>0.99729545903046901</v>
      </c>
      <c r="S607" t="s">
        <v>4439</v>
      </c>
      <c r="T607" t="s">
        <v>7662</v>
      </c>
      <c r="U607" t="s">
        <v>7662</v>
      </c>
      <c r="V607" t="s">
        <v>7662</v>
      </c>
      <c r="W607">
        <v>23</v>
      </c>
      <c r="X607" t="s">
        <v>8269</v>
      </c>
      <c r="Y607">
        <v>0.42912282985149591</v>
      </c>
      <c r="Z607" t="str">
        <f>HYPERLINK("Melting_Curves/meltCurve_sp_P11940_2_PABP1_HUMAN_.pdf", "Melting_Curves/meltCurve_sp_P11940_2_PABP1_HUMAN_.pdf")</f>
        <v>Melting_Curves/meltCurve_sp_P11940_2_PABP1_HUMAN_.pdf</v>
      </c>
      <c r="AA607" t="s">
        <v>12089</v>
      </c>
      <c r="AB607" t="s">
        <v>15848</v>
      </c>
    </row>
    <row r="608" spans="1:28" x14ac:dyDescent="0.25">
      <c r="A608" t="s">
        <v>612</v>
      </c>
      <c r="B608">
        <v>0.98876768158843997</v>
      </c>
      <c r="C608">
        <v>1.1253826151076201</v>
      </c>
      <c r="D608">
        <v>0.89773202547803899</v>
      </c>
      <c r="E608">
        <v>0.83688207303679596</v>
      </c>
      <c r="F608">
        <v>0.59439049475612005</v>
      </c>
      <c r="G608">
        <v>0.232838265743644</v>
      </c>
      <c r="H608">
        <v>8.59816529251929E-2</v>
      </c>
      <c r="I608">
        <v>5.8758948697285401E-2</v>
      </c>
      <c r="J608">
        <v>7.8179014842164704E-2</v>
      </c>
      <c r="K608">
        <v>4.9797871014215102E-2</v>
      </c>
      <c r="L608">
        <v>1200.07353093145</v>
      </c>
      <c r="M608">
        <v>22.4034641050843</v>
      </c>
      <c r="N608">
        <v>53.785371208076697</v>
      </c>
      <c r="O608">
        <v>53.145124553544299</v>
      </c>
      <c r="P608">
        <v>-0.10079697270553099</v>
      </c>
      <c r="Q608">
        <v>4.3584421200057101E-2</v>
      </c>
      <c r="R608">
        <v>0.98599543236464304</v>
      </c>
      <c r="S608" t="s">
        <v>4440</v>
      </c>
      <c r="T608" t="s">
        <v>7662</v>
      </c>
      <c r="U608" t="s">
        <v>7662</v>
      </c>
      <c r="V608" t="s">
        <v>7662</v>
      </c>
      <c r="W608">
        <v>9</v>
      </c>
      <c r="X608" t="s">
        <v>8270</v>
      </c>
      <c r="Y608">
        <v>0.48686049515598478</v>
      </c>
      <c r="Z608" t="str">
        <f>HYPERLINK("Melting_Curves/meltCurve_sp_P12004_PCNA_HUMAN_.pdf", "Melting_Curves/meltCurve_sp_P12004_PCNA_HUMAN_.pdf")</f>
        <v>Melting_Curves/meltCurve_sp_P12004_PCNA_HUMAN_.pdf</v>
      </c>
      <c r="AA608" t="s">
        <v>12090</v>
      </c>
      <c r="AB608" t="s">
        <v>15849</v>
      </c>
    </row>
    <row r="609" spans="1:28" x14ac:dyDescent="0.25">
      <c r="A609" t="s">
        <v>613</v>
      </c>
      <c r="B609">
        <v>0.98876768158843997</v>
      </c>
      <c r="C609">
        <v>0.90947255617057299</v>
      </c>
      <c r="D609">
        <v>1.0241298906317</v>
      </c>
      <c r="E609">
        <v>0.84764672514565997</v>
      </c>
      <c r="F609">
        <v>0.62794850595623497</v>
      </c>
      <c r="G609">
        <v>0.44449596248531598</v>
      </c>
      <c r="H609">
        <v>0.36807370098278802</v>
      </c>
      <c r="I609">
        <v>0.40451846463329499</v>
      </c>
      <c r="J609">
        <v>0.46972538487145898</v>
      </c>
      <c r="K609">
        <v>0.48656259254477702</v>
      </c>
      <c r="L609">
        <v>1678.5514050917</v>
      </c>
      <c r="M609">
        <v>32.422864183143098</v>
      </c>
      <c r="N609">
        <v>55.104249954045301</v>
      </c>
      <c r="O609">
        <v>51.5748607027719</v>
      </c>
      <c r="P609">
        <v>-8.9635003567292995E-2</v>
      </c>
      <c r="Q609">
        <v>0.42967522561258797</v>
      </c>
      <c r="R609">
        <v>0.96715092839995298</v>
      </c>
      <c r="S609" t="s">
        <v>4441</v>
      </c>
      <c r="T609" t="s">
        <v>7662</v>
      </c>
      <c r="U609" t="s">
        <v>7662</v>
      </c>
      <c r="V609" t="s">
        <v>7662</v>
      </c>
      <c r="W609">
        <v>63</v>
      </c>
      <c r="X609" t="s">
        <v>8271</v>
      </c>
      <c r="Y609">
        <v>0.65655418526388887</v>
      </c>
      <c r="Z609" t="str">
        <f>HYPERLINK("Melting_Curves/meltCurve_sp_P12270_TPR_HUMAN_.pdf", "Melting_Curves/meltCurve_sp_P12270_TPR_HUMAN_.pdf")</f>
        <v>Melting_Curves/meltCurve_sp_P12270_TPR_HUMAN_.pdf</v>
      </c>
      <c r="AA609" t="s">
        <v>12091</v>
      </c>
      <c r="AB609" t="s">
        <v>15850</v>
      </c>
    </row>
    <row r="610" spans="1:28" x14ac:dyDescent="0.25">
      <c r="A610" t="s">
        <v>614</v>
      </c>
      <c r="B610">
        <v>0.98876768158843997</v>
      </c>
      <c r="C610">
        <v>0.99857811879185499</v>
      </c>
      <c r="D610">
        <v>0.79360828896277702</v>
      </c>
      <c r="E610">
        <v>0.39272128008621299</v>
      </c>
      <c r="F610">
        <v>0.23824018100019001</v>
      </c>
      <c r="G610">
        <v>0.147760109624053</v>
      </c>
      <c r="H610">
        <v>9.9851061045034994E-2</v>
      </c>
      <c r="I610">
        <v>9.3683432975170303E-2</v>
      </c>
      <c r="J610">
        <v>9.6136112378743505E-2</v>
      </c>
      <c r="K610">
        <v>9.1729133909145E-2</v>
      </c>
      <c r="L610">
        <v>1098.7066752579101</v>
      </c>
      <c r="M610">
        <v>22.6208284474077</v>
      </c>
      <c r="N610">
        <v>49.045108265867299</v>
      </c>
      <c r="O610">
        <v>48.195783315579803</v>
      </c>
      <c r="P610">
        <v>-0.10580774008561</v>
      </c>
      <c r="Q610">
        <v>9.8285248009212803E-2</v>
      </c>
      <c r="R610">
        <v>0.99766831180181803</v>
      </c>
      <c r="S610" t="s">
        <v>4442</v>
      </c>
      <c r="T610" t="s">
        <v>7662</v>
      </c>
      <c r="U610" t="s">
        <v>7662</v>
      </c>
      <c r="V610" t="s">
        <v>7662</v>
      </c>
      <c r="W610">
        <v>10</v>
      </c>
      <c r="X610" t="s">
        <v>8272</v>
      </c>
      <c r="Y610">
        <v>0.36571636966093818</v>
      </c>
      <c r="Z610" t="str">
        <f>HYPERLINK("Melting_Curves/meltCurve_sp_P12694_ODBA_HUMAN_.pdf", "Melting_Curves/meltCurve_sp_P12694_ODBA_HUMAN_.pdf")</f>
        <v>Melting_Curves/meltCurve_sp_P12694_ODBA_HUMAN_.pdf</v>
      </c>
      <c r="AA610" t="s">
        <v>12092</v>
      </c>
      <c r="AB610" t="s">
        <v>15851</v>
      </c>
    </row>
    <row r="611" spans="1:28" x14ac:dyDescent="0.25">
      <c r="A611" t="s">
        <v>615</v>
      </c>
      <c r="B611">
        <v>0.98876768158843997</v>
      </c>
      <c r="C611">
        <v>0.94461424605579203</v>
      </c>
      <c r="D611">
        <v>0.97375498594681897</v>
      </c>
      <c r="E611">
        <v>0.83435442732820397</v>
      </c>
      <c r="F611">
        <v>0.96689652490176303</v>
      </c>
      <c r="G611">
        <v>0.62360468055735097</v>
      </c>
      <c r="H611">
        <v>0.45881971122126602</v>
      </c>
      <c r="I611">
        <v>0.42359756137602</v>
      </c>
      <c r="J611">
        <v>0.82015950196570697</v>
      </c>
      <c r="K611">
        <v>0.60105663384757801</v>
      </c>
      <c r="L611">
        <v>3380.6183542453</v>
      </c>
      <c r="M611">
        <v>61.459119993768198</v>
      </c>
      <c r="O611">
        <v>54.947819988332803</v>
      </c>
      <c r="P611">
        <v>-0.11844895632774501</v>
      </c>
      <c r="Q611">
        <v>0.57640073641733702</v>
      </c>
      <c r="R611">
        <v>0.70229730099848298</v>
      </c>
      <c r="S611" t="s">
        <v>4443</v>
      </c>
      <c r="T611" t="s">
        <v>7662</v>
      </c>
      <c r="U611" t="s">
        <v>7662</v>
      </c>
      <c r="V611" t="s">
        <v>7662</v>
      </c>
      <c r="W611">
        <v>1</v>
      </c>
      <c r="X611" t="s">
        <v>8273</v>
      </c>
      <c r="Y611">
        <v>0.78896355452451206</v>
      </c>
      <c r="Z611" t="str">
        <f>HYPERLINK("Melting_Curves/meltCurve_sp_P12724_ECP_HUMAN_.pdf", "Melting_Curves/meltCurve_sp_P12724_ECP_HUMAN_.pdf")</f>
        <v>Melting_Curves/meltCurve_sp_P12724_ECP_HUMAN_.pdf</v>
      </c>
      <c r="AA611" t="s">
        <v>12093</v>
      </c>
      <c r="AB611" t="s">
        <v>15852</v>
      </c>
    </row>
    <row r="612" spans="1:28" x14ac:dyDescent="0.25">
      <c r="A612" t="s">
        <v>616</v>
      </c>
      <c r="B612">
        <v>0.98876768158843997</v>
      </c>
      <c r="C612">
        <v>0.89091301546180302</v>
      </c>
      <c r="D612">
        <v>0.99907903555003097</v>
      </c>
      <c r="E612">
        <v>0.95589230117567203</v>
      </c>
      <c r="F612">
        <v>0.68706248196158204</v>
      </c>
      <c r="G612">
        <v>0.58835499115905698</v>
      </c>
      <c r="H612">
        <v>0.33108001218615601</v>
      </c>
      <c r="I612">
        <v>7.7594870491073706E-2</v>
      </c>
      <c r="J612">
        <v>5.8584424745292102E-2</v>
      </c>
      <c r="K612">
        <v>5.4056505992782201E-2</v>
      </c>
      <c r="L612">
        <v>916.74387412350302</v>
      </c>
      <c r="M612">
        <v>15.988394379132</v>
      </c>
      <c r="N612">
        <v>57.338082558666898</v>
      </c>
      <c r="O612">
        <v>56.463591319230702</v>
      </c>
      <c r="P612">
        <v>-7.0796293631237503E-2</v>
      </c>
      <c r="Q612">
        <v>0</v>
      </c>
      <c r="R612">
        <v>0.97378240644734804</v>
      </c>
      <c r="S612" t="s">
        <v>4444</v>
      </c>
      <c r="T612" t="s">
        <v>7662</v>
      </c>
      <c r="U612" t="s">
        <v>7662</v>
      </c>
      <c r="V612" t="s">
        <v>7662</v>
      </c>
      <c r="W612">
        <v>52</v>
      </c>
      <c r="X612" t="s">
        <v>8274</v>
      </c>
      <c r="Y612">
        <v>0.59249735892420985</v>
      </c>
      <c r="Z612" t="str">
        <f>HYPERLINK("Melting_Curves/meltCurve_sp_P12814_ACTN1_HUMAN_.pdf", "Melting_Curves/meltCurve_sp_P12814_ACTN1_HUMAN_.pdf")</f>
        <v>Melting_Curves/meltCurve_sp_P12814_ACTN1_HUMAN_.pdf</v>
      </c>
      <c r="AA612" t="s">
        <v>12094</v>
      </c>
      <c r="AB612" t="s">
        <v>15853</v>
      </c>
    </row>
    <row r="613" spans="1:28" x14ac:dyDescent="0.25">
      <c r="A613" t="s">
        <v>617</v>
      </c>
      <c r="B613">
        <v>0.98876768158843997</v>
      </c>
      <c r="C613">
        <v>0.94500301077106097</v>
      </c>
      <c r="D613">
        <v>0.97111757408405996</v>
      </c>
      <c r="E613">
        <v>0.86547602324182205</v>
      </c>
      <c r="F613">
        <v>0.51765105149875401</v>
      </c>
      <c r="G613">
        <v>0.224997434032879</v>
      </c>
      <c r="H613">
        <v>7.4261422736024998E-2</v>
      </c>
      <c r="I613">
        <v>3.7590085523987099E-2</v>
      </c>
      <c r="J613">
        <v>3.9562146188538101E-2</v>
      </c>
      <c r="K613">
        <v>2.9046229583476201E-2</v>
      </c>
      <c r="L613">
        <v>1266.62375430823</v>
      </c>
      <c r="M613">
        <v>23.759929928502601</v>
      </c>
      <c r="N613">
        <v>53.444320551196398</v>
      </c>
      <c r="O613">
        <v>52.935895579233403</v>
      </c>
      <c r="P613">
        <v>-0.108942419353021</v>
      </c>
      <c r="Q613">
        <v>2.9143274940883399E-2</v>
      </c>
      <c r="R613">
        <v>0.99671433190805603</v>
      </c>
      <c r="S613" t="s">
        <v>4445</v>
      </c>
      <c r="T613" t="s">
        <v>7662</v>
      </c>
      <c r="U613" t="s">
        <v>7662</v>
      </c>
      <c r="V613" t="s">
        <v>7662</v>
      </c>
      <c r="W613">
        <v>14</v>
      </c>
      <c r="X613" t="s">
        <v>8275</v>
      </c>
      <c r="Y613">
        <v>0.4696932858491028</v>
      </c>
      <c r="Z613" t="str">
        <f>HYPERLINK("Melting_Curves/meltCurve_sp_P12955_PEPD_HUMAN_.pdf", "Melting_Curves/meltCurve_sp_P12955_PEPD_HUMAN_.pdf")</f>
        <v>Melting_Curves/meltCurve_sp_P12955_PEPD_HUMAN_.pdf</v>
      </c>
      <c r="AA613" t="s">
        <v>12095</v>
      </c>
      <c r="AB613" t="s">
        <v>15854</v>
      </c>
    </row>
    <row r="614" spans="1:28" x14ac:dyDescent="0.25">
      <c r="A614" t="s">
        <v>618</v>
      </c>
      <c r="B614">
        <v>0.98876768158843997</v>
      </c>
      <c r="C614">
        <v>0.92504508963296495</v>
      </c>
      <c r="D614">
        <v>0.87615768167034302</v>
      </c>
      <c r="E614">
        <v>0.51867772693620995</v>
      </c>
      <c r="F614">
        <v>0.271281724629168</v>
      </c>
      <c r="G614">
        <v>0.10799570221331101</v>
      </c>
      <c r="H614">
        <v>6.8381122680829506E-2</v>
      </c>
      <c r="I614">
        <v>5.4678122151796099E-2</v>
      </c>
      <c r="J614">
        <v>8.6069318753080201E-2</v>
      </c>
      <c r="K614">
        <v>5.9398997883772002E-2</v>
      </c>
      <c r="L614">
        <v>1046.69839186287</v>
      </c>
      <c r="M614">
        <v>20.979858905942798</v>
      </c>
      <c r="N614">
        <v>50.174535796255398</v>
      </c>
      <c r="O614">
        <v>49.4439784291609</v>
      </c>
      <c r="P614">
        <v>-0.100144598306844</v>
      </c>
      <c r="Q614">
        <v>5.5967923556506698E-2</v>
      </c>
      <c r="R614">
        <v>0.997714961460058</v>
      </c>
      <c r="S614" t="s">
        <v>4446</v>
      </c>
      <c r="T614" t="s">
        <v>7662</v>
      </c>
      <c r="U614" t="s">
        <v>7662</v>
      </c>
      <c r="V614" t="s">
        <v>7662</v>
      </c>
      <c r="W614">
        <v>22</v>
      </c>
      <c r="X614" t="s">
        <v>8276</v>
      </c>
      <c r="Y614">
        <v>0.37917020698321841</v>
      </c>
      <c r="Z614" t="str">
        <f>HYPERLINK("Melting_Curves/meltCurve_sp_P12956_XRCC6_HUMAN_.pdf", "Melting_Curves/meltCurve_sp_P12956_XRCC6_HUMAN_.pdf")</f>
        <v>Melting_Curves/meltCurve_sp_P12956_XRCC6_HUMAN_.pdf</v>
      </c>
      <c r="AA614" t="s">
        <v>12096</v>
      </c>
      <c r="AB614" t="s">
        <v>15855</v>
      </c>
    </row>
    <row r="615" spans="1:28" x14ac:dyDescent="0.25">
      <c r="A615" t="s">
        <v>619</v>
      </c>
      <c r="B615">
        <v>0.98876768158843997</v>
      </c>
      <c r="C615">
        <v>0.89555151128958299</v>
      </c>
      <c r="D615">
        <v>0.62838150177000196</v>
      </c>
      <c r="E615">
        <v>0.33708937462112398</v>
      </c>
      <c r="F615">
        <v>0.30707512215539201</v>
      </c>
      <c r="G615">
        <v>0.19668620673853601</v>
      </c>
      <c r="H615">
        <v>0.14276701034491601</v>
      </c>
      <c r="I615">
        <v>0.14651455954017001</v>
      </c>
      <c r="J615">
        <v>0.16519908494514801</v>
      </c>
      <c r="K615">
        <v>0.18739466726169901</v>
      </c>
      <c r="L615">
        <v>885.91085882678101</v>
      </c>
      <c r="M615">
        <v>18.933765922411201</v>
      </c>
      <c r="N615">
        <v>47.803743718775401</v>
      </c>
      <c r="O615">
        <v>46.277420717052301</v>
      </c>
      <c r="P615">
        <v>-8.5375049698859604E-2</v>
      </c>
      <c r="Q615">
        <v>0.165347784549319</v>
      </c>
      <c r="R615">
        <v>0.991982636500509</v>
      </c>
      <c r="S615" t="s">
        <v>4447</v>
      </c>
      <c r="T615" t="s">
        <v>7662</v>
      </c>
      <c r="U615" t="s">
        <v>7662</v>
      </c>
      <c r="V615" t="s">
        <v>7662</v>
      </c>
      <c r="W615">
        <v>17</v>
      </c>
      <c r="X615" t="s">
        <v>8277</v>
      </c>
      <c r="Y615">
        <v>0.36818256355107448</v>
      </c>
      <c r="Z615" t="str">
        <f>HYPERLINK("Melting_Curves/meltCurve_sp_P13010_XRCC5_HUMAN_.pdf", "Melting_Curves/meltCurve_sp_P13010_XRCC5_HUMAN_.pdf")</f>
        <v>Melting_Curves/meltCurve_sp_P13010_XRCC5_HUMAN_.pdf</v>
      </c>
      <c r="AA615" t="s">
        <v>12097</v>
      </c>
      <c r="AB615" t="s">
        <v>15856</v>
      </c>
    </row>
    <row r="616" spans="1:28" x14ac:dyDescent="0.25">
      <c r="A616" t="s">
        <v>620</v>
      </c>
      <c r="B616">
        <v>0.98876768158843997</v>
      </c>
      <c r="C616">
        <v>1.04622635597809</v>
      </c>
      <c r="D616">
        <v>0.94058747980018698</v>
      </c>
      <c r="E616">
        <v>0.73439164823014602</v>
      </c>
      <c r="F616">
        <v>0.77016838917102504</v>
      </c>
      <c r="G616">
        <v>0.53642231765750104</v>
      </c>
      <c r="H616">
        <v>0.406692080401371</v>
      </c>
      <c r="I616">
        <v>0.48116024981383398</v>
      </c>
      <c r="J616">
        <v>0.552418315905714</v>
      </c>
      <c r="K616">
        <v>0.68520206860501698</v>
      </c>
      <c r="L616">
        <v>1040.9356946422099</v>
      </c>
      <c r="M616">
        <v>20.5555854658835</v>
      </c>
      <c r="O616">
        <v>50.168074230414703</v>
      </c>
      <c r="P616">
        <v>-4.8129140693801697E-2</v>
      </c>
      <c r="Q616">
        <v>0.53015674792239897</v>
      </c>
      <c r="R616">
        <v>0.85359633043633898</v>
      </c>
      <c r="S616" t="s">
        <v>4448</v>
      </c>
      <c r="T616" t="s">
        <v>7662</v>
      </c>
      <c r="U616" t="s">
        <v>7662</v>
      </c>
      <c r="V616" t="s">
        <v>7662</v>
      </c>
      <c r="W616">
        <v>4</v>
      </c>
      <c r="X616" t="s">
        <v>8278</v>
      </c>
      <c r="Y616">
        <v>0.70299076247363856</v>
      </c>
      <c r="Z616" t="str">
        <f>HYPERLINK("Melting_Curves/meltCurve_sp_P13073_COX41_HUMAN_.pdf", "Melting_Curves/meltCurve_sp_P13073_COX41_HUMAN_.pdf")</f>
        <v>Melting_Curves/meltCurve_sp_P13073_COX41_HUMAN_.pdf</v>
      </c>
      <c r="AA616" t="s">
        <v>12098</v>
      </c>
      <c r="AB616" t="s">
        <v>15857</v>
      </c>
    </row>
    <row r="617" spans="1:28" x14ac:dyDescent="0.25">
      <c r="A617" t="s">
        <v>621</v>
      </c>
      <c r="B617">
        <v>0.98876768158843997</v>
      </c>
      <c r="C617">
        <v>0.75529821930502505</v>
      </c>
      <c r="D617">
        <v>0.62960785457572599</v>
      </c>
      <c r="E617">
        <v>0.37034409081817699</v>
      </c>
      <c r="F617">
        <v>0.20723880496406999</v>
      </c>
      <c r="G617">
        <v>8.97650237075443E-2</v>
      </c>
      <c r="H617">
        <v>5.4538007339924102E-2</v>
      </c>
      <c r="I617">
        <v>4.2670552494220103E-2</v>
      </c>
      <c r="J617">
        <v>6.7784645995383405E-2</v>
      </c>
      <c r="K617">
        <v>5.1883931538125899E-2</v>
      </c>
      <c r="L617">
        <v>656.52683627872204</v>
      </c>
      <c r="M617">
        <v>13.845264138099999</v>
      </c>
      <c r="N617">
        <v>47.612418141929403</v>
      </c>
      <c r="O617">
        <v>46.462485737310899</v>
      </c>
      <c r="P617">
        <v>-7.2468688066240503E-2</v>
      </c>
      <c r="Q617">
        <v>2.7361358141593999E-2</v>
      </c>
      <c r="R617">
        <v>0.99119665622733499</v>
      </c>
      <c r="S617" t="s">
        <v>4449</v>
      </c>
      <c r="T617" t="s">
        <v>7662</v>
      </c>
      <c r="U617" t="s">
        <v>7662</v>
      </c>
      <c r="V617" t="s">
        <v>7662</v>
      </c>
      <c r="W617">
        <v>3</v>
      </c>
      <c r="X617" t="s">
        <v>8279</v>
      </c>
      <c r="Y617">
        <v>0.29813894637184463</v>
      </c>
      <c r="Z617" t="str">
        <f>HYPERLINK("Melting_Curves/meltCurve_sp_P13196_HEM1_HUMAN_.pdf", "Melting_Curves/meltCurve_sp_P13196_HEM1_HUMAN_.pdf")</f>
        <v>Melting_Curves/meltCurve_sp_P13196_HEM1_HUMAN_.pdf</v>
      </c>
      <c r="AA617" t="s">
        <v>12099</v>
      </c>
      <c r="AB617" t="s">
        <v>15858</v>
      </c>
    </row>
    <row r="618" spans="1:28" x14ac:dyDescent="0.25">
      <c r="A618" t="s">
        <v>622</v>
      </c>
      <c r="B618">
        <v>0.98876768158843997</v>
      </c>
      <c r="C618">
        <v>1.21399615606313</v>
      </c>
      <c r="D618">
        <v>0.90547157096407505</v>
      </c>
      <c r="E618">
        <v>0.74418443181643301</v>
      </c>
      <c r="F618">
        <v>0.82591301067852796</v>
      </c>
      <c r="G618">
        <v>0.533581447893822</v>
      </c>
      <c r="H618">
        <v>0.24460756059793101</v>
      </c>
      <c r="I618">
        <v>0.18221393581402601</v>
      </c>
      <c r="J618">
        <v>0.18121101547544799</v>
      </c>
      <c r="K618">
        <v>0.143298449002354</v>
      </c>
      <c r="L618">
        <v>828.84748236821099</v>
      </c>
      <c r="M618">
        <v>14.707414009000599</v>
      </c>
      <c r="N618">
        <v>56.978108048278401</v>
      </c>
      <c r="O618">
        <v>55.344651488941601</v>
      </c>
      <c r="P618">
        <v>-6.1512639969897399E-2</v>
      </c>
      <c r="Q618">
        <v>7.4202044104472301E-2</v>
      </c>
      <c r="R618">
        <v>0.93840302433579303</v>
      </c>
      <c r="S618" t="s">
        <v>4450</v>
      </c>
      <c r="T618" t="s">
        <v>7662</v>
      </c>
      <c r="U618" t="s">
        <v>7662</v>
      </c>
      <c r="V618" t="s">
        <v>7662</v>
      </c>
      <c r="W618">
        <v>1</v>
      </c>
      <c r="X618" t="s">
        <v>8280</v>
      </c>
      <c r="Y618">
        <v>0.59500827082760577</v>
      </c>
      <c r="Z618" t="str">
        <f>HYPERLINK("Melting_Curves/meltCurve_sp_P13284_GILT_HUMAN_.pdf", "Melting_Curves/meltCurve_sp_P13284_GILT_HUMAN_.pdf")</f>
        <v>Melting_Curves/meltCurve_sp_P13284_GILT_HUMAN_.pdf</v>
      </c>
      <c r="AA618" t="s">
        <v>12100</v>
      </c>
      <c r="AB618" t="s">
        <v>15859</v>
      </c>
    </row>
    <row r="619" spans="1:28" x14ac:dyDescent="0.25">
      <c r="A619" t="s">
        <v>623</v>
      </c>
      <c r="B619">
        <v>0.98876768158843997</v>
      </c>
      <c r="C619">
        <v>1.0443934480250201</v>
      </c>
      <c r="D619">
        <v>0.87733187247917799</v>
      </c>
      <c r="E619">
        <v>0.85659280562693996</v>
      </c>
      <c r="F619">
        <v>0.828771365935283</v>
      </c>
      <c r="G619">
        <v>0.42984705966902698</v>
      </c>
      <c r="H619">
        <v>0.326284144352321</v>
      </c>
      <c r="I619">
        <v>0.31153433431064997</v>
      </c>
      <c r="J619">
        <v>0.30791340918626797</v>
      </c>
      <c r="K619">
        <v>0.27940766312792797</v>
      </c>
      <c r="L619">
        <v>1263.35984563905</v>
      </c>
      <c r="M619">
        <v>23.167243896944001</v>
      </c>
      <c r="N619">
        <v>56.526465208892198</v>
      </c>
      <c r="O619">
        <v>54.130743809802297</v>
      </c>
      <c r="P619">
        <v>-7.7124399255371595E-2</v>
      </c>
      <c r="Q619">
        <v>0.27920232633963299</v>
      </c>
      <c r="R619">
        <v>0.97054501055143005</v>
      </c>
      <c r="S619" t="s">
        <v>4451</v>
      </c>
      <c r="T619" t="s">
        <v>7662</v>
      </c>
      <c r="U619" t="s">
        <v>7662</v>
      </c>
      <c r="V619" t="s">
        <v>7662</v>
      </c>
      <c r="W619">
        <v>22</v>
      </c>
      <c r="X619" t="s">
        <v>8281</v>
      </c>
      <c r="Y619">
        <v>0.63598747785491994</v>
      </c>
      <c r="Z619" t="str">
        <f>HYPERLINK("Melting_Curves/meltCurve_sp_P13489_RINI_HUMAN_.pdf", "Melting_Curves/meltCurve_sp_P13489_RINI_HUMAN_.pdf")</f>
        <v>Melting_Curves/meltCurve_sp_P13489_RINI_HUMAN_.pdf</v>
      </c>
      <c r="AA619" t="s">
        <v>12101</v>
      </c>
      <c r="AB619" t="s">
        <v>15860</v>
      </c>
    </row>
    <row r="620" spans="1:28" x14ac:dyDescent="0.25">
      <c r="A620" t="s">
        <v>624</v>
      </c>
      <c r="B620">
        <v>0.98876768158843997</v>
      </c>
      <c r="C620">
        <v>0.97842155901236205</v>
      </c>
      <c r="D620">
        <v>0.91727099714679505</v>
      </c>
      <c r="E620">
        <v>0.81595702921177304</v>
      </c>
      <c r="F620">
        <v>0.73705507239510204</v>
      </c>
      <c r="G620">
        <v>0.33011584266895699</v>
      </c>
      <c r="H620">
        <v>5.8220997890893501E-2</v>
      </c>
      <c r="I620">
        <v>4.6798913857878002E-2</v>
      </c>
      <c r="J620">
        <v>4.2311379085419501E-2</v>
      </c>
      <c r="K620">
        <v>4.2400580829095702E-2</v>
      </c>
      <c r="L620">
        <v>1118.4828604276399</v>
      </c>
      <c r="M620">
        <v>20.355409574639499</v>
      </c>
      <c r="N620">
        <v>54.9499949243164</v>
      </c>
      <c r="O620">
        <v>54.425619409024399</v>
      </c>
      <c r="P620">
        <v>-9.3464057411119406E-2</v>
      </c>
      <c r="Q620">
        <v>4.2595325963737602E-4</v>
      </c>
      <c r="R620">
        <v>0.98961831325530003</v>
      </c>
      <c r="S620" t="s">
        <v>4452</v>
      </c>
      <c r="T620" t="s">
        <v>7662</v>
      </c>
      <c r="U620" t="s">
        <v>7662</v>
      </c>
      <c r="V620" t="s">
        <v>7662</v>
      </c>
      <c r="W620">
        <v>42</v>
      </c>
      <c r="X620" t="s">
        <v>8282</v>
      </c>
      <c r="Y620">
        <v>0.51144623277782875</v>
      </c>
      <c r="Z620" t="str">
        <f>HYPERLINK("Melting_Curves/meltCurve_sp_P13639_EF2_HUMAN_.pdf", "Melting_Curves/meltCurve_sp_P13639_EF2_HUMAN_.pdf")</f>
        <v>Melting_Curves/meltCurve_sp_P13639_EF2_HUMAN_.pdf</v>
      </c>
      <c r="AA620" t="s">
        <v>12102</v>
      </c>
      <c r="AB620" t="s">
        <v>15861</v>
      </c>
    </row>
    <row r="621" spans="1:28" x14ac:dyDescent="0.25">
      <c r="A621" t="s">
        <v>625</v>
      </c>
      <c r="B621">
        <v>0.98876768158843997</v>
      </c>
      <c r="C621">
        <v>1.5273273093641799</v>
      </c>
      <c r="D621">
        <v>0.89272052819891701</v>
      </c>
      <c r="E621">
        <v>0.90929249941806201</v>
      </c>
      <c r="F621">
        <v>1.7695806273071899</v>
      </c>
      <c r="G621">
        <v>1.0716598273814799</v>
      </c>
      <c r="H621">
        <v>1.12798718030703</v>
      </c>
      <c r="I621">
        <v>1.6110324565331999</v>
      </c>
      <c r="J621">
        <v>2.2502971044814699</v>
      </c>
      <c r="K621">
        <v>4.1335369768223797</v>
      </c>
      <c r="L621">
        <v>12837.2194357751</v>
      </c>
      <c r="M621">
        <v>250</v>
      </c>
      <c r="O621">
        <v>51.345591772816903</v>
      </c>
      <c r="P621">
        <v>0.60862089554694898</v>
      </c>
      <c r="Q621">
        <v>1.5</v>
      </c>
      <c r="R621">
        <v>5.9314676993216103E-2</v>
      </c>
      <c r="S621" t="s">
        <v>4453</v>
      </c>
      <c r="T621" t="s">
        <v>7662</v>
      </c>
      <c r="U621" t="s">
        <v>7662</v>
      </c>
      <c r="V621" t="s">
        <v>7662</v>
      </c>
      <c r="W621">
        <v>4</v>
      </c>
      <c r="X621" t="s">
        <v>8283</v>
      </c>
      <c r="Y621">
        <v>1.310806979374143</v>
      </c>
      <c r="Z621" t="str">
        <f>HYPERLINK("Melting_Curves/meltCurve_sp_P13640_2_MT1G_HUMAN_.pdf", "Melting_Curves/meltCurve_sp_P13640_2_MT1G_HUMAN_.pdf")</f>
        <v>Melting_Curves/meltCurve_sp_P13640_2_MT1G_HUMAN_.pdf</v>
      </c>
      <c r="AA621" t="s">
        <v>12103</v>
      </c>
      <c r="AB621" t="s">
        <v>15862</v>
      </c>
    </row>
    <row r="622" spans="1:28" x14ac:dyDescent="0.25">
      <c r="A622" t="s">
        <v>626</v>
      </c>
      <c r="B622">
        <v>0.98876768158843997</v>
      </c>
      <c r="C622">
        <v>1.0318436578513499</v>
      </c>
      <c r="D622">
        <v>0.78206461208785405</v>
      </c>
      <c r="E622">
        <v>0.71416358800730595</v>
      </c>
      <c r="F622">
        <v>0.67524525831564597</v>
      </c>
      <c r="G622">
        <v>0.56687262191364896</v>
      </c>
      <c r="H622">
        <v>0.46569710653728402</v>
      </c>
      <c r="I622">
        <v>0.55745422146419299</v>
      </c>
      <c r="J622">
        <v>0.78485921204494202</v>
      </c>
      <c r="K622">
        <v>1.2385384722952999</v>
      </c>
      <c r="L622">
        <v>11445.9991657054</v>
      </c>
      <c r="M622">
        <v>250</v>
      </c>
      <c r="O622">
        <v>45.781066647441001</v>
      </c>
      <c r="P622">
        <v>-0.38950317307600502</v>
      </c>
      <c r="Q622">
        <v>0.71469006782577205</v>
      </c>
      <c r="R622">
        <v>0.25787328672362297</v>
      </c>
      <c r="S622" t="s">
        <v>4454</v>
      </c>
      <c r="T622" t="s">
        <v>7662</v>
      </c>
      <c r="U622" t="s">
        <v>7662</v>
      </c>
      <c r="V622" t="s">
        <v>7662</v>
      </c>
      <c r="W622">
        <v>4</v>
      </c>
      <c r="X622" t="s">
        <v>8284</v>
      </c>
      <c r="Y622">
        <v>0.76972071572185885</v>
      </c>
      <c r="Z622" t="str">
        <f>HYPERLINK("Melting_Curves/meltCurve_sp_P13640_MT1G_HUMAN_.pdf", "Melting_Curves/meltCurve_sp_P13640_MT1G_HUMAN_.pdf")</f>
        <v>Melting_Curves/meltCurve_sp_P13640_MT1G_HUMAN_.pdf</v>
      </c>
      <c r="AA622" t="s">
        <v>12103</v>
      </c>
      <c r="AB622" t="s">
        <v>15863</v>
      </c>
    </row>
    <row r="623" spans="1:28" x14ac:dyDescent="0.25">
      <c r="A623" t="s">
        <v>627</v>
      </c>
      <c r="B623">
        <v>0.98876768158843997</v>
      </c>
      <c r="C623">
        <v>0.73650794004391695</v>
      </c>
      <c r="D623">
        <v>1.62846311068425</v>
      </c>
      <c r="E623">
        <v>0.53179869518191303</v>
      </c>
      <c r="F623">
        <v>0.41770767799888298</v>
      </c>
      <c r="G623">
        <v>0.27056930915126598</v>
      </c>
      <c r="H623">
        <v>0.219092359955466</v>
      </c>
      <c r="I623">
        <v>0.249548373845704</v>
      </c>
      <c r="J623">
        <v>0.103957996755073</v>
      </c>
      <c r="K623">
        <v>0.34351839621663199</v>
      </c>
      <c r="L623">
        <v>4912.1234159402802</v>
      </c>
      <c r="M623">
        <v>98.798102716133499</v>
      </c>
      <c r="N623">
        <v>50.105774409052003</v>
      </c>
      <c r="O623">
        <v>49.698442700793301</v>
      </c>
      <c r="P623">
        <v>-0.36436018423706201</v>
      </c>
      <c r="Q623">
        <v>0.26686313934928602</v>
      </c>
      <c r="R623">
        <v>0.729142430271979</v>
      </c>
      <c r="S623" t="s">
        <v>4455</v>
      </c>
      <c r="T623" t="s">
        <v>7662</v>
      </c>
      <c r="U623" t="s">
        <v>7662</v>
      </c>
      <c r="V623" t="s">
        <v>7662</v>
      </c>
      <c r="W623">
        <v>9</v>
      </c>
      <c r="X623" t="s">
        <v>8285</v>
      </c>
      <c r="Y623">
        <v>0.50478032528940531</v>
      </c>
      <c r="Z623" t="str">
        <f>HYPERLINK("Melting_Curves/meltCurve_sp_P13647_K2C5_HUMAN_.pdf", "Melting_Curves/meltCurve_sp_P13647_K2C5_HUMAN_.pdf")</f>
        <v>Melting_Curves/meltCurve_sp_P13647_K2C5_HUMAN_.pdf</v>
      </c>
      <c r="AA623" t="s">
        <v>12104</v>
      </c>
      <c r="AB623" t="s">
        <v>15864</v>
      </c>
    </row>
    <row r="624" spans="1:28" x14ac:dyDescent="0.25">
      <c r="A624" t="s">
        <v>628</v>
      </c>
      <c r="B624">
        <v>0.98876768158843997</v>
      </c>
      <c r="C624">
        <v>0.96388862536418796</v>
      </c>
      <c r="D624">
        <v>0.89774134180149601</v>
      </c>
      <c r="E624">
        <v>0.82216271138334596</v>
      </c>
      <c r="F624">
        <v>0.66633347745128901</v>
      </c>
      <c r="G624">
        <v>0.33970199482337199</v>
      </c>
      <c r="H624">
        <v>0.16495189794762</v>
      </c>
      <c r="I624">
        <v>0.113383702553947</v>
      </c>
      <c r="J624">
        <v>0.10689027608289001</v>
      </c>
      <c r="K624">
        <v>8.3376344072650696E-2</v>
      </c>
      <c r="L624">
        <v>908.12734738259599</v>
      </c>
      <c r="M624">
        <v>16.6851121329059</v>
      </c>
      <c r="N624">
        <v>54.777743153264197</v>
      </c>
      <c r="O624">
        <v>53.663606969201702</v>
      </c>
      <c r="P624">
        <v>-7.3801292283491901E-2</v>
      </c>
      <c r="Q624">
        <v>5.0607487758166703E-2</v>
      </c>
      <c r="R624">
        <v>0.99506089551031396</v>
      </c>
      <c r="S624" t="s">
        <v>4456</v>
      </c>
      <c r="T624" t="s">
        <v>7662</v>
      </c>
      <c r="U624" t="s">
        <v>7662</v>
      </c>
      <c r="V624" t="s">
        <v>7662</v>
      </c>
      <c r="W624">
        <v>48</v>
      </c>
      <c r="X624" t="s">
        <v>8286</v>
      </c>
      <c r="Y624">
        <v>0.52383015705926594</v>
      </c>
      <c r="Z624" t="str">
        <f>HYPERLINK("Melting_Curves/meltCurve_sp_P13667_PDIA4_HUMAN_.pdf", "Melting_Curves/meltCurve_sp_P13667_PDIA4_HUMAN_.pdf")</f>
        <v>Melting_Curves/meltCurve_sp_P13667_PDIA4_HUMAN_.pdf</v>
      </c>
      <c r="AA624" t="s">
        <v>12105</v>
      </c>
      <c r="AB624" t="s">
        <v>15865</v>
      </c>
    </row>
    <row r="625" spans="1:28" x14ac:dyDescent="0.25">
      <c r="A625" t="s">
        <v>629</v>
      </c>
      <c r="B625">
        <v>0.98876768158843997</v>
      </c>
      <c r="C625">
        <v>1.04113603440337</v>
      </c>
      <c r="D625">
        <v>0.87315945079215296</v>
      </c>
      <c r="E625">
        <v>0.658197035374673</v>
      </c>
      <c r="F625">
        <v>0.49078525124564798</v>
      </c>
      <c r="G625">
        <v>0.14176541609485899</v>
      </c>
      <c r="H625">
        <v>9.4336116109141804E-2</v>
      </c>
      <c r="I625">
        <v>8.8232068188590904E-2</v>
      </c>
      <c r="J625">
        <v>0.15865199100958399</v>
      </c>
      <c r="K625">
        <v>0.114741335754089</v>
      </c>
      <c r="L625">
        <v>1025.0134081011299</v>
      </c>
      <c r="M625">
        <v>19.8977026711745</v>
      </c>
      <c r="N625">
        <v>52.036631299894502</v>
      </c>
      <c r="O625">
        <v>51.002302482676299</v>
      </c>
      <c r="P625">
        <v>-8.8705360067376005E-2</v>
      </c>
      <c r="Q625">
        <v>9.0542764470701406E-2</v>
      </c>
      <c r="R625">
        <v>0.98515671857647702</v>
      </c>
      <c r="S625" t="s">
        <v>4457</v>
      </c>
      <c r="T625" t="s">
        <v>7662</v>
      </c>
      <c r="U625" t="s">
        <v>7662</v>
      </c>
      <c r="V625" t="s">
        <v>7662</v>
      </c>
      <c r="W625">
        <v>4</v>
      </c>
      <c r="X625" t="s">
        <v>8287</v>
      </c>
      <c r="Y625">
        <v>0.45232347980311771</v>
      </c>
      <c r="Z625" t="str">
        <f>HYPERLINK("Melting_Curves/meltCurve_sp_P13671_CO6_HUMAN_.pdf", "Melting_Curves/meltCurve_sp_P13671_CO6_HUMAN_.pdf")</f>
        <v>Melting_Curves/meltCurve_sp_P13671_CO6_HUMAN_.pdf</v>
      </c>
      <c r="AA625" t="s">
        <v>12106</v>
      </c>
      <c r="AB625" t="s">
        <v>15866</v>
      </c>
    </row>
    <row r="626" spans="1:28" x14ac:dyDescent="0.25">
      <c r="A626" t="s">
        <v>630</v>
      </c>
      <c r="B626">
        <v>0.98876768158843997</v>
      </c>
      <c r="C626">
        <v>1.20499359704428</v>
      </c>
      <c r="D626">
        <v>0.75490198927386298</v>
      </c>
      <c r="E626">
        <v>0.36799363149081998</v>
      </c>
      <c r="F626">
        <v>0.16014972001136199</v>
      </c>
      <c r="G626">
        <v>0.14684559638206199</v>
      </c>
      <c r="H626">
        <v>7.1446966618224597E-2</v>
      </c>
      <c r="I626">
        <v>5.8292225458887403E-2</v>
      </c>
      <c r="J626">
        <v>0.104397057675907</v>
      </c>
      <c r="K626">
        <v>3.0009117009217198E-2</v>
      </c>
      <c r="L626">
        <v>1334.72652955181</v>
      </c>
      <c r="M626">
        <v>27.567716907105801</v>
      </c>
      <c r="N626">
        <v>48.723466967386301</v>
      </c>
      <c r="O626">
        <v>48.163671680000903</v>
      </c>
      <c r="P626">
        <v>-0.131680788959668</v>
      </c>
      <c r="Q626">
        <v>7.9768196417817405E-2</v>
      </c>
      <c r="R626">
        <v>0.96152675956816502</v>
      </c>
      <c r="S626" t="s">
        <v>4458</v>
      </c>
      <c r="T626" t="s">
        <v>7662</v>
      </c>
      <c r="U626" t="s">
        <v>7662</v>
      </c>
      <c r="V626" t="s">
        <v>7662</v>
      </c>
      <c r="W626">
        <v>3</v>
      </c>
      <c r="X626" t="s">
        <v>8288</v>
      </c>
      <c r="Y626">
        <v>0.34456303164108498</v>
      </c>
      <c r="Z626" t="str">
        <f>HYPERLINK("Melting_Curves/meltCurve_sp_P13674_P4HA1_HUMAN_.pdf", "Melting_Curves/meltCurve_sp_P13674_P4HA1_HUMAN_.pdf")</f>
        <v>Melting_Curves/meltCurve_sp_P13674_P4HA1_HUMAN_.pdf</v>
      </c>
      <c r="AA626" t="s">
        <v>12107</v>
      </c>
      <c r="AB626" t="s">
        <v>15867</v>
      </c>
    </row>
    <row r="627" spans="1:28" x14ac:dyDescent="0.25">
      <c r="A627" t="s">
        <v>631</v>
      </c>
      <c r="B627">
        <v>0.98876768158843997</v>
      </c>
      <c r="C627">
        <v>1.18008295156688</v>
      </c>
      <c r="D627">
        <v>0.83748909286194195</v>
      </c>
      <c r="E627">
        <v>0.732173583947058</v>
      </c>
      <c r="F627">
        <v>0.630162303813525</v>
      </c>
      <c r="G627">
        <v>0.37298845995167701</v>
      </c>
      <c r="H627">
        <v>0.27444726151040999</v>
      </c>
      <c r="I627">
        <v>0.31082054566165601</v>
      </c>
      <c r="J627">
        <v>0.34678414004297098</v>
      </c>
      <c r="K627">
        <v>0.429810459577943</v>
      </c>
      <c r="L627">
        <v>1023.21746265584</v>
      </c>
      <c r="M627">
        <v>19.948482535713701</v>
      </c>
      <c r="N627">
        <v>54.216246287954597</v>
      </c>
      <c r="O627">
        <v>50.785886497865498</v>
      </c>
      <c r="P627">
        <v>-6.5849314065212605E-2</v>
      </c>
      <c r="Q627">
        <v>0.32945155724998498</v>
      </c>
      <c r="R627">
        <v>0.92026331594851796</v>
      </c>
      <c r="S627" t="s">
        <v>4459</v>
      </c>
      <c r="T627" t="s">
        <v>7662</v>
      </c>
      <c r="U627" t="s">
        <v>7662</v>
      </c>
      <c r="V627" t="s">
        <v>7662</v>
      </c>
      <c r="W627">
        <v>8</v>
      </c>
      <c r="X627" t="s">
        <v>8289</v>
      </c>
      <c r="Y627">
        <v>0.591214035115745</v>
      </c>
      <c r="Z627" t="str">
        <f>HYPERLINK("Melting_Curves/meltCurve_sp_P13693_TCTP_HUMAN_.pdf", "Melting_Curves/meltCurve_sp_P13693_TCTP_HUMAN_.pdf")</f>
        <v>Melting_Curves/meltCurve_sp_P13693_TCTP_HUMAN_.pdf</v>
      </c>
      <c r="AA627" t="s">
        <v>12108</v>
      </c>
      <c r="AB627" t="s">
        <v>15868</v>
      </c>
    </row>
    <row r="628" spans="1:28" x14ac:dyDescent="0.25">
      <c r="A628" t="s">
        <v>632</v>
      </c>
      <c r="B628">
        <v>0.98876768158843997</v>
      </c>
      <c r="C628">
        <v>0.91655389503492302</v>
      </c>
      <c r="D628">
        <v>0.904830494715126</v>
      </c>
      <c r="E628">
        <v>0.73875966558690698</v>
      </c>
      <c r="F628">
        <v>0.66398024528607302</v>
      </c>
      <c r="G628">
        <v>0.49965439259722699</v>
      </c>
      <c r="H628">
        <v>0.39581480278215603</v>
      </c>
      <c r="I628">
        <v>0.44400039756327903</v>
      </c>
      <c r="J628">
        <v>0.38259738515274599</v>
      </c>
      <c r="K628">
        <v>0.145158976928003</v>
      </c>
      <c r="L628">
        <v>398.66721107961001</v>
      </c>
      <c r="M628">
        <v>6.8161491134447001</v>
      </c>
      <c r="N628">
        <v>58.488639818369002</v>
      </c>
      <c r="O628">
        <v>54.074000120200402</v>
      </c>
      <c r="P628">
        <v>-3.1577470887659803E-2</v>
      </c>
      <c r="Q628">
        <v>0</v>
      </c>
      <c r="R628">
        <v>0.95494343522479996</v>
      </c>
      <c r="S628" t="s">
        <v>4460</v>
      </c>
      <c r="T628" t="s">
        <v>7662</v>
      </c>
      <c r="U628" t="s">
        <v>7662</v>
      </c>
      <c r="V628" t="s">
        <v>7662</v>
      </c>
      <c r="W628">
        <v>22</v>
      </c>
      <c r="X628" t="s">
        <v>8290</v>
      </c>
      <c r="Y628">
        <v>0.6083209397975099</v>
      </c>
      <c r="Z628" t="str">
        <f>HYPERLINK("Melting_Curves/meltCurve_sp_P13796_PLSL_HUMAN_.pdf", "Melting_Curves/meltCurve_sp_P13796_PLSL_HUMAN_.pdf")</f>
        <v>Melting_Curves/meltCurve_sp_P13796_PLSL_HUMAN_.pdf</v>
      </c>
      <c r="AA628" t="s">
        <v>12109</v>
      </c>
      <c r="AB628" t="s">
        <v>15869</v>
      </c>
    </row>
    <row r="629" spans="1:28" x14ac:dyDescent="0.25">
      <c r="A629" t="s">
        <v>633</v>
      </c>
      <c r="B629">
        <v>0.98876768158843997</v>
      </c>
      <c r="C629">
        <v>1.050986361199</v>
      </c>
      <c r="D629">
        <v>0.91551684163979896</v>
      </c>
      <c r="E629">
        <v>0.88384845976354698</v>
      </c>
      <c r="F629">
        <v>0.87200641077572605</v>
      </c>
      <c r="G629">
        <v>0.39875742216716697</v>
      </c>
      <c r="H629">
        <v>0.101289740490189</v>
      </c>
      <c r="I629">
        <v>9.4619074228322497E-2</v>
      </c>
      <c r="J629">
        <v>0.105567602092493</v>
      </c>
      <c r="K629">
        <v>9.3350509355050001E-2</v>
      </c>
      <c r="L629">
        <v>1747.8317788138099</v>
      </c>
      <c r="M629">
        <v>31.337218998915201</v>
      </c>
      <c r="N629">
        <v>56.0891639805522</v>
      </c>
      <c r="O629">
        <v>55.549301163040397</v>
      </c>
      <c r="P629">
        <v>-0.12968104746248901</v>
      </c>
      <c r="Q629">
        <v>8.0498973026572399E-2</v>
      </c>
      <c r="R629">
        <v>0.98732240072518096</v>
      </c>
      <c r="S629" t="s">
        <v>4461</v>
      </c>
      <c r="T629" t="s">
        <v>7662</v>
      </c>
      <c r="U629" t="s">
        <v>7662</v>
      </c>
      <c r="V629" t="s">
        <v>7662</v>
      </c>
      <c r="W629">
        <v>30</v>
      </c>
      <c r="X629" t="s">
        <v>8291</v>
      </c>
      <c r="Y629">
        <v>0.56965135014070889</v>
      </c>
      <c r="Z629" t="str">
        <f>HYPERLINK("Melting_Curves/meltCurve_sp_P13797_PLST_HUMAN_.pdf", "Melting_Curves/meltCurve_sp_P13797_PLST_HUMAN_.pdf")</f>
        <v>Melting_Curves/meltCurve_sp_P13797_PLST_HUMAN_.pdf</v>
      </c>
      <c r="AA629" t="s">
        <v>12110</v>
      </c>
      <c r="AB629" t="s">
        <v>15870</v>
      </c>
    </row>
    <row r="630" spans="1:28" x14ac:dyDescent="0.25">
      <c r="A630" t="s">
        <v>634</v>
      </c>
      <c r="B630">
        <v>0.98876768158843997</v>
      </c>
      <c r="C630">
        <v>0.88850677224548702</v>
      </c>
      <c r="D630">
        <v>1.0814038380942099</v>
      </c>
      <c r="E630">
        <v>1.0396144336581301</v>
      </c>
      <c r="F630">
        <v>0.62612285790661104</v>
      </c>
      <c r="G630">
        <v>0.56901962861736899</v>
      </c>
      <c r="H630">
        <v>0.53427735859841197</v>
      </c>
      <c r="I630">
        <v>0.58694064808933599</v>
      </c>
      <c r="J630">
        <v>0.42134029802992501</v>
      </c>
      <c r="K630">
        <v>0.14721364417154301</v>
      </c>
      <c r="L630">
        <v>504.17957210451101</v>
      </c>
      <c r="M630">
        <v>8.1389499751599104</v>
      </c>
      <c r="N630">
        <v>61.946511147182697</v>
      </c>
      <c r="O630">
        <v>58.543516529301499</v>
      </c>
      <c r="P630">
        <v>-3.47928347927405E-2</v>
      </c>
      <c r="Q630">
        <v>0</v>
      </c>
      <c r="R630">
        <v>0.83133638967377299</v>
      </c>
      <c r="S630" t="s">
        <v>4462</v>
      </c>
      <c r="T630" t="s">
        <v>7662</v>
      </c>
      <c r="U630" t="s">
        <v>7662</v>
      </c>
      <c r="V630" t="s">
        <v>7662</v>
      </c>
      <c r="W630">
        <v>22</v>
      </c>
      <c r="X630" t="s">
        <v>8292</v>
      </c>
      <c r="Y630">
        <v>0.69672494029269139</v>
      </c>
      <c r="Z630" t="str">
        <f>HYPERLINK("Melting_Curves/meltCurve_sp_P13798_ACPH_HUMAN_.pdf", "Melting_Curves/meltCurve_sp_P13798_ACPH_HUMAN_.pdf")</f>
        <v>Melting_Curves/meltCurve_sp_P13798_ACPH_HUMAN_.pdf</v>
      </c>
      <c r="AA630" t="s">
        <v>12111</v>
      </c>
      <c r="AB630" t="s">
        <v>15871</v>
      </c>
    </row>
    <row r="631" spans="1:28" x14ac:dyDescent="0.25">
      <c r="A631" t="s">
        <v>635</v>
      </c>
      <c r="B631">
        <v>0.98876768158843997</v>
      </c>
      <c r="C631">
        <v>0.71932604521217602</v>
      </c>
      <c r="D631">
        <v>0.87709809213184398</v>
      </c>
      <c r="E631">
        <v>0.65233525635552803</v>
      </c>
      <c r="F631">
        <v>0.47964564243407098</v>
      </c>
      <c r="G631">
        <v>0.176646673653614</v>
      </c>
      <c r="H631">
        <v>5.4529292270395102E-2</v>
      </c>
      <c r="I631">
        <v>3.2309327203640603E-2</v>
      </c>
      <c r="J631">
        <v>2.35276195207164E-2</v>
      </c>
      <c r="K631">
        <v>2.5419541560819901E-2</v>
      </c>
      <c r="L631">
        <v>716.58471930775102</v>
      </c>
      <c r="M631">
        <v>13.850224335797099</v>
      </c>
      <c r="N631">
        <v>51.738130888803497</v>
      </c>
      <c r="O631">
        <v>50.695343409303703</v>
      </c>
      <c r="P631">
        <v>-6.8310689877486799E-2</v>
      </c>
      <c r="Q631">
        <v>0</v>
      </c>
      <c r="R631">
        <v>0.95275265947307697</v>
      </c>
      <c r="S631" t="s">
        <v>4463</v>
      </c>
      <c r="T631" t="s">
        <v>7662</v>
      </c>
      <c r="U631" t="s">
        <v>7662</v>
      </c>
      <c r="V631" t="s">
        <v>7662</v>
      </c>
      <c r="W631">
        <v>21</v>
      </c>
      <c r="X631" t="s">
        <v>8293</v>
      </c>
      <c r="Y631">
        <v>0.41673782026381662</v>
      </c>
      <c r="Z631" t="str">
        <f>HYPERLINK("Melting_Curves/meltCurve_sp_P13804_ETFA_HUMAN_.pdf", "Melting_Curves/meltCurve_sp_P13804_ETFA_HUMAN_.pdf")</f>
        <v>Melting_Curves/meltCurve_sp_P13804_ETFA_HUMAN_.pdf</v>
      </c>
      <c r="AA631" t="s">
        <v>12112</v>
      </c>
      <c r="AB631" t="s">
        <v>15872</v>
      </c>
    </row>
    <row r="632" spans="1:28" x14ac:dyDescent="0.25">
      <c r="A632" t="s">
        <v>636</v>
      </c>
      <c r="B632">
        <v>0.98876768158843997</v>
      </c>
      <c r="C632">
        <v>0.96284658809540602</v>
      </c>
      <c r="D632">
        <v>0.90366260037721802</v>
      </c>
      <c r="E632">
        <v>0.55122335985316895</v>
      </c>
      <c r="F632">
        <v>0.19069683443250801</v>
      </c>
      <c r="G632">
        <v>6.8081108056649298E-2</v>
      </c>
      <c r="H632">
        <v>3.9672416377408697E-2</v>
      </c>
      <c r="I632">
        <v>3.8966929431072099E-2</v>
      </c>
      <c r="J632">
        <v>4.9309320937057498E-2</v>
      </c>
      <c r="K632">
        <v>4.4684279565752903E-2</v>
      </c>
      <c r="L632">
        <v>1389.06888219447</v>
      </c>
      <c r="M632">
        <v>27.727667328146101</v>
      </c>
      <c r="N632">
        <v>50.239486833718402</v>
      </c>
      <c r="O632">
        <v>49.838446758683602</v>
      </c>
      <c r="P632">
        <v>-0.13382432625862101</v>
      </c>
      <c r="Q632">
        <v>3.7850908887203501E-2</v>
      </c>
      <c r="R632">
        <v>0.99855968834537501</v>
      </c>
      <c r="S632" t="s">
        <v>4464</v>
      </c>
      <c r="T632" t="s">
        <v>7662</v>
      </c>
      <c r="U632" t="s">
        <v>7662</v>
      </c>
      <c r="V632" t="s">
        <v>7662</v>
      </c>
      <c r="W632">
        <v>16</v>
      </c>
      <c r="X632" t="s">
        <v>8294</v>
      </c>
      <c r="Y632">
        <v>0.3686618546872279</v>
      </c>
      <c r="Z632" t="str">
        <f>HYPERLINK("Melting_Curves/meltCurve_sp_P13861_KAP2_HUMAN_.pdf", "Melting_Curves/meltCurve_sp_P13861_KAP2_HUMAN_.pdf")</f>
        <v>Melting_Curves/meltCurve_sp_P13861_KAP2_HUMAN_.pdf</v>
      </c>
      <c r="AA632" t="s">
        <v>12113</v>
      </c>
      <c r="AB632" t="s">
        <v>15873</v>
      </c>
    </row>
    <row r="633" spans="1:28" x14ac:dyDescent="0.25">
      <c r="A633" t="s">
        <v>637</v>
      </c>
      <c r="B633">
        <v>0.98876768158843997</v>
      </c>
      <c r="C633">
        <v>0.96184089071302603</v>
      </c>
      <c r="D633">
        <v>0.92072098584317097</v>
      </c>
      <c r="E633">
        <v>0.89004156776049004</v>
      </c>
      <c r="F633">
        <v>0.73956084191963201</v>
      </c>
      <c r="G633">
        <v>0.36078112629367698</v>
      </c>
      <c r="H633">
        <v>9.2188127987393398E-2</v>
      </c>
      <c r="I633">
        <v>5.2931448320918298E-2</v>
      </c>
      <c r="J633">
        <v>4.5210057927046902E-2</v>
      </c>
      <c r="K633">
        <v>4.5491901206469502E-2</v>
      </c>
      <c r="L633">
        <v>1214.3251879565601</v>
      </c>
      <c r="M633">
        <v>21.973879441883401</v>
      </c>
      <c r="N633">
        <v>55.341680063607299</v>
      </c>
      <c r="O633">
        <v>54.810635296417999</v>
      </c>
      <c r="P633">
        <v>-9.86720079106609E-2</v>
      </c>
      <c r="Q633">
        <v>1.5530391149231401E-2</v>
      </c>
      <c r="R633">
        <v>0.99472798060548595</v>
      </c>
      <c r="S633" t="s">
        <v>4465</v>
      </c>
      <c r="T633" t="s">
        <v>7662</v>
      </c>
      <c r="U633" t="s">
        <v>7662</v>
      </c>
      <c r="V633" t="s">
        <v>7662</v>
      </c>
      <c r="W633">
        <v>21</v>
      </c>
      <c r="X633" t="s">
        <v>8295</v>
      </c>
      <c r="Y633">
        <v>0.52764114436788545</v>
      </c>
      <c r="Z633" t="str">
        <f>HYPERLINK("Melting_Curves/meltCurve_sp_P13929_ENOB_HUMAN_.pdf", "Melting_Curves/meltCurve_sp_P13929_ENOB_HUMAN_.pdf")</f>
        <v>Melting_Curves/meltCurve_sp_P13929_ENOB_HUMAN_.pdf</v>
      </c>
      <c r="AA633" t="s">
        <v>12114</v>
      </c>
      <c r="AB633" t="s">
        <v>15874</v>
      </c>
    </row>
    <row r="634" spans="1:28" x14ac:dyDescent="0.25">
      <c r="A634" t="s">
        <v>638</v>
      </c>
      <c r="B634">
        <v>0.98876768158843997</v>
      </c>
      <c r="C634">
        <v>1.04507107659637</v>
      </c>
      <c r="D634">
        <v>0.92568726186116601</v>
      </c>
      <c r="E634">
        <v>0.78837303005347203</v>
      </c>
      <c r="F634">
        <v>0.657498105993226</v>
      </c>
      <c r="G634">
        <v>0.29315266293500303</v>
      </c>
      <c r="H634">
        <v>0.19629629031769499</v>
      </c>
      <c r="I634">
        <v>0.20334148289005399</v>
      </c>
      <c r="J634">
        <v>0.235120232979805</v>
      </c>
      <c r="K634">
        <v>0.25960770455395399</v>
      </c>
      <c r="L634">
        <v>1210.22813282587</v>
      </c>
      <c r="M634">
        <v>22.8844029706237</v>
      </c>
      <c r="N634">
        <v>54.1419732043938</v>
      </c>
      <c r="O634">
        <v>52.485554459047698</v>
      </c>
      <c r="P634">
        <v>-8.6533931346229595E-2</v>
      </c>
      <c r="Q634">
        <v>0.20615035192457001</v>
      </c>
      <c r="R634">
        <v>0.98407809429086601</v>
      </c>
      <c r="S634" t="s">
        <v>4466</v>
      </c>
      <c r="T634" t="s">
        <v>7662</v>
      </c>
      <c r="U634" t="s">
        <v>7662</v>
      </c>
      <c r="V634" t="s">
        <v>7662</v>
      </c>
      <c r="W634">
        <v>6</v>
      </c>
      <c r="X634" t="s">
        <v>8296</v>
      </c>
      <c r="Y634">
        <v>0.55569859893329321</v>
      </c>
      <c r="Z634" t="str">
        <f>HYPERLINK("Melting_Curves/meltCurve_sp_P13984_T2FB_HUMAN_.pdf", "Melting_Curves/meltCurve_sp_P13984_T2FB_HUMAN_.pdf")</f>
        <v>Melting_Curves/meltCurve_sp_P13984_T2FB_HUMAN_.pdf</v>
      </c>
      <c r="AA634" t="s">
        <v>12115</v>
      </c>
      <c r="AB634" t="s">
        <v>15875</v>
      </c>
    </row>
    <row r="635" spans="1:28" x14ac:dyDescent="0.25">
      <c r="A635" t="s">
        <v>639</v>
      </c>
      <c r="B635">
        <v>0.98876768158843997</v>
      </c>
      <c r="C635">
        <v>1.09768034250652</v>
      </c>
      <c r="D635">
        <v>0.86593279866912098</v>
      </c>
      <c r="E635">
        <v>0.80814675711470096</v>
      </c>
      <c r="F635">
        <v>0.97129134434856101</v>
      </c>
      <c r="G635">
        <v>0.72401971925310404</v>
      </c>
      <c r="H635">
        <v>0.56945156680473097</v>
      </c>
      <c r="I635">
        <v>0.61860902937995998</v>
      </c>
      <c r="J635">
        <v>0.74971947671185202</v>
      </c>
      <c r="K635">
        <v>0.66433522880075002</v>
      </c>
      <c r="L635">
        <v>734.17544331451404</v>
      </c>
      <c r="M635">
        <v>13.817264150362901</v>
      </c>
      <c r="O635">
        <v>52.058768385649302</v>
      </c>
      <c r="P635">
        <v>-2.43186315056035E-2</v>
      </c>
      <c r="Q635">
        <v>0.633553599568908</v>
      </c>
      <c r="R635">
        <v>0.71548257236613799</v>
      </c>
      <c r="S635" t="s">
        <v>4467</v>
      </c>
      <c r="T635" t="s">
        <v>7662</v>
      </c>
      <c r="U635" t="s">
        <v>7662</v>
      </c>
      <c r="V635" t="s">
        <v>7662</v>
      </c>
      <c r="W635">
        <v>4</v>
      </c>
      <c r="X635" t="s">
        <v>8297</v>
      </c>
      <c r="Y635">
        <v>0.80273056493178008</v>
      </c>
      <c r="Z635" t="str">
        <f>HYPERLINK("Melting_Curves/meltCurve_sp_P14174_MIF_HUMAN_.pdf", "Melting_Curves/meltCurve_sp_P14174_MIF_HUMAN_.pdf")</f>
        <v>Melting_Curves/meltCurve_sp_P14174_MIF_HUMAN_.pdf</v>
      </c>
      <c r="AA635" t="s">
        <v>12116</v>
      </c>
      <c r="AB635" t="s">
        <v>15876</v>
      </c>
    </row>
    <row r="636" spans="1:28" x14ac:dyDescent="0.25">
      <c r="A636" t="s">
        <v>640</v>
      </c>
      <c r="B636">
        <v>0.98876768158843997</v>
      </c>
      <c r="C636">
        <v>0.89850163007468198</v>
      </c>
      <c r="D636">
        <v>1.0185860413063901</v>
      </c>
      <c r="E636">
        <v>0.91330354346238496</v>
      </c>
      <c r="F636">
        <v>0.92431519878075297</v>
      </c>
      <c r="G636">
        <v>0.70892862468876605</v>
      </c>
      <c r="H636">
        <v>0.59957890157576899</v>
      </c>
      <c r="I636">
        <v>0.67688032088561201</v>
      </c>
      <c r="J636">
        <v>0.93332365987444099</v>
      </c>
      <c r="K636">
        <v>1.00816124349061</v>
      </c>
      <c r="L636">
        <v>6457.9014189996897</v>
      </c>
      <c r="M636">
        <v>121.244975367969</v>
      </c>
      <c r="O636">
        <v>53.248765824169197</v>
      </c>
      <c r="P636">
        <v>-0.12217188490842899</v>
      </c>
      <c r="Q636">
        <v>0.785376619157091</v>
      </c>
      <c r="R636">
        <v>0.29449914689550899</v>
      </c>
      <c r="S636" t="s">
        <v>4468</v>
      </c>
      <c r="T636" t="s">
        <v>7662</v>
      </c>
      <c r="U636" t="s">
        <v>7662</v>
      </c>
      <c r="V636" t="s">
        <v>7662</v>
      </c>
      <c r="W636">
        <v>16</v>
      </c>
      <c r="X636" t="s">
        <v>8298</v>
      </c>
      <c r="Y636">
        <v>0.88034876127574802</v>
      </c>
      <c r="Z636" t="str">
        <f>HYPERLINK("Melting_Curves/meltCurve_sp_P14314_2_GLU2B_HUMAN_.pdf", "Melting_Curves/meltCurve_sp_P14314_2_GLU2B_HUMAN_.pdf")</f>
        <v>Melting_Curves/meltCurve_sp_P14314_2_GLU2B_HUMAN_.pdf</v>
      </c>
      <c r="AA636" t="s">
        <v>12117</v>
      </c>
      <c r="AB636" t="s">
        <v>15877</v>
      </c>
    </row>
    <row r="637" spans="1:28" x14ac:dyDescent="0.25">
      <c r="A637" t="s">
        <v>641</v>
      </c>
      <c r="B637">
        <v>0.98876768158843997</v>
      </c>
      <c r="C637">
        <v>1.0443741376109501</v>
      </c>
      <c r="D637">
        <v>0.86158301854249697</v>
      </c>
      <c r="E637">
        <v>0.74132516309908203</v>
      </c>
      <c r="F637">
        <v>0.76204109280089805</v>
      </c>
      <c r="G637">
        <v>0.56761021440231396</v>
      </c>
      <c r="H637">
        <v>0.40502873372800702</v>
      </c>
      <c r="I637">
        <v>0.513435776276707</v>
      </c>
      <c r="J637">
        <v>0.538581992172257</v>
      </c>
      <c r="K637">
        <v>0.70921407318706897</v>
      </c>
      <c r="L637">
        <v>871.44504483259504</v>
      </c>
      <c r="M637">
        <v>17.4555359545875</v>
      </c>
      <c r="O637">
        <v>49.282302061731102</v>
      </c>
      <c r="P637">
        <v>-4.0544394716624299E-2</v>
      </c>
      <c r="Q637">
        <v>0.54214871933049502</v>
      </c>
      <c r="R637">
        <v>0.82087994699107303</v>
      </c>
      <c r="S637" t="s">
        <v>4469</v>
      </c>
      <c r="T637" t="s">
        <v>7662</v>
      </c>
      <c r="U637" t="s">
        <v>7662</v>
      </c>
      <c r="V637" t="s">
        <v>7662</v>
      </c>
      <c r="W637">
        <v>9</v>
      </c>
      <c r="X637" t="s">
        <v>8299</v>
      </c>
      <c r="Y637">
        <v>0.70188628553949595</v>
      </c>
      <c r="Z637" t="str">
        <f>HYPERLINK("Melting_Curves/meltCurve_sp_P14317_HCLS1_HUMAN_.pdf", "Melting_Curves/meltCurve_sp_P14317_HCLS1_HUMAN_.pdf")</f>
        <v>Melting_Curves/meltCurve_sp_P14317_HCLS1_HUMAN_.pdf</v>
      </c>
      <c r="AA637" t="s">
        <v>12118</v>
      </c>
      <c r="AB637" t="s">
        <v>15878</v>
      </c>
    </row>
    <row r="638" spans="1:28" x14ac:dyDescent="0.25">
      <c r="A638" t="s">
        <v>642</v>
      </c>
      <c r="B638">
        <v>0.98876768158843997</v>
      </c>
      <c r="C638">
        <v>0.99842125920789504</v>
      </c>
      <c r="D638">
        <v>0.81950382838948899</v>
      </c>
      <c r="E638">
        <v>0.19364194398408999</v>
      </c>
      <c r="F638">
        <v>7.3602549016240706E-2</v>
      </c>
      <c r="G638">
        <v>3.6146852588044502E-2</v>
      </c>
      <c r="H638">
        <v>2.2697906931984198E-2</v>
      </c>
      <c r="I638">
        <v>1.90843226814447E-2</v>
      </c>
      <c r="J638">
        <v>2.8918090833816201E-2</v>
      </c>
      <c r="K638">
        <v>2.2101428150848298E-2</v>
      </c>
      <c r="L638">
        <v>1739.0334387800699</v>
      </c>
      <c r="M638">
        <v>36.327307322384399</v>
      </c>
      <c r="N638">
        <v>47.946739621840003</v>
      </c>
      <c r="O638">
        <v>47.726873961484898</v>
      </c>
      <c r="P638">
        <v>-0.18499999311201501</v>
      </c>
      <c r="Q638">
        <v>2.7789823085405001E-2</v>
      </c>
      <c r="R638">
        <v>0.99953263812975401</v>
      </c>
      <c r="S638" t="s">
        <v>4470</v>
      </c>
      <c r="T638" t="s">
        <v>7662</v>
      </c>
      <c r="U638" t="s">
        <v>7662</v>
      </c>
      <c r="V638" t="s">
        <v>7662</v>
      </c>
      <c r="W638">
        <v>9</v>
      </c>
      <c r="X638" t="s">
        <v>8300</v>
      </c>
      <c r="Y638">
        <v>0.28680366026511289</v>
      </c>
      <c r="Z638" t="str">
        <f>HYPERLINK("Melting_Curves/meltCurve_sp_P14324_2_FPPS_HUMAN_.pdf", "Melting_Curves/meltCurve_sp_P14324_2_FPPS_HUMAN_.pdf")</f>
        <v>Melting_Curves/meltCurve_sp_P14324_2_FPPS_HUMAN_.pdf</v>
      </c>
      <c r="AA638" t="s">
        <v>12119</v>
      </c>
      <c r="AB638" t="s">
        <v>15879</v>
      </c>
    </row>
    <row r="639" spans="1:28" x14ac:dyDescent="0.25">
      <c r="A639" t="s">
        <v>643</v>
      </c>
      <c r="B639">
        <v>0.98876768158843997</v>
      </c>
      <c r="C639">
        <v>1.1018398741861799</v>
      </c>
      <c r="D639">
        <v>0.81663058618748896</v>
      </c>
      <c r="E639">
        <v>0.57305635989278803</v>
      </c>
      <c r="F639">
        <v>0.116236953205171</v>
      </c>
      <c r="G639">
        <v>6.6480426178231203E-2</v>
      </c>
      <c r="H639">
        <v>3.4986879994495297E-2</v>
      </c>
      <c r="I639">
        <v>2.8158584175535899E-2</v>
      </c>
      <c r="J639">
        <v>3.4410341335957197E-2</v>
      </c>
      <c r="K639">
        <v>2.59438664175335E-2</v>
      </c>
      <c r="L639">
        <v>1403.4685265278799</v>
      </c>
      <c r="M639">
        <v>28.0826547164753</v>
      </c>
      <c r="N639">
        <v>50.0615643492348</v>
      </c>
      <c r="O639">
        <v>49.724988096719699</v>
      </c>
      <c r="P639">
        <v>-0.137895782081631</v>
      </c>
      <c r="Q639">
        <v>2.3339063978027801E-2</v>
      </c>
      <c r="R639">
        <v>0.98148518269353102</v>
      </c>
      <c r="S639" t="s">
        <v>4471</v>
      </c>
      <c r="T639" t="s">
        <v>7662</v>
      </c>
      <c r="U639" t="s">
        <v>7662</v>
      </c>
      <c r="V639" t="s">
        <v>7662</v>
      </c>
      <c r="W639">
        <v>22</v>
      </c>
      <c r="X639" t="s">
        <v>8301</v>
      </c>
      <c r="Y639">
        <v>0.35502455493138058</v>
      </c>
      <c r="Z639" t="str">
        <f>HYPERLINK("Melting_Curves/meltCurve_sp_P14550_AK1A1_HUMAN_.pdf", "Melting_Curves/meltCurve_sp_P14550_AK1A1_HUMAN_.pdf")</f>
        <v>Melting_Curves/meltCurve_sp_P14550_AK1A1_HUMAN_.pdf</v>
      </c>
      <c r="AA639" t="s">
        <v>12120</v>
      </c>
      <c r="AB639" t="s">
        <v>15880</v>
      </c>
    </row>
    <row r="640" spans="1:28" x14ac:dyDescent="0.25">
      <c r="A640" t="s">
        <v>644</v>
      </c>
      <c r="B640">
        <v>0.98876768158843997</v>
      </c>
      <c r="C640">
        <v>0.75734748938200303</v>
      </c>
      <c r="D640">
        <v>0.648878521968418</v>
      </c>
      <c r="E640">
        <v>0.44879088146342599</v>
      </c>
      <c r="F640">
        <v>0.30186872112732099</v>
      </c>
      <c r="G640">
        <v>0.22124598229081299</v>
      </c>
      <c r="H640">
        <v>6.3039244178571999E-2</v>
      </c>
      <c r="I640">
        <v>2.9660908338479199E-2</v>
      </c>
      <c r="J640">
        <v>2.3585579465551499E-2</v>
      </c>
      <c r="K640">
        <v>2.1431970303723801E-2</v>
      </c>
      <c r="L640">
        <v>539.320328459503</v>
      </c>
      <c r="M640">
        <v>11.0592662574131</v>
      </c>
      <c r="N640">
        <v>48.766366971333298</v>
      </c>
      <c r="O640">
        <v>47.253312581430897</v>
      </c>
      <c r="P640">
        <v>-5.8529870309556101E-2</v>
      </c>
      <c r="Q640">
        <v>0</v>
      </c>
      <c r="R640">
        <v>0.98588953432634496</v>
      </c>
      <c r="S640" t="s">
        <v>4472</v>
      </c>
      <c r="T640" t="s">
        <v>7662</v>
      </c>
      <c r="U640" t="s">
        <v>7662</v>
      </c>
      <c r="V640" t="s">
        <v>7662</v>
      </c>
      <c r="W640">
        <v>10</v>
      </c>
      <c r="X640" t="s">
        <v>8302</v>
      </c>
      <c r="Y640">
        <v>0.33486358516101489</v>
      </c>
      <c r="Z640" t="str">
        <f>HYPERLINK("Melting_Curves/meltCurve_sp_P14618_KPYM_HUMAN_.pdf", "Melting_Curves/meltCurve_sp_P14618_KPYM_HUMAN_.pdf")</f>
        <v>Melting_Curves/meltCurve_sp_P14618_KPYM_HUMAN_.pdf</v>
      </c>
      <c r="AA640" t="s">
        <v>12121</v>
      </c>
      <c r="AB640" t="s">
        <v>15881</v>
      </c>
    </row>
    <row r="641" spans="1:28" x14ac:dyDescent="0.25">
      <c r="A641" t="s">
        <v>645</v>
      </c>
      <c r="B641">
        <v>0.98876768158843997</v>
      </c>
      <c r="C641">
        <v>1.3017638804713301</v>
      </c>
      <c r="D641">
        <v>0.90075226170273803</v>
      </c>
      <c r="E641">
        <v>0.87810075037908997</v>
      </c>
      <c r="F641">
        <v>1.1025154781306801</v>
      </c>
      <c r="G641">
        <v>0.67632656003890002</v>
      </c>
      <c r="H641">
        <v>0.36745450754560599</v>
      </c>
      <c r="I641">
        <v>0.31860121745140701</v>
      </c>
      <c r="J641">
        <v>0.33170320905227801</v>
      </c>
      <c r="K641">
        <v>0.40459725526253598</v>
      </c>
      <c r="L641">
        <v>13516.0205946195</v>
      </c>
      <c r="M641">
        <v>237.13228014872399</v>
      </c>
      <c r="N641">
        <v>57.2978986276919</v>
      </c>
      <c r="O641">
        <v>56.993755771472998</v>
      </c>
      <c r="P641">
        <v>-0.67029556036039695</v>
      </c>
      <c r="Q641">
        <v>0.355589017847461</v>
      </c>
      <c r="R641">
        <v>0.88635670805029299</v>
      </c>
      <c r="S641" t="s">
        <v>4473</v>
      </c>
      <c r="T641" t="s">
        <v>7662</v>
      </c>
      <c r="U641" t="s">
        <v>7662</v>
      </c>
      <c r="V641" t="s">
        <v>7662</v>
      </c>
      <c r="W641">
        <v>7</v>
      </c>
      <c r="X641" t="s">
        <v>8303</v>
      </c>
      <c r="Y641">
        <v>0.72077984210512203</v>
      </c>
      <c r="Z641" t="str">
        <f>HYPERLINK("Melting_Curves/meltCurve_sp_P14621_ACYP2_HUMAN_.pdf", "Melting_Curves/meltCurve_sp_P14621_ACYP2_HUMAN_.pdf")</f>
        <v>Melting_Curves/meltCurve_sp_P14621_ACYP2_HUMAN_.pdf</v>
      </c>
      <c r="AA641" t="s">
        <v>12122</v>
      </c>
      <c r="AB641" t="s">
        <v>15882</v>
      </c>
    </row>
    <row r="642" spans="1:28" x14ac:dyDescent="0.25">
      <c r="A642" t="s">
        <v>646</v>
      </c>
      <c r="B642">
        <v>0.98876768158843997</v>
      </c>
      <c r="C642">
        <v>0.91554498474325097</v>
      </c>
      <c r="D642">
        <v>1.05021839244767</v>
      </c>
      <c r="E642">
        <v>0.97314906900709797</v>
      </c>
      <c r="F642">
        <v>0.41810481625950602</v>
      </c>
      <c r="G642">
        <v>0.14845702343151901</v>
      </c>
      <c r="H642">
        <v>6.6497370345159401E-2</v>
      </c>
      <c r="I642">
        <v>4.71877594233511E-2</v>
      </c>
      <c r="J642">
        <v>4.9914081560445703E-2</v>
      </c>
      <c r="K642">
        <v>4.2234941125763897E-2</v>
      </c>
      <c r="L642">
        <v>3050.93907803611</v>
      </c>
      <c r="M642">
        <v>58.0417981294637</v>
      </c>
      <c r="N642">
        <v>52.697143263804797</v>
      </c>
      <c r="O642">
        <v>52.502227709648302</v>
      </c>
      <c r="P642">
        <v>-0.25759428392495698</v>
      </c>
      <c r="Q642">
        <v>6.7963581483715799E-2</v>
      </c>
      <c r="R642">
        <v>0.99111358579118702</v>
      </c>
      <c r="S642" t="s">
        <v>4474</v>
      </c>
      <c r="T642" t="s">
        <v>7662</v>
      </c>
      <c r="U642" t="s">
        <v>7662</v>
      </c>
      <c r="V642" t="s">
        <v>7662</v>
      </c>
      <c r="W642">
        <v>47</v>
      </c>
      <c r="X642" t="s">
        <v>8304</v>
      </c>
      <c r="Y642">
        <v>0.45991784862723928</v>
      </c>
      <c r="Z642" t="str">
        <f>HYPERLINK("Melting_Curves/meltCurve_sp_P14625_ENPL_HUMAN_.pdf", "Melting_Curves/meltCurve_sp_P14625_ENPL_HUMAN_.pdf")</f>
        <v>Melting_Curves/meltCurve_sp_P14625_ENPL_HUMAN_.pdf</v>
      </c>
      <c r="AA642" t="s">
        <v>12123</v>
      </c>
      <c r="AB642" t="s">
        <v>15883</v>
      </c>
    </row>
    <row r="643" spans="1:28" x14ac:dyDescent="0.25">
      <c r="A643" t="s">
        <v>647</v>
      </c>
      <c r="B643">
        <v>0.98876768158843997</v>
      </c>
      <c r="C643">
        <v>0.88801080165451995</v>
      </c>
      <c r="D643">
        <v>1.03938814788282</v>
      </c>
      <c r="E643">
        <v>0.83636995564834504</v>
      </c>
      <c r="F643">
        <v>0.42095241310965098</v>
      </c>
      <c r="G643">
        <v>0.21546585780991101</v>
      </c>
      <c r="H643">
        <v>0.11198184462588499</v>
      </c>
      <c r="I643">
        <v>9.0502973983900295E-2</v>
      </c>
      <c r="J643">
        <v>0.11063186766628801</v>
      </c>
      <c r="K643">
        <v>7.3310301408061704E-2</v>
      </c>
      <c r="L643">
        <v>1647.9370835234099</v>
      </c>
      <c r="M643">
        <v>31.565899293657001</v>
      </c>
      <c r="N643">
        <v>52.589414127696102</v>
      </c>
      <c r="O643">
        <v>51.998067335421801</v>
      </c>
      <c r="P643">
        <v>-0.13617480985054101</v>
      </c>
      <c r="Q643">
        <v>0.10272943455898501</v>
      </c>
      <c r="R643">
        <v>0.98683685009834499</v>
      </c>
      <c r="S643" t="s">
        <v>4475</v>
      </c>
      <c r="T643" t="s">
        <v>7662</v>
      </c>
      <c r="U643" t="s">
        <v>7662</v>
      </c>
      <c r="V643" t="s">
        <v>7662</v>
      </c>
      <c r="W643">
        <v>30</v>
      </c>
      <c r="X643" t="s">
        <v>8305</v>
      </c>
      <c r="Y643">
        <v>0.47300541820997111</v>
      </c>
      <c r="Z643" t="str">
        <f>HYPERLINK("Melting_Curves/meltCurve_sp_P14735_IDE_HUMAN_.pdf", "Melting_Curves/meltCurve_sp_P14735_IDE_HUMAN_.pdf")</f>
        <v>Melting_Curves/meltCurve_sp_P14735_IDE_HUMAN_.pdf</v>
      </c>
      <c r="AA643" t="s">
        <v>12124</v>
      </c>
      <c r="AB643" t="s">
        <v>15884</v>
      </c>
    </row>
    <row r="644" spans="1:28" x14ac:dyDescent="0.25">
      <c r="A644" t="s">
        <v>648</v>
      </c>
      <c r="B644">
        <v>0.98876768158843997</v>
      </c>
      <c r="C644">
        <v>1.05162153620176</v>
      </c>
      <c r="D644">
        <v>0.91443984046986004</v>
      </c>
      <c r="E644">
        <v>0.64441325078905298</v>
      </c>
      <c r="F644">
        <v>0.80243761401696301</v>
      </c>
      <c r="G644">
        <v>0.57209219009123502</v>
      </c>
      <c r="H644">
        <v>0.28494595362321001</v>
      </c>
      <c r="I644">
        <v>0.42421067336470702</v>
      </c>
      <c r="J644">
        <v>0.58300582554331803</v>
      </c>
      <c r="K644">
        <v>0.60027215031363801</v>
      </c>
      <c r="L644">
        <v>857.89342139338601</v>
      </c>
      <c r="M644">
        <v>16.9921009533034</v>
      </c>
      <c r="N644">
        <v>62.997463415730898</v>
      </c>
      <c r="O644">
        <v>49.804071938852502</v>
      </c>
      <c r="P644">
        <v>-4.4110588884733501E-2</v>
      </c>
      <c r="Q644">
        <v>0.48287719194040002</v>
      </c>
      <c r="R644">
        <v>0.77801183620730296</v>
      </c>
      <c r="S644" t="s">
        <v>4476</v>
      </c>
      <c r="T644" t="s">
        <v>7662</v>
      </c>
      <c r="U644" t="s">
        <v>7662</v>
      </c>
      <c r="V644" t="s">
        <v>7662</v>
      </c>
      <c r="W644">
        <v>6</v>
      </c>
      <c r="X644" t="s">
        <v>8306</v>
      </c>
      <c r="Y644">
        <v>0.67340180924461568</v>
      </c>
      <c r="Z644" t="str">
        <f>HYPERLINK("Melting_Curves/meltCurve_sp_P14854_CX6B1_HUMAN_.pdf", "Melting_Curves/meltCurve_sp_P14854_CX6B1_HUMAN_.pdf")</f>
        <v>Melting_Curves/meltCurve_sp_P14854_CX6B1_HUMAN_.pdf</v>
      </c>
      <c r="AA644" t="s">
        <v>12125</v>
      </c>
      <c r="AB644" t="s">
        <v>15885</v>
      </c>
    </row>
    <row r="645" spans="1:28" x14ac:dyDescent="0.25">
      <c r="A645" t="s">
        <v>649</v>
      </c>
      <c r="B645">
        <v>0.98876768158843997</v>
      </c>
      <c r="C645">
        <v>1.0068787619045001</v>
      </c>
      <c r="D645">
        <v>0.86929847967759299</v>
      </c>
      <c r="E645">
        <v>0.394507694494939</v>
      </c>
      <c r="F645">
        <v>0.22032743180111899</v>
      </c>
      <c r="G645">
        <v>0.134639271692374</v>
      </c>
      <c r="H645">
        <v>7.7457922867928006E-2</v>
      </c>
      <c r="I645">
        <v>7.3080063111571697E-2</v>
      </c>
      <c r="J645">
        <v>8.5824992625408797E-2</v>
      </c>
      <c r="K645">
        <v>8.9349526265610393E-2</v>
      </c>
      <c r="L645">
        <v>1310.7035157871101</v>
      </c>
      <c r="M645">
        <v>26.790966373007901</v>
      </c>
      <c r="N645">
        <v>49.284596271506999</v>
      </c>
      <c r="O645">
        <v>48.6532083864182</v>
      </c>
      <c r="P645">
        <v>-0.12539172608749599</v>
      </c>
      <c r="Q645">
        <v>8.9148772955527006E-2</v>
      </c>
      <c r="R645">
        <v>0.99759714209998795</v>
      </c>
      <c r="S645" t="s">
        <v>4477</v>
      </c>
      <c r="T645" t="s">
        <v>7662</v>
      </c>
      <c r="U645" t="s">
        <v>7662</v>
      </c>
      <c r="V645" t="s">
        <v>7662</v>
      </c>
      <c r="W645">
        <v>7</v>
      </c>
      <c r="X645" t="s">
        <v>8307</v>
      </c>
      <c r="Y645">
        <v>0.36707068095305129</v>
      </c>
      <c r="Z645" t="str">
        <f>HYPERLINK("Melting_Curves/meltCurve_sp_P14866_HNRPL_HUMAN_.pdf", "Melting_Curves/meltCurve_sp_P14866_HNRPL_HUMAN_.pdf")</f>
        <v>Melting_Curves/meltCurve_sp_P14866_HNRPL_HUMAN_.pdf</v>
      </c>
      <c r="AA645" t="s">
        <v>12126</v>
      </c>
      <c r="AB645" t="s">
        <v>15886</v>
      </c>
    </row>
    <row r="646" spans="1:28" x14ac:dyDescent="0.25">
      <c r="A646" t="s">
        <v>650</v>
      </c>
      <c r="B646">
        <v>0.98876768158843997</v>
      </c>
      <c r="C646">
        <v>0.90272004314271503</v>
      </c>
      <c r="D646">
        <v>0.65304265479263002</v>
      </c>
      <c r="E646">
        <v>0.336958053258329</v>
      </c>
      <c r="F646">
        <v>0.20486855997758299</v>
      </c>
      <c r="G646">
        <v>0.114932407513975</v>
      </c>
      <c r="H646">
        <v>6.1036831361921902E-2</v>
      </c>
      <c r="I646">
        <v>4.69633320367083E-2</v>
      </c>
      <c r="J646">
        <v>5.1748952318595901E-2</v>
      </c>
      <c r="K646">
        <v>4.17438910548385E-2</v>
      </c>
      <c r="L646">
        <v>829.72018636668497</v>
      </c>
      <c r="M646">
        <v>17.386982430031502</v>
      </c>
      <c r="N646">
        <v>47.982531663973603</v>
      </c>
      <c r="O646">
        <v>47.102929079092</v>
      </c>
      <c r="P646">
        <v>-8.8111393868654006E-2</v>
      </c>
      <c r="Q646">
        <v>4.5246633853795501E-2</v>
      </c>
      <c r="R646">
        <v>0.99837776765736197</v>
      </c>
      <c r="S646" t="s">
        <v>4478</v>
      </c>
      <c r="T646" t="s">
        <v>7662</v>
      </c>
      <c r="U646" t="s">
        <v>7662</v>
      </c>
      <c r="V646" t="s">
        <v>7662</v>
      </c>
      <c r="W646">
        <v>24</v>
      </c>
      <c r="X646" t="s">
        <v>8308</v>
      </c>
      <c r="Y646">
        <v>0.30934963446882402</v>
      </c>
      <c r="Z646" t="str">
        <f>HYPERLINK("Melting_Curves/meltCurve_sp_P14868_SYDC_HUMAN_.pdf", "Melting_Curves/meltCurve_sp_P14868_SYDC_HUMAN_.pdf")</f>
        <v>Melting_Curves/meltCurve_sp_P14868_SYDC_HUMAN_.pdf</v>
      </c>
      <c r="AA646" t="s">
        <v>12127</v>
      </c>
      <c r="AB646" t="s">
        <v>15887</v>
      </c>
    </row>
    <row r="647" spans="1:28" x14ac:dyDescent="0.25">
      <c r="A647" t="s">
        <v>651</v>
      </c>
      <c r="B647">
        <v>0.98876768158843997</v>
      </c>
      <c r="C647">
        <v>0.97458274305366899</v>
      </c>
      <c r="D647">
        <v>0.86037622987143103</v>
      </c>
      <c r="E647">
        <v>0.80192118623847597</v>
      </c>
      <c r="F647">
        <v>0.79199758722212099</v>
      </c>
      <c r="G647">
        <v>0.59127124388137398</v>
      </c>
      <c r="H647">
        <v>0.49515626752230302</v>
      </c>
      <c r="I647">
        <v>0.51475521047519401</v>
      </c>
      <c r="J647">
        <v>0.55226578359447798</v>
      </c>
      <c r="K647">
        <v>0.56042738907135004</v>
      </c>
      <c r="L647">
        <v>648.67959508882404</v>
      </c>
      <c r="M647">
        <v>12.526216919345799</v>
      </c>
      <c r="O647">
        <v>50.519065344402101</v>
      </c>
      <c r="P647">
        <v>-3.1136948749531799E-2</v>
      </c>
      <c r="Q647">
        <v>0.49779296491025599</v>
      </c>
      <c r="R647">
        <v>0.94583898313817105</v>
      </c>
      <c r="S647" t="s">
        <v>4479</v>
      </c>
      <c r="T647" t="s">
        <v>7662</v>
      </c>
      <c r="U647" t="s">
        <v>7662</v>
      </c>
      <c r="V647" t="s">
        <v>7662</v>
      </c>
      <c r="W647">
        <v>9</v>
      </c>
      <c r="X647" t="s">
        <v>8309</v>
      </c>
      <c r="Y647">
        <v>0.70980684838341257</v>
      </c>
      <c r="Z647" t="str">
        <f>HYPERLINK("Melting_Curves/meltCurve_sp_P14920_OXDA_HUMAN_.pdf", "Melting_Curves/meltCurve_sp_P14920_OXDA_HUMAN_.pdf")</f>
        <v>Melting_Curves/meltCurve_sp_P14920_OXDA_HUMAN_.pdf</v>
      </c>
      <c r="AA647" t="s">
        <v>12128</v>
      </c>
      <c r="AB647" t="s">
        <v>15888</v>
      </c>
    </row>
    <row r="648" spans="1:28" x14ac:dyDescent="0.25">
      <c r="A648" t="s">
        <v>652</v>
      </c>
      <c r="B648">
        <v>0.98876768158843997</v>
      </c>
      <c r="C648">
        <v>1.0338916001965099</v>
      </c>
      <c r="D648">
        <v>0.93471577585618304</v>
      </c>
      <c r="E648">
        <v>0.72857378859469601</v>
      </c>
      <c r="F648">
        <v>0.629894573466101</v>
      </c>
      <c r="G648">
        <v>0.36476393362165799</v>
      </c>
      <c r="H648">
        <v>0.16257178286849699</v>
      </c>
      <c r="I648">
        <v>0.107428339651911</v>
      </c>
      <c r="J648">
        <v>0.121577495712753</v>
      </c>
      <c r="K648">
        <v>0.10412599705804999</v>
      </c>
      <c r="L648">
        <v>817.17529130955802</v>
      </c>
      <c r="M648">
        <v>15.1484592145564</v>
      </c>
      <c r="N648">
        <v>54.373046447727198</v>
      </c>
      <c r="O648">
        <v>53.030576854376001</v>
      </c>
      <c r="P648">
        <v>-6.7401461470410803E-2</v>
      </c>
      <c r="Q648">
        <v>5.6276040714356303E-2</v>
      </c>
      <c r="R648">
        <v>0.992679026693989</v>
      </c>
      <c r="S648" t="s">
        <v>4480</v>
      </c>
      <c r="T648" t="s">
        <v>7662</v>
      </c>
      <c r="U648" t="s">
        <v>7662</v>
      </c>
      <c r="V648" t="s">
        <v>7662</v>
      </c>
      <c r="W648">
        <v>16</v>
      </c>
      <c r="X648" t="s">
        <v>8310</v>
      </c>
      <c r="Y648">
        <v>0.51411499171164077</v>
      </c>
      <c r="Z648" t="str">
        <f>HYPERLINK("Melting_Curves/meltCurve_sp_P14923_PLAK_HUMAN_.pdf", "Melting_Curves/meltCurve_sp_P14923_PLAK_HUMAN_.pdf")</f>
        <v>Melting_Curves/meltCurve_sp_P14923_PLAK_HUMAN_.pdf</v>
      </c>
      <c r="AA648" t="s">
        <v>12129</v>
      </c>
      <c r="AB648" t="s">
        <v>15889</v>
      </c>
    </row>
    <row r="649" spans="1:28" x14ac:dyDescent="0.25">
      <c r="A649" t="s">
        <v>653</v>
      </c>
      <c r="B649">
        <v>0.98876768158843997</v>
      </c>
      <c r="C649">
        <v>0.95763934518003302</v>
      </c>
      <c r="D649">
        <v>1.0893055691032301</v>
      </c>
      <c r="E649">
        <v>0.96340959235458801</v>
      </c>
      <c r="F649">
        <v>0.53664883909441496</v>
      </c>
      <c r="G649">
        <v>0.32163270163348301</v>
      </c>
      <c r="H649">
        <v>0.100386678992801</v>
      </c>
      <c r="I649">
        <v>8.5659839188910195E-2</v>
      </c>
      <c r="J649">
        <v>0.21545271288524501</v>
      </c>
      <c r="K649">
        <v>9.4380839628963598E-2</v>
      </c>
      <c r="L649">
        <v>1665.62601491491</v>
      </c>
      <c r="M649">
        <v>31.283253938159799</v>
      </c>
      <c r="N649">
        <v>53.777808382436902</v>
      </c>
      <c r="O649">
        <v>53.027224421165897</v>
      </c>
      <c r="P649">
        <v>-0.127783360830799</v>
      </c>
      <c r="Q649">
        <v>0.133599134896039</v>
      </c>
      <c r="R649">
        <v>0.97498881906615098</v>
      </c>
      <c r="S649" t="s">
        <v>4481</v>
      </c>
      <c r="T649" t="s">
        <v>7662</v>
      </c>
      <c r="U649" t="s">
        <v>7662</v>
      </c>
      <c r="V649" t="s">
        <v>7662</v>
      </c>
      <c r="W649">
        <v>8</v>
      </c>
      <c r="X649" t="s">
        <v>8311</v>
      </c>
      <c r="Y649">
        <v>0.52126149522981735</v>
      </c>
      <c r="Z649" t="str">
        <f>HYPERLINK("Melting_Curves/meltCurve_sp_P15104_GLNA_HUMAN_.pdf", "Melting_Curves/meltCurve_sp_P15104_GLNA_HUMAN_.pdf")</f>
        <v>Melting_Curves/meltCurve_sp_P15104_GLNA_HUMAN_.pdf</v>
      </c>
      <c r="AA649" t="s">
        <v>12130</v>
      </c>
      <c r="AB649" t="s">
        <v>15890</v>
      </c>
    </row>
    <row r="650" spans="1:28" x14ac:dyDescent="0.25">
      <c r="A650" t="s">
        <v>654</v>
      </c>
      <c r="B650">
        <v>0.98876768158843997</v>
      </c>
      <c r="C650">
        <v>1.1013769828164199</v>
      </c>
      <c r="D650">
        <v>0.87050435592272002</v>
      </c>
      <c r="E650">
        <v>0.77970795033139495</v>
      </c>
      <c r="F650">
        <v>0.66871531196560596</v>
      </c>
      <c r="G650">
        <v>0.20317135266771</v>
      </c>
      <c r="H650">
        <v>0.125084321763755</v>
      </c>
      <c r="I650">
        <v>0.104206965339038</v>
      </c>
      <c r="J650">
        <v>0.115484300747713</v>
      </c>
      <c r="K650">
        <v>8.9665455007176903E-2</v>
      </c>
      <c r="L650">
        <v>1146.99712921839</v>
      </c>
      <c r="M650">
        <v>21.448244581333601</v>
      </c>
      <c r="N650">
        <v>53.891317608774699</v>
      </c>
      <c r="O650">
        <v>53.019072247550497</v>
      </c>
      <c r="P650">
        <v>-9.3457242904954496E-2</v>
      </c>
      <c r="Q650">
        <v>7.5934850068434104E-2</v>
      </c>
      <c r="R650">
        <v>0.975944126064342</v>
      </c>
      <c r="S650" t="s">
        <v>4482</v>
      </c>
      <c r="T650" t="s">
        <v>7662</v>
      </c>
      <c r="U650" t="s">
        <v>7662</v>
      </c>
      <c r="V650" t="s">
        <v>7662</v>
      </c>
      <c r="W650">
        <v>5</v>
      </c>
      <c r="X650" t="s">
        <v>8312</v>
      </c>
      <c r="Y650">
        <v>0.50230286759239695</v>
      </c>
      <c r="Z650" t="str">
        <f>HYPERLINK("Melting_Curves/meltCurve_sp_P15121_ALDR_HUMAN_.pdf", "Melting_Curves/meltCurve_sp_P15121_ALDR_HUMAN_.pdf")</f>
        <v>Melting_Curves/meltCurve_sp_P15121_ALDR_HUMAN_.pdf</v>
      </c>
      <c r="AA650" t="s">
        <v>12131</v>
      </c>
      <c r="AB650" t="s">
        <v>15891</v>
      </c>
    </row>
    <row r="651" spans="1:28" x14ac:dyDescent="0.25">
      <c r="A651" t="s">
        <v>655</v>
      </c>
      <c r="B651">
        <v>0.98876768158843997</v>
      </c>
      <c r="C651">
        <v>0.80973988184164902</v>
      </c>
      <c r="D651">
        <v>1.05289462390897</v>
      </c>
      <c r="E651">
        <v>0.77360606138133103</v>
      </c>
      <c r="F651">
        <v>0.60545375218497899</v>
      </c>
      <c r="G651">
        <v>0.46961288479771501</v>
      </c>
      <c r="H651">
        <v>0.409865379687682</v>
      </c>
      <c r="I651">
        <v>0.41787132372222302</v>
      </c>
      <c r="J651">
        <v>0.32225301382294302</v>
      </c>
      <c r="K651">
        <v>0.35765460473091198</v>
      </c>
      <c r="L651">
        <v>960.82738757120399</v>
      </c>
      <c r="M651">
        <v>18.4999069264565</v>
      </c>
      <c r="N651">
        <v>55.7260670173984</v>
      </c>
      <c r="O651">
        <v>51.3414305510764</v>
      </c>
      <c r="P651">
        <v>-5.7846508345263101E-2</v>
      </c>
      <c r="Q651">
        <v>0.357879804493278</v>
      </c>
      <c r="R651">
        <v>0.92676363439392795</v>
      </c>
      <c r="S651" t="s">
        <v>4483</v>
      </c>
      <c r="T651" t="s">
        <v>7662</v>
      </c>
      <c r="U651" t="s">
        <v>7662</v>
      </c>
      <c r="V651" t="s">
        <v>7662</v>
      </c>
      <c r="W651">
        <v>5</v>
      </c>
      <c r="X651" t="s">
        <v>8313</v>
      </c>
      <c r="Y651">
        <v>0.62357815403998396</v>
      </c>
      <c r="Z651" t="str">
        <f>HYPERLINK("Melting_Curves/meltCurve_sp_P15144_AMPN_HUMAN_.pdf", "Melting_Curves/meltCurve_sp_P15144_AMPN_HUMAN_.pdf")</f>
        <v>Melting_Curves/meltCurve_sp_P15144_AMPN_HUMAN_.pdf</v>
      </c>
      <c r="AA651" t="s">
        <v>12132</v>
      </c>
      <c r="AB651" t="s">
        <v>15892</v>
      </c>
    </row>
    <row r="652" spans="1:28" x14ac:dyDescent="0.25">
      <c r="A652" t="s">
        <v>656</v>
      </c>
      <c r="B652">
        <v>0.98876768158843997</v>
      </c>
      <c r="C652">
        <v>1.0265222190640499</v>
      </c>
      <c r="D652">
        <v>0.87374874745207698</v>
      </c>
      <c r="E652">
        <v>0.65896110013500198</v>
      </c>
      <c r="F652">
        <v>0.43173938709971299</v>
      </c>
      <c r="G652">
        <v>0.185523990898569</v>
      </c>
      <c r="H652">
        <v>9.9029133966601707E-2</v>
      </c>
      <c r="I652">
        <v>9.1359637933332197E-2</v>
      </c>
      <c r="J652">
        <v>0.110743742540215</v>
      </c>
      <c r="K652">
        <v>0.10554954344801</v>
      </c>
      <c r="L652">
        <v>980.66889994539702</v>
      </c>
      <c r="M652">
        <v>19.089139325453601</v>
      </c>
      <c r="N652">
        <v>51.854605972898497</v>
      </c>
      <c r="O652">
        <v>50.819309375536903</v>
      </c>
      <c r="P652">
        <v>-8.6284072161549194E-2</v>
      </c>
      <c r="Q652">
        <v>8.1210447768238894E-2</v>
      </c>
      <c r="R652">
        <v>0.99580461905309103</v>
      </c>
      <c r="S652" t="s">
        <v>4484</v>
      </c>
      <c r="T652" t="s">
        <v>7662</v>
      </c>
      <c r="U652" t="s">
        <v>7662</v>
      </c>
      <c r="V652" t="s">
        <v>7662</v>
      </c>
      <c r="W652">
        <v>20</v>
      </c>
      <c r="X652" t="s">
        <v>8314</v>
      </c>
      <c r="Y652">
        <v>0.44340225195629868</v>
      </c>
      <c r="Z652" t="str">
        <f>HYPERLINK("Melting_Curves/meltCurve_sp_P15170_2_ERF3A_HUMAN_.pdf", "Melting_Curves/meltCurve_sp_P15170_2_ERF3A_HUMAN_.pdf")</f>
        <v>Melting_Curves/meltCurve_sp_P15170_2_ERF3A_HUMAN_.pdf</v>
      </c>
      <c r="AA652" t="s">
        <v>12133</v>
      </c>
      <c r="AB652" t="s">
        <v>15893</v>
      </c>
    </row>
    <row r="653" spans="1:28" x14ac:dyDescent="0.25">
      <c r="A653" t="s">
        <v>657</v>
      </c>
      <c r="B653">
        <v>0.98876768158843997</v>
      </c>
      <c r="C653">
        <v>0.892270605500602</v>
      </c>
      <c r="D653">
        <v>0.917161368713036</v>
      </c>
      <c r="E653">
        <v>0.65185776850226196</v>
      </c>
      <c r="F653">
        <v>0.50098135905363195</v>
      </c>
      <c r="G653">
        <v>0.37331631383644498</v>
      </c>
      <c r="H653">
        <v>0.20101117723384199</v>
      </c>
      <c r="I653">
        <v>0.275367931574451</v>
      </c>
      <c r="J653">
        <v>0.24677016599452001</v>
      </c>
      <c r="K653">
        <v>0.18127198259480101</v>
      </c>
      <c r="L653">
        <v>731.26532735422097</v>
      </c>
      <c r="M653">
        <v>14.257625202740799</v>
      </c>
      <c r="N653">
        <v>53.067103655588397</v>
      </c>
      <c r="O653">
        <v>50.312082718992102</v>
      </c>
      <c r="P653">
        <v>-5.7401564554666502E-2</v>
      </c>
      <c r="Q653">
        <v>0.189868954335704</v>
      </c>
      <c r="R653">
        <v>0.98404869552207996</v>
      </c>
      <c r="S653" t="s">
        <v>4485</v>
      </c>
      <c r="T653" t="s">
        <v>7662</v>
      </c>
      <c r="U653" t="s">
        <v>7662</v>
      </c>
      <c r="V653" t="s">
        <v>7662</v>
      </c>
      <c r="W653">
        <v>10</v>
      </c>
      <c r="X653" t="s">
        <v>8315</v>
      </c>
      <c r="Y653">
        <v>0.5148414375778807</v>
      </c>
      <c r="Z653" t="str">
        <f>HYPERLINK("Melting_Curves/meltCurve_sp_P15289_2_ARSA_HUMAN_.pdf", "Melting_Curves/meltCurve_sp_P15289_2_ARSA_HUMAN_.pdf")</f>
        <v>Melting_Curves/meltCurve_sp_P15289_2_ARSA_HUMAN_.pdf</v>
      </c>
      <c r="AA653" t="s">
        <v>12134</v>
      </c>
      <c r="AB653" t="s">
        <v>15894</v>
      </c>
    </row>
    <row r="654" spans="1:28" x14ac:dyDescent="0.25">
      <c r="A654" t="s">
        <v>658</v>
      </c>
      <c r="B654">
        <v>0.98876768158843997</v>
      </c>
      <c r="C654">
        <v>0.94695405383625797</v>
      </c>
      <c r="D654">
        <v>0.89064624516566504</v>
      </c>
      <c r="E654">
        <v>0.84973588116561505</v>
      </c>
      <c r="F654">
        <v>0.68131700369883696</v>
      </c>
      <c r="G654">
        <v>0.47060295206302399</v>
      </c>
      <c r="H654">
        <v>0.40252251846426601</v>
      </c>
      <c r="I654">
        <v>0.49963648821079398</v>
      </c>
      <c r="J654">
        <v>0.49797038377533398</v>
      </c>
      <c r="K654">
        <v>0.28476421943166402</v>
      </c>
      <c r="L654">
        <v>790.19820685180798</v>
      </c>
      <c r="M654">
        <v>15.039474721958801</v>
      </c>
      <c r="N654">
        <v>57.9820536644852</v>
      </c>
      <c r="O654">
        <v>51.6389228071274</v>
      </c>
      <c r="P654">
        <v>-4.5287809817066198E-2</v>
      </c>
      <c r="Q654">
        <v>0.37806873347346698</v>
      </c>
      <c r="R654">
        <v>0.93393588954864604</v>
      </c>
      <c r="S654" t="s">
        <v>4486</v>
      </c>
      <c r="T654" t="s">
        <v>7662</v>
      </c>
      <c r="U654" t="s">
        <v>7662</v>
      </c>
      <c r="V654" t="s">
        <v>7662</v>
      </c>
      <c r="W654">
        <v>11</v>
      </c>
      <c r="X654" t="s">
        <v>8316</v>
      </c>
      <c r="Y654">
        <v>0.6516492102265119</v>
      </c>
      <c r="Z654" t="str">
        <f>HYPERLINK("Melting_Curves/meltCurve_sp_P15289_ARSA_HUMAN_.pdf", "Melting_Curves/meltCurve_sp_P15289_ARSA_HUMAN_.pdf")</f>
        <v>Melting_Curves/meltCurve_sp_P15289_ARSA_HUMAN_.pdf</v>
      </c>
      <c r="AA654" t="s">
        <v>12134</v>
      </c>
      <c r="AB654" t="s">
        <v>15895</v>
      </c>
    </row>
    <row r="655" spans="1:28" x14ac:dyDescent="0.25">
      <c r="A655" t="s">
        <v>659</v>
      </c>
      <c r="B655">
        <v>0.98876768158843997</v>
      </c>
      <c r="C655">
        <v>1.0827226470597</v>
      </c>
      <c r="D655">
        <v>0.89483853155721205</v>
      </c>
      <c r="E655">
        <v>0.80473979778405902</v>
      </c>
      <c r="F655">
        <v>0.87895016331761899</v>
      </c>
      <c r="G655">
        <v>0.158844859103141</v>
      </c>
      <c r="H655">
        <v>9.7230809401286103E-2</v>
      </c>
      <c r="I655">
        <v>7.9872278353917206E-2</v>
      </c>
      <c r="J655">
        <v>8.10533071293804E-2</v>
      </c>
      <c r="K655">
        <v>8.8135181464881196E-2</v>
      </c>
      <c r="L655">
        <v>3014.0929077953201</v>
      </c>
      <c r="M655">
        <v>55.132965423361803</v>
      </c>
      <c r="N655">
        <v>54.851137305531999</v>
      </c>
      <c r="O655">
        <v>54.5977381579265</v>
      </c>
      <c r="P655">
        <v>-0.23138959250767299</v>
      </c>
      <c r="Q655">
        <v>8.3427418630895006E-2</v>
      </c>
      <c r="R655">
        <v>0.96909109273542604</v>
      </c>
      <c r="S655" t="s">
        <v>4487</v>
      </c>
      <c r="T655" t="s">
        <v>7662</v>
      </c>
      <c r="U655" t="s">
        <v>7662</v>
      </c>
      <c r="V655" t="s">
        <v>7662</v>
      </c>
      <c r="W655">
        <v>35</v>
      </c>
      <c r="X655" t="s">
        <v>8317</v>
      </c>
      <c r="Y655">
        <v>0.53343262085956944</v>
      </c>
      <c r="Z655" t="str">
        <f>HYPERLINK("Melting_Curves/meltCurve_sp_P15311_EZRI_HUMAN_.pdf", "Melting_Curves/meltCurve_sp_P15311_EZRI_HUMAN_.pdf")</f>
        <v>Melting_Curves/meltCurve_sp_P15311_EZRI_HUMAN_.pdf</v>
      </c>
      <c r="AA655" t="s">
        <v>12135</v>
      </c>
      <c r="AB655" t="s">
        <v>15896</v>
      </c>
    </row>
    <row r="656" spans="1:28" x14ac:dyDescent="0.25">
      <c r="A656" t="s">
        <v>660</v>
      </c>
      <c r="B656">
        <v>0.98876768158843997</v>
      </c>
      <c r="C656">
        <v>1.0284077137085501</v>
      </c>
      <c r="D656">
        <v>0.84860972914907196</v>
      </c>
      <c r="E656">
        <v>0.80373045222247497</v>
      </c>
      <c r="F656">
        <v>0.73542819452984498</v>
      </c>
      <c r="G656">
        <v>0.42516894344778799</v>
      </c>
      <c r="H656">
        <v>0.16834295204313901</v>
      </c>
      <c r="I656">
        <v>0.120903134024822</v>
      </c>
      <c r="J656">
        <v>0.110293207962001</v>
      </c>
      <c r="K656">
        <v>9.11318362950502E-2</v>
      </c>
      <c r="L656">
        <v>810.543999241655</v>
      </c>
      <c r="M656">
        <v>14.6170930412642</v>
      </c>
      <c r="N656">
        <v>55.6009636761395</v>
      </c>
      <c r="O656">
        <v>54.444928151049098</v>
      </c>
      <c r="P656">
        <v>-6.58354440214131E-2</v>
      </c>
      <c r="Q656">
        <v>1.9228967567302298E-2</v>
      </c>
      <c r="R656">
        <v>0.98310888111383699</v>
      </c>
      <c r="S656" t="s">
        <v>4488</v>
      </c>
      <c r="T656" t="s">
        <v>7662</v>
      </c>
      <c r="U656" t="s">
        <v>7662</v>
      </c>
      <c r="V656" t="s">
        <v>7662</v>
      </c>
      <c r="W656">
        <v>10</v>
      </c>
      <c r="X656" t="s">
        <v>8318</v>
      </c>
      <c r="Y656">
        <v>0.54310912197624495</v>
      </c>
      <c r="Z656" t="str">
        <f>HYPERLINK("Melting_Curves/meltCurve_sp_P15374_UCHL3_HUMAN_.pdf", "Melting_Curves/meltCurve_sp_P15374_UCHL3_HUMAN_.pdf")</f>
        <v>Melting_Curves/meltCurve_sp_P15374_UCHL3_HUMAN_.pdf</v>
      </c>
      <c r="AA656" t="s">
        <v>12136</v>
      </c>
      <c r="AB656" t="s">
        <v>15897</v>
      </c>
    </row>
    <row r="657" spans="1:28" x14ac:dyDescent="0.25">
      <c r="A657" t="s">
        <v>661</v>
      </c>
      <c r="B657">
        <v>0.98876768158843997</v>
      </c>
      <c r="C657">
        <v>1.0075864256785501</v>
      </c>
      <c r="D657">
        <v>0.80454588224856705</v>
      </c>
      <c r="E657">
        <v>0.42790956546889602</v>
      </c>
      <c r="F657">
        <v>0.12559331344237701</v>
      </c>
      <c r="G657">
        <v>7.4847220758577304E-2</v>
      </c>
      <c r="H657">
        <v>4.3401444062230801E-2</v>
      </c>
      <c r="I657">
        <v>4.0253551911712801E-2</v>
      </c>
      <c r="J657">
        <v>4.2031992218397499E-2</v>
      </c>
      <c r="K657">
        <v>4.0940995383639302E-2</v>
      </c>
      <c r="L657">
        <v>1206.3258260530499</v>
      </c>
      <c r="M657">
        <v>24.644767658206302</v>
      </c>
      <c r="N657">
        <v>49.099937893764299</v>
      </c>
      <c r="O657">
        <v>48.629667375570001</v>
      </c>
      <c r="P657">
        <v>-0.122062833975304</v>
      </c>
      <c r="Q657">
        <v>3.65837082212103E-2</v>
      </c>
      <c r="R657">
        <v>0.99684178937946399</v>
      </c>
      <c r="S657" t="s">
        <v>4489</v>
      </c>
      <c r="T657" t="s">
        <v>7662</v>
      </c>
      <c r="U657" t="s">
        <v>7662</v>
      </c>
      <c r="V657" t="s">
        <v>7662</v>
      </c>
      <c r="W657">
        <v>10</v>
      </c>
      <c r="X657" t="s">
        <v>8319</v>
      </c>
      <c r="Y657">
        <v>0.33274685685163968</v>
      </c>
      <c r="Z657" t="str">
        <f>HYPERLINK("Melting_Curves/meltCurve_sp_P15428_PGDH_HUMAN_.pdf", "Melting_Curves/meltCurve_sp_P15428_PGDH_HUMAN_.pdf")</f>
        <v>Melting_Curves/meltCurve_sp_P15428_PGDH_HUMAN_.pdf</v>
      </c>
      <c r="AA657" t="s">
        <v>12137</v>
      </c>
      <c r="AB657" t="s">
        <v>15898</v>
      </c>
    </row>
    <row r="658" spans="1:28" x14ac:dyDescent="0.25">
      <c r="A658" t="s">
        <v>662</v>
      </c>
      <c r="B658">
        <v>0.98876768158843997</v>
      </c>
      <c r="C658">
        <v>1.42992335806246</v>
      </c>
      <c r="D658">
        <v>0.90673432334044701</v>
      </c>
      <c r="E658">
        <v>1.1117388987230299</v>
      </c>
      <c r="F658">
        <v>0.91549289535809797</v>
      </c>
      <c r="G658">
        <v>0.79631095496488302</v>
      </c>
      <c r="H658">
        <v>0.59819705010342294</v>
      </c>
      <c r="I658">
        <v>0.50421986296105903</v>
      </c>
      <c r="J658">
        <v>0.36164357314307599</v>
      </c>
      <c r="K658">
        <v>0.68588268656136198</v>
      </c>
      <c r="L658">
        <v>1843.7377148098899</v>
      </c>
      <c r="M658">
        <v>32.102761636103999</v>
      </c>
      <c r="O658">
        <v>57.210890352185302</v>
      </c>
      <c r="P658">
        <v>-6.7925280403798999E-2</v>
      </c>
      <c r="Q658">
        <v>0.51579910465066803</v>
      </c>
      <c r="R658">
        <v>0.69859978996184502</v>
      </c>
      <c r="S658" t="s">
        <v>4490</v>
      </c>
      <c r="T658" t="s">
        <v>7662</v>
      </c>
      <c r="U658" t="s">
        <v>7662</v>
      </c>
      <c r="V658" t="s">
        <v>7662</v>
      </c>
      <c r="W658">
        <v>10</v>
      </c>
      <c r="X658" t="s">
        <v>8320</v>
      </c>
      <c r="Y658">
        <v>0.80001205298032763</v>
      </c>
      <c r="Z658" t="str">
        <f>HYPERLINK("Melting_Curves/meltCurve_sp_P15531_NDKA_HUMAN_.pdf", "Melting_Curves/meltCurve_sp_P15531_NDKA_HUMAN_.pdf")</f>
        <v>Melting_Curves/meltCurve_sp_P15531_NDKA_HUMAN_.pdf</v>
      </c>
      <c r="AA658" t="s">
        <v>12138</v>
      </c>
      <c r="AB658" t="s">
        <v>15899</v>
      </c>
    </row>
    <row r="659" spans="1:28" x14ac:dyDescent="0.25">
      <c r="A659" t="s">
        <v>663</v>
      </c>
      <c r="B659">
        <v>0.98876768158843997</v>
      </c>
      <c r="C659">
        <v>0.96197281785747302</v>
      </c>
      <c r="D659">
        <v>0.88948949071695105</v>
      </c>
      <c r="E659">
        <v>0.53738425740611995</v>
      </c>
      <c r="F659">
        <v>0.25650955370344802</v>
      </c>
      <c r="G659">
        <v>0.22820222875033699</v>
      </c>
      <c r="H659">
        <v>0.16284564460926801</v>
      </c>
      <c r="I659">
        <v>0.126073235532427</v>
      </c>
      <c r="J659">
        <v>0.13502224366360799</v>
      </c>
      <c r="K659">
        <v>0.111870166547387</v>
      </c>
      <c r="L659">
        <v>1174.63691154555</v>
      </c>
      <c r="M659">
        <v>23.683458936151599</v>
      </c>
      <c r="N659">
        <v>50.275484162160502</v>
      </c>
      <c r="O659">
        <v>49.247807410572499</v>
      </c>
      <c r="P659">
        <v>-0.10379023654019399</v>
      </c>
      <c r="Q659">
        <v>0.13672130514938099</v>
      </c>
      <c r="R659">
        <v>0.99537339942116398</v>
      </c>
      <c r="S659" t="s">
        <v>4491</v>
      </c>
      <c r="T659" t="s">
        <v>7662</v>
      </c>
      <c r="U659" t="s">
        <v>7662</v>
      </c>
      <c r="V659" t="s">
        <v>7662</v>
      </c>
      <c r="W659">
        <v>5</v>
      </c>
      <c r="X659" t="s">
        <v>8321</v>
      </c>
      <c r="Y659">
        <v>0.42147101295965073</v>
      </c>
      <c r="Z659" t="str">
        <f>HYPERLINK("Melting_Curves/meltCurve_sp_P15735_2_PHKG2_HUMAN_.pdf", "Melting_Curves/meltCurve_sp_P15735_2_PHKG2_HUMAN_.pdf")</f>
        <v>Melting_Curves/meltCurve_sp_P15735_2_PHKG2_HUMAN_.pdf</v>
      </c>
      <c r="AA659" t="s">
        <v>12139</v>
      </c>
      <c r="AB659" t="s">
        <v>15900</v>
      </c>
    </row>
    <row r="660" spans="1:28" x14ac:dyDescent="0.25">
      <c r="A660" t="s">
        <v>664</v>
      </c>
      <c r="B660">
        <v>0.98876768158843997</v>
      </c>
      <c r="C660">
        <v>0.98966333917657301</v>
      </c>
      <c r="D660">
        <v>0.85168509663527003</v>
      </c>
      <c r="E660">
        <v>0.74904656942023895</v>
      </c>
      <c r="F660">
        <v>0.57837900938410902</v>
      </c>
      <c r="G660">
        <v>0.40228800998935499</v>
      </c>
      <c r="H660">
        <v>0.32567443208239799</v>
      </c>
      <c r="I660">
        <v>0.33587320081069999</v>
      </c>
      <c r="J660">
        <v>0.30222395578312</v>
      </c>
      <c r="K660">
        <v>0.18664815033809901</v>
      </c>
      <c r="L660">
        <v>658.57995649690099</v>
      </c>
      <c r="M660">
        <v>12.548874335323401</v>
      </c>
      <c r="N660">
        <v>54.942780142750301</v>
      </c>
      <c r="O660">
        <v>51.201943625276002</v>
      </c>
      <c r="P660">
        <v>-4.8106040366784397E-2</v>
      </c>
      <c r="Q660">
        <v>0.21502962273825901</v>
      </c>
      <c r="R660">
        <v>0.98673907922900495</v>
      </c>
      <c r="S660" t="s">
        <v>4492</v>
      </c>
      <c r="T660" t="s">
        <v>7662</v>
      </c>
      <c r="U660" t="s">
        <v>7662</v>
      </c>
      <c r="V660" t="s">
        <v>7662</v>
      </c>
      <c r="W660">
        <v>9</v>
      </c>
      <c r="X660" t="s">
        <v>8322</v>
      </c>
      <c r="Y660">
        <v>0.56359708890143956</v>
      </c>
      <c r="Z660" t="str">
        <f>HYPERLINK("Melting_Curves/meltCurve_sp_P15848_ARSB_HUMAN_.pdf", "Melting_Curves/meltCurve_sp_P15848_ARSB_HUMAN_.pdf")</f>
        <v>Melting_Curves/meltCurve_sp_P15848_ARSB_HUMAN_.pdf</v>
      </c>
      <c r="AA660" t="s">
        <v>12140</v>
      </c>
      <c r="AB660" t="s">
        <v>15901</v>
      </c>
    </row>
    <row r="661" spans="1:28" x14ac:dyDescent="0.25">
      <c r="A661" t="s">
        <v>665</v>
      </c>
      <c r="B661">
        <v>0.98876768158843997</v>
      </c>
      <c r="C661">
        <v>1.0296795100960601</v>
      </c>
      <c r="D661">
        <v>1.0138053637476201</v>
      </c>
      <c r="E661">
        <v>0.63169239263021304</v>
      </c>
      <c r="F661">
        <v>0.53515138121891703</v>
      </c>
      <c r="G661">
        <v>0.34061326116160401</v>
      </c>
      <c r="H661">
        <v>0.24633038978644201</v>
      </c>
      <c r="I661">
        <v>0.27558566579156601</v>
      </c>
      <c r="J661">
        <v>0.35801807274049502</v>
      </c>
      <c r="K661">
        <v>0.39266061119129603</v>
      </c>
      <c r="L661">
        <v>1330.99706619669</v>
      </c>
      <c r="M661">
        <v>26.427486642481799</v>
      </c>
      <c r="N661">
        <v>52.405141091348902</v>
      </c>
      <c r="O661">
        <v>50.078397151799301</v>
      </c>
      <c r="P661">
        <v>-8.9533766900276104E-2</v>
      </c>
      <c r="Q661">
        <v>0.321364331492352</v>
      </c>
      <c r="R661">
        <v>0.96720601681866003</v>
      </c>
      <c r="S661" t="s">
        <v>4493</v>
      </c>
      <c r="T661" t="s">
        <v>7662</v>
      </c>
      <c r="U661" t="s">
        <v>7662</v>
      </c>
      <c r="V661" t="s">
        <v>7662</v>
      </c>
      <c r="W661">
        <v>41</v>
      </c>
      <c r="X661" t="s">
        <v>8323</v>
      </c>
      <c r="Y661">
        <v>0.56126172267992536</v>
      </c>
      <c r="Z661" t="str">
        <f>HYPERLINK("Melting_Curves/meltCurve_sp_P15924_DESP_HUMAN_.pdf", "Melting_Curves/meltCurve_sp_P15924_DESP_HUMAN_.pdf")</f>
        <v>Melting_Curves/meltCurve_sp_P15924_DESP_HUMAN_.pdf</v>
      </c>
      <c r="AA661" t="s">
        <v>12141</v>
      </c>
      <c r="AB661" t="s">
        <v>15902</v>
      </c>
    </row>
    <row r="662" spans="1:28" x14ac:dyDescent="0.25">
      <c r="A662" t="s">
        <v>666</v>
      </c>
      <c r="B662">
        <v>0.98876768158843997</v>
      </c>
      <c r="C662">
        <v>1.08825241565662</v>
      </c>
      <c r="D662">
        <v>0.91704246518378096</v>
      </c>
      <c r="E662">
        <v>0.79945292359263098</v>
      </c>
      <c r="F662">
        <v>0.77896719255456803</v>
      </c>
      <c r="G662">
        <v>0.47169767373468502</v>
      </c>
      <c r="H662">
        <v>0.24009613789013401</v>
      </c>
      <c r="I662">
        <v>0.25522248996594699</v>
      </c>
      <c r="J662">
        <v>0.36291084150040598</v>
      </c>
      <c r="K662">
        <v>0.34112979534827298</v>
      </c>
      <c r="L662">
        <v>1111.8008811208299</v>
      </c>
      <c r="M662">
        <v>20.624507062973901</v>
      </c>
      <c r="N662">
        <v>56.170127340918903</v>
      </c>
      <c r="O662">
        <v>53.407673310091198</v>
      </c>
      <c r="P662">
        <v>-6.9299980901262298E-2</v>
      </c>
      <c r="Q662">
        <v>0.28220460289064198</v>
      </c>
      <c r="R662">
        <v>0.95170539725196701</v>
      </c>
      <c r="S662" t="s">
        <v>4494</v>
      </c>
      <c r="T662" t="s">
        <v>7662</v>
      </c>
      <c r="U662" t="s">
        <v>7662</v>
      </c>
      <c r="V662" t="s">
        <v>7662</v>
      </c>
      <c r="W662">
        <v>3</v>
      </c>
      <c r="X662" t="s">
        <v>8324</v>
      </c>
      <c r="Y662">
        <v>0.62423574770122014</v>
      </c>
      <c r="Z662" t="str">
        <f>HYPERLINK("Melting_Curves/meltCurve_sp_P15927_RFA2_HUMAN_.pdf", "Melting_Curves/meltCurve_sp_P15927_RFA2_HUMAN_.pdf")</f>
        <v>Melting_Curves/meltCurve_sp_P15927_RFA2_HUMAN_.pdf</v>
      </c>
      <c r="AA662" t="s">
        <v>12142</v>
      </c>
      <c r="AB662" t="s">
        <v>15903</v>
      </c>
    </row>
    <row r="663" spans="1:28" x14ac:dyDescent="0.25">
      <c r="A663" t="s">
        <v>667</v>
      </c>
      <c r="B663">
        <v>0.98876768158843997</v>
      </c>
      <c r="C663">
        <v>0.90120352410305604</v>
      </c>
      <c r="D663">
        <v>0.87496586003396104</v>
      </c>
      <c r="E663">
        <v>0.475828391067596</v>
      </c>
      <c r="F663">
        <v>0.17665254901397801</v>
      </c>
      <c r="G663">
        <v>9.8209181624743999E-2</v>
      </c>
      <c r="H663">
        <v>6.6403611414075997E-2</v>
      </c>
      <c r="I663">
        <v>6.3420110444658104E-2</v>
      </c>
      <c r="J663">
        <v>7.0237415665557704E-2</v>
      </c>
      <c r="K663">
        <v>5.8656584804548599E-2</v>
      </c>
      <c r="L663">
        <v>1206.24146856486</v>
      </c>
      <c r="M663">
        <v>24.432499499606099</v>
      </c>
      <c r="N663">
        <v>49.622726030630901</v>
      </c>
      <c r="O663">
        <v>49.043202663498299</v>
      </c>
      <c r="P663">
        <v>-0.1172713967528</v>
      </c>
      <c r="Q663">
        <v>5.8421453398758101E-2</v>
      </c>
      <c r="R663">
        <v>0.99483463479449097</v>
      </c>
      <c r="S663" t="s">
        <v>4495</v>
      </c>
      <c r="T663" t="s">
        <v>7662</v>
      </c>
      <c r="U663" t="s">
        <v>7662</v>
      </c>
      <c r="V663" t="s">
        <v>7662</v>
      </c>
      <c r="W663">
        <v>12</v>
      </c>
      <c r="X663" t="s">
        <v>8325</v>
      </c>
      <c r="Y663">
        <v>0.36128714538966722</v>
      </c>
      <c r="Z663" t="str">
        <f>HYPERLINK("Melting_Curves/meltCurve_sp_P16118_F261_HUMAN_.pdf", "Melting_Curves/meltCurve_sp_P16118_F261_HUMAN_.pdf")</f>
        <v>Melting_Curves/meltCurve_sp_P16118_F261_HUMAN_.pdf</v>
      </c>
      <c r="AA663" t="s">
        <v>12143</v>
      </c>
      <c r="AB663" t="s">
        <v>15904</v>
      </c>
    </row>
    <row r="664" spans="1:28" x14ac:dyDescent="0.25">
      <c r="A664" t="s">
        <v>668</v>
      </c>
      <c r="B664">
        <v>0.98876768158843997</v>
      </c>
      <c r="C664">
        <v>1.11515437705184</v>
      </c>
      <c r="D664">
        <v>0.859062938245444</v>
      </c>
      <c r="E664">
        <v>0.76574097151897602</v>
      </c>
      <c r="F664">
        <v>0.72819030261978901</v>
      </c>
      <c r="G664">
        <v>0.30921979460843302</v>
      </c>
      <c r="H664">
        <v>0.13012378627178101</v>
      </c>
      <c r="I664">
        <v>9.8280153774403897E-2</v>
      </c>
      <c r="J664">
        <v>8.7895155454713603E-2</v>
      </c>
      <c r="K664">
        <v>6.0745609078757597E-2</v>
      </c>
      <c r="L664">
        <v>924.92069413901902</v>
      </c>
      <c r="M664">
        <v>16.954612420170498</v>
      </c>
      <c r="N664">
        <v>54.727177873064001</v>
      </c>
      <c r="O664">
        <v>53.810795844351198</v>
      </c>
      <c r="P664">
        <v>-7.6702539066946698E-2</v>
      </c>
      <c r="Q664">
        <v>2.6302336866539201E-2</v>
      </c>
      <c r="R664">
        <v>0.97304673740812697</v>
      </c>
      <c r="S664" t="s">
        <v>4496</v>
      </c>
      <c r="T664" t="s">
        <v>7662</v>
      </c>
      <c r="U664" t="s">
        <v>7662</v>
      </c>
      <c r="V664" t="s">
        <v>7662</v>
      </c>
      <c r="W664">
        <v>25</v>
      </c>
      <c r="X664" t="s">
        <v>8326</v>
      </c>
      <c r="Y664">
        <v>0.51525934868001155</v>
      </c>
      <c r="Z664" t="str">
        <f>HYPERLINK("Melting_Curves/meltCurve_sp_P16152_CBR1_HUMAN_.pdf", "Melting_Curves/meltCurve_sp_P16152_CBR1_HUMAN_.pdf")</f>
        <v>Melting_Curves/meltCurve_sp_P16152_CBR1_HUMAN_.pdf</v>
      </c>
      <c r="AA664" t="s">
        <v>12144</v>
      </c>
      <c r="AB664" t="s">
        <v>15905</v>
      </c>
    </row>
    <row r="665" spans="1:28" x14ac:dyDescent="0.25">
      <c r="A665" t="s">
        <v>669</v>
      </c>
      <c r="B665">
        <v>0.98876768158843997</v>
      </c>
      <c r="C665">
        <v>0.91080720940394999</v>
      </c>
      <c r="D665">
        <v>0.93350496372370095</v>
      </c>
      <c r="E665">
        <v>0.57290372678440205</v>
      </c>
      <c r="F665">
        <v>0.301189288195094</v>
      </c>
      <c r="G665">
        <v>0.16550822352918601</v>
      </c>
      <c r="H665">
        <v>5.3725104625945798E-2</v>
      </c>
      <c r="I665">
        <v>3.9418651431972998E-2</v>
      </c>
      <c r="J665">
        <v>3.8406332054345203E-2</v>
      </c>
      <c r="K665">
        <v>3.1376911470303803E-2</v>
      </c>
      <c r="L665">
        <v>1010.86703616139</v>
      </c>
      <c r="M665">
        <v>19.939561524838201</v>
      </c>
      <c r="N665">
        <v>50.862631892685499</v>
      </c>
      <c r="O665">
        <v>50.194899891827198</v>
      </c>
      <c r="P665">
        <v>-9.6183923037862898E-2</v>
      </c>
      <c r="Q665">
        <v>3.1516647440543201E-2</v>
      </c>
      <c r="R665">
        <v>0.99455734861682898</v>
      </c>
      <c r="S665" t="s">
        <v>4497</v>
      </c>
      <c r="T665" t="s">
        <v>7662</v>
      </c>
      <c r="U665" t="s">
        <v>7662</v>
      </c>
      <c r="V665" t="s">
        <v>7662</v>
      </c>
      <c r="W665">
        <v>18</v>
      </c>
      <c r="X665" t="s">
        <v>8327</v>
      </c>
      <c r="Y665">
        <v>0.39036258725676748</v>
      </c>
      <c r="Z665" t="str">
        <f>HYPERLINK("Melting_Curves/meltCurve_sp_P16219_ACADS_HUMAN_.pdf", "Melting_Curves/meltCurve_sp_P16219_ACADS_HUMAN_.pdf")</f>
        <v>Melting_Curves/meltCurve_sp_P16219_ACADS_HUMAN_.pdf</v>
      </c>
      <c r="AA665" t="s">
        <v>12145</v>
      </c>
      <c r="AB665" t="s">
        <v>15906</v>
      </c>
    </row>
    <row r="666" spans="1:28" x14ac:dyDescent="0.25">
      <c r="A666" t="s">
        <v>670</v>
      </c>
      <c r="B666">
        <v>0.98876768158843997</v>
      </c>
      <c r="C666">
        <v>1.1509173375580699</v>
      </c>
      <c r="D666">
        <v>0.83794935589313702</v>
      </c>
      <c r="E666">
        <v>0.71748496924137894</v>
      </c>
      <c r="F666">
        <v>0.613415081310419</v>
      </c>
      <c r="G666">
        <v>0.42310096391289398</v>
      </c>
      <c r="H666">
        <v>0.34105645226942599</v>
      </c>
      <c r="I666">
        <v>0.38072874537914198</v>
      </c>
      <c r="J666">
        <v>0.61903114037824702</v>
      </c>
      <c r="K666">
        <v>0.52487166594182599</v>
      </c>
      <c r="L666">
        <v>1134.1721558228101</v>
      </c>
      <c r="M666">
        <v>22.853116154332799</v>
      </c>
      <c r="N666">
        <v>55.719713230803897</v>
      </c>
      <c r="O666">
        <v>49.253452395859398</v>
      </c>
      <c r="P666">
        <v>-6.2769554782576897E-2</v>
      </c>
      <c r="Q666">
        <v>0.45888203639936997</v>
      </c>
      <c r="R666">
        <v>0.85466158628012001</v>
      </c>
      <c r="S666" t="s">
        <v>4498</v>
      </c>
      <c r="T666" t="s">
        <v>7662</v>
      </c>
      <c r="U666" t="s">
        <v>7662</v>
      </c>
      <c r="V666" t="s">
        <v>7662</v>
      </c>
      <c r="W666">
        <v>1</v>
      </c>
      <c r="X666" t="s">
        <v>8328</v>
      </c>
      <c r="Y666">
        <v>0.63833767936827102</v>
      </c>
      <c r="Z666" t="str">
        <f>HYPERLINK("Melting_Curves/meltCurve_sp_P16220_3_CREB1_HUMAN_.pdf", "Melting_Curves/meltCurve_sp_P16220_3_CREB1_HUMAN_.pdf")</f>
        <v>Melting_Curves/meltCurve_sp_P16220_3_CREB1_HUMAN_.pdf</v>
      </c>
      <c r="AA666" t="s">
        <v>12146</v>
      </c>
      <c r="AB666" t="s">
        <v>15907</v>
      </c>
    </row>
    <row r="667" spans="1:28" x14ac:dyDescent="0.25">
      <c r="A667" t="s">
        <v>671</v>
      </c>
      <c r="B667">
        <v>0.98876768158843997</v>
      </c>
      <c r="C667">
        <v>0.95568134384130299</v>
      </c>
      <c r="D667">
        <v>0.66887651254921099</v>
      </c>
      <c r="E667">
        <v>0.27777143583546299</v>
      </c>
      <c r="F667">
        <v>0.162892946613409</v>
      </c>
      <c r="G667">
        <v>8.8726040470802306E-2</v>
      </c>
      <c r="H667">
        <v>6.31320185827344E-2</v>
      </c>
      <c r="I667">
        <v>6.5611099119868593E-2</v>
      </c>
      <c r="J667">
        <v>6.3830285629090697E-2</v>
      </c>
      <c r="K667">
        <v>6.5360273076589995E-2</v>
      </c>
      <c r="L667">
        <v>1094.2681119445799</v>
      </c>
      <c r="M667">
        <v>23.107904135803601</v>
      </c>
      <c r="N667">
        <v>47.651918891576699</v>
      </c>
      <c r="O667">
        <v>47.004325454611902</v>
      </c>
      <c r="P667">
        <v>-0.114656886069085</v>
      </c>
      <c r="Q667">
        <v>6.7111828730593903E-2</v>
      </c>
      <c r="R667">
        <v>0.998426340029689</v>
      </c>
      <c r="S667" t="s">
        <v>4499</v>
      </c>
      <c r="T667" t="s">
        <v>7662</v>
      </c>
      <c r="U667" t="s">
        <v>7662</v>
      </c>
      <c r="V667" t="s">
        <v>7662</v>
      </c>
      <c r="W667">
        <v>9</v>
      </c>
      <c r="X667" t="s">
        <v>8329</v>
      </c>
      <c r="Y667">
        <v>0.30564902796151727</v>
      </c>
      <c r="Z667" t="str">
        <f>HYPERLINK("Melting_Curves/meltCurve_sp_P16278_3_BGAL_HUMAN_.pdf", "Melting_Curves/meltCurve_sp_P16278_3_BGAL_HUMAN_.pdf")</f>
        <v>Melting_Curves/meltCurve_sp_P16278_3_BGAL_HUMAN_.pdf</v>
      </c>
      <c r="AA667" t="s">
        <v>12147</v>
      </c>
      <c r="AB667" t="s">
        <v>15908</v>
      </c>
    </row>
    <row r="668" spans="1:28" x14ac:dyDescent="0.25">
      <c r="A668" t="s">
        <v>672</v>
      </c>
      <c r="B668">
        <v>0.98876768158843997</v>
      </c>
      <c r="C668">
        <v>1.0831073184985101</v>
      </c>
      <c r="D668">
        <v>0.87799048730051699</v>
      </c>
      <c r="E668">
        <v>0.86119460728559205</v>
      </c>
      <c r="F668">
        <v>0.69424403968639103</v>
      </c>
      <c r="G668">
        <v>0.36920992621676402</v>
      </c>
      <c r="H668">
        <v>0.19401630037414899</v>
      </c>
      <c r="I668">
        <v>8.9981727048110596E-2</v>
      </c>
      <c r="J668">
        <v>4.0295919638576601E-2</v>
      </c>
      <c r="K668">
        <v>1.37797884173291E-2</v>
      </c>
      <c r="L668">
        <v>920.24399586939705</v>
      </c>
      <c r="M668">
        <v>16.623041657442101</v>
      </c>
      <c r="N668">
        <v>55.359543378166698</v>
      </c>
      <c r="O668">
        <v>54.576988334949199</v>
      </c>
      <c r="P668">
        <v>-7.6150059773335804E-2</v>
      </c>
      <c r="Q668">
        <v>0</v>
      </c>
      <c r="R668">
        <v>0.98909635352416703</v>
      </c>
      <c r="S668" t="s">
        <v>4500</v>
      </c>
      <c r="T668" t="s">
        <v>7662</v>
      </c>
      <c r="U668" t="s">
        <v>7662</v>
      </c>
      <c r="V668" t="s">
        <v>7662</v>
      </c>
      <c r="W668">
        <v>6</v>
      </c>
      <c r="X668" t="s">
        <v>8330</v>
      </c>
      <c r="Y668">
        <v>0.52878304280791377</v>
      </c>
      <c r="Z668" t="str">
        <f>HYPERLINK("Melting_Curves/meltCurve_sp_P16298_3_PP2BB_HUMAN_.pdf", "Melting_Curves/meltCurve_sp_P16298_3_PP2BB_HUMAN_.pdf")</f>
        <v>Melting_Curves/meltCurve_sp_P16298_3_PP2BB_HUMAN_.pdf</v>
      </c>
      <c r="AA668" t="s">
        <v>12148</v>
      </c>
      <c r="AB668" t="s">
        <v>15909</v>
      </c>
    </row>
    <row r="669" spans="1:28" x14ac:dyDescent="0.25">
      <c r="A669" t="s">
        <v>673</v>
      </c>
      <c r="B669">
        <v>0.98876768158843997</v>
      </c>
      <c r="C669">
        <v>0.99691544956538902</v>
      </c>
      <c r="D669">
        <v>0.80539848219522303</v>
      </c>
      <c r="E669">
        <v>0.64263232022986605</v>
      </c>
      <c r="F669">
        <v>0.35357324230052101</v>
      </c>
      <c r="G669">
        <v>0.21207097938580899</v>
      </c>
      <c r="H669">
        <v>0.16852268165275699</v>
      </c>
      <c r="I669">
        <v>0.16054477622785199</v>
      </c>
      <c r="J669">
        <v>0.154530384905812</v>
      </c>
      <c r="K669">
        <v>0.33065653697417102</v>
      </c>
      <c r="L669">
        <v>1021.82535487223</v>
      </c>
      <c r="M669">
        <v>20.499957447795801</v>
      </c>
      <c r="N669">
        <v>51.026452935943702</v>
      </c>
      <c r="O669">
        <v>49.378177728717397</v>
      </c>
      <c r="P669">
        <v>-8.4185068412096706E-2</v>
      </c>
      <c r="Q669">
        <v>0.188918462872325</v>
      </c>
      <c r="R669">
        <v>0.96753790867196299</v>
      </c>
      <c r="S669" t="s">
        <v>4501</v>
      </c>
      <c r="T669" t="s">
        <v>7662</v>
      </c>
      <c r="U669" t="s">
        <v>7662</v>
      </c>
      <c r="V669" t="s">
        <v>7662</v>
      </c>
      <c r="W669">
        <v>6</v>
      </c>
      <c r="X669" t="s">
        <v>8331</v>
      </c>
      <c r="Y669">
        <v>0.46585762029465738</v>
      </c>
      <c r="Z669" t="str">
        <f>HYPERLINK("Melting_Curves/meltCurve_sp_P16333_NCK1_HUMAN_.pdf", "Melting_Curves/meltCurve_sp_P16333_NCK1_HUMAN_.pdf")</f>
        <v>Melting_Curves/meltCurve_sp_P16333_NCK1_HUMAN_.pdf</v>
      </c>
      <c r="AA669" t="s">
        <v>12149</v>
      </c>
      <c r="AB669" t="s">
        <v>15910</v>
      </c>
    </row>
    <row r="670" spans="1:28" x14ac:dyDescent="0.25">
      <c r="A670" t="s">
        <v>674</v>
      </c>
      <c r="B670">
        <v>0.98876768158843997</v>
      </c>
      <c r="C670">
        <v>1.1294379733169599</v>
      </c>
      <c r="D670">
        <v>0.94439555630606997</v>
      </c>
      <c r="E670">
        <v>0.678905840347798</v>
      </c>
      <c r="F670">
        <v>0.48687093595566899</v>
      </c>
      <c r="G670">
        <v>0.33958032097511098</v>
      </c>
      <c r="H670">
        <v>0.309820723678007</v>
      </c>
      <c r="I670">
        <v>0.28805311898765301</v>
      </c>
      <c r="J670">
        <v>0.43481246050350197</v>
      </c>
      <c r="K670">
        <v>0.42357803150305201</v>
      </c>
      <c r="L670">
        <v>1527.43126798606</v>
      </c>
      <c r="M670">
        <v>30.494341161191301</v>
      </c>
      <c r="N670">
        <v>52.258934720499802</v>
      </c>
      <c r="O670">
        <v>49.875076391876298</v>
      </c>
      <c r="P670">
        <v>-9.7972072694319498E-2</v>
      </c>
      <c r="Q670">
        <v>0.35905023869199498</v>
      </c>
      <c r="R670">
        <v>0.95682034745723799</v>
      </c>
      <c r="S670" t="s">
        <v>4502</v>
      </c>
      <c r="T670" t="s">
        <v>7662</v>
      </c>
      <c r="U670" t="s">
        <v>7662</v>
      </c>
      <c r="V670" t="s">
        <v>7662</v>
      </c>
      <c r="W670">
        <v>3</v>
      </c>
      <c r="X670" t="s">
        <v>8332</v>
      </c>
      <c r="Y670">
        <v>0.57844285176814103</v>
      </c>
      <c r="Z670" t="str">
        <f>HYPERLINK("Melting_Curves/meltCurve_sp_P16383_2_GCFC2_HUMAN_.pdf", "Melting_Curves/meltCurve_sp_P16383_2_GCFC2_HUMAN_.pdf")</f>
        <v>Melting_Curves/meltCurve_sp_P16383_2_GCFC2_HUMAN_.pdf</v>
      </c>
      <c r="AA670" t="s">
        <v>12150</v>
      </c>
      <c r="AB670" t="s">
        <v>15911</v>
      </c>
    </row>
    <row r="671" spans="1:28" x14ac:dyDescent="0.25">
      <c r="A671" t="s">
        <v>675</v>
      </c>
      <c r="B671">
        <v>0.98876768158843997</v>
      </c>
      <c r="C671">
        <v>0.78639623983224105</v>
      </c>
      <c r="D671">
        <v>0.72080069212013398</v>
      </c>
      <c r="E671">
        <v>0.56345989811355801</v>
      </c>
      <c r="F671">
        <v>0.36323472047661998</v>
      </c>
      <c r="G671">
        <v>0.29186801942545698</v>
      </c>
      <c r="H671">
        <v>0.36677447097267002</v>
      </c>
      <c r="I671">
        <v>0.361597180367492</v>
      </c>
      <c r="J671">
        <v>0.37887926322174797</v>
      </c>
      <c r="K671">
        <v>0.469188540327246</v>
      </c>
      <c r="L671">
        <v>771.65116110367796</v>
      </c>
      <c r="M671">
        <v>16.746971233717002</v>
      </c>
      <c r="N671">
        <v>49.967534649927103</v>
      </c>
      <c r="O671">
        <v>45.435102005344604</v>
      </c>
      <c r="P671">
        <v>-5.8585231341298602E-2</v>
      </c>
      <c r="Q671">
        <v>0.36426678889948699</v>
      </c>
      <c r="R671">
        <v>0.92474658965351897</v>
      </c>
      <c r="S671" t="s">
        <v>4503</v>
      </c>
      <c r="T671" t="s">
        <v>7662</v>
      </c>
      <c r="U671" t="s">
        <v>7662</v>
      </c>
      <c r="V671" t="s">
        <v>7662</v>
      </c>
      <c r="W671">
        <v>3</v>
      </c>
      <c r="X671" t="s">
        <v>8333</v>
      </c>
      <c r="Y671">
        <v>0.50760689870243025</v>
      </c>
      <c r="Z671" t="str">
        <f>HYPERLINK("Melting_Curves/meltCurve_sp_P16401_H15_HUMAN_.pdf", "Melting_Curves/meltCurve_sp_P16401_H15_HUMAN_.pdf")</f>
        <v>Melting_Curves/meltCurve_sp_P16401_H15_HUMAN_.pdf</v>
      </c>
      <c r="AA671" t="s">
        <v>12151</v>
      </c>
      <c r="AB671" t="s">
        <v>15912</v>
      </c>
    </row>
    <row r="672" spans="1:28" x14ac:dyDescent="0.25">
      <c r="A672" t="s">
        <v>676</v>
      </c>
      <c r="B672">
        <v>0.98876768158843997</v>
      </c>
      <c r="C672">
        <v>0.97148510858190396</v>
      </c>
      <c r="D672">
        <v>0.92845859096282701</v>
      </c>
      <c r="E672">
        <v>0.61273577384487099</v>
      </c>
      <c r="F672">
        <v>0.25599642096659603</v>
      </c>
      <c r="G672">
        <v>0.137075937719744</v>
      </c>
      <c r="H672">
        <v>9.0198121189599301E-2</v>
      </c>
      <c r="I672">
        <v>7.6658300466448795E-2</v>
      </c>
      <c r="J672">
        <v>9.6278455437383004E-2</v>
      </c>
      <c r="K672">
        <v>8.6135772416805506E-2</v>
      </c>
      <c r="L672">
        <v>1413.61682942073</v>
      </c>
      <c r="M672">
        <v>28.025886859750798</v>
      </c>
      <c r="N672">
        <v>50.782500065043301</v>
      </c>
      <c r="O672">
        <v>50.184971863234203</v>
      </c>
      <c r="P672">
        <v>-0.12758123393227</v>
      </c>
      <c r="Q672">
        <v>8.6186864955325196E-2</v>
      </c>
      <c r="R672">
        <v>0.99878546200801799</v>
      </c>
      <c r="S672" t="s">
        <v>4504</v>
      </c>
      <c r="T672" t="s">
        <v>7662</v>
      </c>
      <c r="U672" t="s">
        <v>7662</v>
      </c>
      <c r="V672" t="s">
        <v>7662</v>
      </c>
      <c r="W672">
        <v>14</v>
      </c>
      <c r="X672" t="s">
        <v>8334</v>
      </c>
      <c r="Y672">
        <v>0.41071242221905779</v>
      </c>
      <c r="Z672" t="str">
        <f>HYPERLINK("Melting_Curves/meltCurve_sp_P16435_NCPR_HUMAN_.pdf", "Melting_Curves/meltCurve_sp_P16435_NCPR_HUMAN_.pdf")</f>
        <v>Melting_Curves/meltCurve_sp_P16435_NCPR_HUMAN_.pdf</v>
      </c>
      <c r="AA672" t="s">
        <v>12152</v>
      </c>
      <c r="AB672" t="s">
        <v>15913</v>
      </c>
    </row>
    <row r="673" spans="1:28" x14ac:dyDescent="0.25">
      <c r="A673" t="s">
        <v>677</v>
      </c>
      <c r="B673">
        <v>0.98876768158843997</v>
      </c>
      <c r="C673">
        <v>1.0405995676892601</v>
      </c>
      <c r="D673">
        <v>0.85654376497886597</v>
      </c>
      <c r="E673">
        <v>0.66232938530875096</v>
      </c>
      <c r="F673">
        <v>0.37773326415749903</v>
      </c>
      <c r="G673">
        <v>0.14368208920526099</v>
      </c>
      <c r="H673">
        <v>8.1934838602801596E-2</v>
      </c>
      <c r="I673">
        <v>6.8964156177628994E-2</v>
      </c>
      <c r="J673">
        <v>8.1692919545390805E-2</v>
      </c>
      <c r="K673">
        <v>8.2375310475375094E-2</v>
      </c>
      <c r="L673">
        <v>1045.2024488152899</v>
      </c>
      <c r="M673">
        <v>20.422426169329398</v>
      </c>
      <c r="N673">
        <v>51.506764485272697</v>
      </c>
      <c r="O673">
        <v>50.696014925253998</v>
      </c>
      <c r="P673">
        <v>-9.4579165874662405E-2</v>
      </c>
      <c r="Q673">
        <v>6.0906216852375503E-2</v>
      </c>
      <c r="R673">
        <v>0.99436344200684801</v>
      </c>
      <c r="S673" t="s">
        <v>4505</v>
      </c>
      <c r="T673" t="s">
        <v>7662</v>
      </c>
      <c r="U673" t="s">
        <v>7662</v>
      </c>
      <c r="V673" t="s">
        <v>7662</v>
      </c>
      <c r="W673">
        <v>5</v>
      </c>
      <c r="X673" t="s">
        <v>8335</v>
      </c>
      <c r="Y673">
        <v>0.42338095671331821</v>
      </c>
      <c r="Z673" t="str">
        <f>HYPERLINK("Melting_Curves/meltCurve_sp_P16455_MGMT_HUMAN_.pdf", "Melting_Curves/meltCurve_sp_P16455_MGMT_HUMAN_.pdf")</f>
        <v>Melting_Curves/meltCurve_sp_P16455_MGMT_HUMAN_.pdf</v>
      </c>
      <c r="AA673" t="s">
        <v>12153</v>
      </c>
      <c r="AB673" t="s">
        <v>15914</v>
      </c>
    </row>
    <row r="674" spans="1:28" x14ac:dyDescent="0.25">
      <c r="A674" t="s">
        <v>678</v>
      </c>
      <c r="B674">
        <v>0.98876768158843997</v>
      </c>
      <c r="C674">
        <v>0.85070271395521702</v>
      </c>
      <c r="D674">
        <v>0.84017254683698706</v>
      </c>
      <c r="E674">
        <v>0.39376203760728101</v>
      </c>
      <c r="F674">
        <v>0.15740193588947499</v>
      </c>
      <c r="G674">
        <v>7.5464257203672794E-2</v>
      </c>
      <c r="H674">
        <v>4.7784819765210103E-2</v>
      </c>
      <c r="I674">
        <v>4.06661549109203E-2</v>
      </c>
      <c r="J674">
        <v>5.3801771376938798E-2</v>
      </c>
      <c r="K674">
        <v>5.3918381315707899E-2</v>
      </c>
      <c r="L674">
        <v>1077.35937925445</v>
      </c>
      <c r="M674">
        <v>22.097837205260099</v>
      </c>
      <c r="N674">
        <v>48.939478822824</v>
      </c>
      <c r="O674">
        <v>48.360073257206899</v>
      </c>
      <c r="P674">
        <v>-0.109651118428645</v>
      </c>
      <c r="Q674">
        <v>4.0156013496979101E-2</v>
      </c>
      <c r="R674">
        <v>0.99017076214822197</v>
      </c>
      <c r="S674" t="s">
        <v>4506</v>
      </c>
      <c r="T674" t="s">
        <v>7662</v>
      </c>
      <c r="U674" t="s">
        <v>7662</v>
      </c>
      <c r="V674" t="s">
        <v>7662</v>
      </c>
      <c r="W674">
        <v>3</v>
      </c>
      <c r="X674" t="s">
        <v>8336</v>
      </c>
      <c r="Y674">
        <v>0.33121213325732979</v>
      </c>
      <c r="Z674" t="str">
        <f>HYPERLINK("Melting_Curves/meltCurve_sp_P16662_UD2B7_HUMAN_.pdf", "Melting_Curves/meltCurve_sp_P16662_UD2B7_HUMAN_.pdf")</f>
        <v>Melting_Curves/meltCurve_sp_P16662_UD2B7_HUMAN_.pdf</v>
      </c>
      <c r="AA674" t="s">
        <v>12154</v>
      </c>
      <c r="AB674" t="s">
        <v>15915</v>
      </c>
    </row>
    <row r="675" spans="1:28" x14ac:dyDescent="0.25">
      <c r="A675" t="s">
        <v>679</v>
      </c>
      <c r="B675">
        <v>0.98876768158843997</v>
      </c>
      <c r="C675">
        <v>0.88486834392140601</v>
      </c>
      <c r="D675">
        <v>1.0495406710839299</v>
      </c>
      <c r="E675">
        <v>1.0679085851708601</v>
      </c>
      <c r="F675">
        <v>0.89214102020682295</v>
      </c>
      <c r="G675">
        <v>0.738952402137107</v>
      </c>
      <c r="H675">
        <v>0.65308536154421704</v>
      </c>
      <c r="I675">
        <v>0.68039508186883502</v>
      </c>
      <c r="J675">
        <v>0.43798713864892402</v>
      </c>
      <c r="K675">
        <v>0.52298693169166</v>
      </c>
      <c r="L675">
        <v>950.92892201588199</v>
      </c>
      <c r="M675">
        <v>16.292529903733602</v>
      </c>
      <c r="O675">
        <v>57.5079185472948</v>
      </c>
      <c r="P675">
        <v>-3.7179965558701199E-2</v>
      </c>
      <c r="Q675">
        <v>0.47510039302851598</v>
      </c>
      <c r="R675">
        <v>0.88612353996163895</v>
      </c>
      <c r="S675" t="s">
        <v>4507</v>
      </c>
      <c r="T675" t="s">
        <v>7662</v>
      </c>
      <c r="U675" t="s">
        <v>7662</v>
      </c>
      <c r="V675" t="s">
        <v>7662</v>
      </c>
      <c r="W675">
        <v>1</v>
      </c>
      <c r="X675" t="s">
        <v>8337</v>
      </c>
      <c r="Y675">
        <v>0.80289288989834284</v>
      </c>
      <c r="Z675" t="str">
        <f>HYPERLINK("Melting_Curves/meltCurve_sp_P16885_PLCG2_HUMAN_.pdf", "Melting_Curves/meltCurve_sp_P16885_PLCG2_HUMAN_.pdf")</f>
        <v>Melting_Curves/meltCurve_sp_P16885_PLCG2_HUMAN_.pdf</v>
      </c>
      <c r="AA675" t="s">
        <v>12155</v>
      </c>
      <c r="AB675" t="s">
        <v>15916</v>
      </c>
    </row>
    <row r="676" spans="1:28" x14ac:dyDescent="0.25">
      <c r="A676" t="s">
        <v>680</v>
      </c>
      <c r="B676">
        <v>0.98876768158843997</v>
      </c>
      <c r="C676">
        <v>0.97458620080403502</v>
      </c>
      <c r="D676">
        <v>0.92739187768911002</v>
      </c>
      <c r="E676">
        <v>0.88632408324665701</v>
      </c>
      <c r="F676">
        <v>0.80041293621261</v>
      </c>
      <c r="G676">
        <v>0.61681896529116598</v>
      </c>
      <c r="H676">
        <v>0.56019921434432596</v>
      </c>
      <c r="I676">
        <v>0.60412416651905398</v>
      </c>
      <c r="J676">
        <v>0.53905957564701401</v>
      </c>
      <c r="K676">
        <v>0.26308634795570501</v>
      </c>
      <c r="L676">
        <v>409.231849495066</v>
      </c>
      <c r="M676">
        <v>6.34580407252479</v>
      </c>
      <c r="N676">
        <v>64.488573030172006</v>
      </c>
      <c r="O676">
        <v>58.975117412952102</v>
      </c>
      <c r="P676">
        <v>-2.69715976008723E-2</v>
      </c>
      <c r="Q676">
        <v>0</v>
      </c>
      <c r="R676">
        <v>0.92201308445261398</v>
      </c>
      <c r="S676" t="s">
        <v>4508</v>
      </c>
      <c r="T676" t="s">
        <v>7662</v>
      </c>
      <c r="U676" t="s">
        <v>7662</v>
      </c>
      <c r="V676" t="s">
        <v>7662</v>
      </c>
      <c r="W676">
        <v>20</v>
      </c>
      <c r="X676" t="s">
        <v>8338</v>
      </c>
      <c r="Y676">
        <v>0.72346162499617017</v>
      </c>
      <c r="Z676" t="str">
        <f>HYPERLINK("Melting_Curves/meltCurve_sp_P16930_FAAA_HUMAN_.pdf", "Melting_Curves/meltCurve_sp_P16930_FAAA_HUMAN_.pdf")</f>
        <v>Melting_Curves/meltCurve_sp_P16930_FAAA_HUMAN_.pdf</v>
      </c>
      <c r="AA676" t="s">
        <v>12156</v>
      </c>
      <c r="AB676" t="s">
        <v>15917</v>
      </c>
    </row>
    <row r="677" spans="1:28" x14ac:dyDescent="0.25">
      <c r="A677" t="s">
        <v>681</v>
      </c>
      <c r="B677">
        <v>0.98876768158843997</v>
      </c>
      <c r="C677">
        <v>1.17492451117184</v>
      </c>
      <c r="D677">
        <v>0.84286005039657397</v>
      </c>
      <c r="E677">
        <v>0.723268565305487</v>
      </c>
      <c r="F677">
        <v>0.78971851999601905</v>
      </c>
      <c r="G677">
        <v>0.55811884610503704</v>
      </c>
      <c r="H677">
        <v>0.45868658392990902</v>
      </c>
      <c r="I677">
        <v>0.54033965089236702</v>
      </c>
      <c r="J677">
        <v>0.59968614376885698</v>
      </c>
      <c r="K677">
        <v>0.70705229441298201</v>
      </c>
      <c r="L677">
        <v>989.75357711586798</v>
      </c>
      <c r="M677">
        <v>20.0074758393244</v>
      </c>
      <c r="O677">
        <v>48.982943051065497</v>
      </c>
      <c r="P677">
        <v>-4.3050530316838601E-2</v>
      </c>
      <c r="Q677">
        <v>0.57842295362986496</v>
      </c>
      <c r="R677">
        <v>0.77436468407777703</v>
      </c>
      <c r="S677" t="s">
        <v>4509</v>
      </c>
      <c r="T677" t="s">
        <v>7662</v>
      </c>
      <c r="U677" t="s">
        <v>7662</v>
      </c>
      <c r="V677" t="s">
        <v>7662</v>
      </c>
      <c r="W677">
        <v>9</v>
      </c>
      <c r="X677" t="s">
        <v>8339</v>
      </c>
      <c r="Y677">
        <v>0.71736914903058746</v>
      </c>
      <c r="Z677" t="str">
        <f>HYPERLINK("Melting_Curves/meltCurve_sp_P16949_STMN1_HUMAN_.pdf", "Melting_Curves/meltCurve_sp_P16949_STMN1_HUMAN_.pdf")</f>
        <v>Melting_Curves/meltCurve_sp_P16949_STMN1_HUMAN_.pdf</v>
      </c>
      <c r="AA677" t="s">
        <v>12157</v>
      </c>
      <c r="AB677" t="s">
        <v>15918</v>
      </c>
    </row>
    <row r="678" spans="1:28" x14ac:dyDescent="0.25">
      <c r="A678" t="s">
        <v>682</v>
      </c>
      <c r="B678">
        <v>0.98876768158843997</v>
      </c>
      <c r="C678">
        <v>1.0251889698741501</v>
      </c>
      <c r="D678">
        <v>0.98113603595495602</v>
      </c>
      <c r="E678">
        <v>0.94751238797079296</v>
      </c>
      <c r="F678">
        <v>0.61528971540896304</v>
      </c>
      <c r="G678">
        <v>0.55874679689999496</v>
      </c>
      <c r="H678">
        <v>0.51087144255440498</v>
      </c>
      <c r="I678">
        <v>0.58042944474790603</v>
      </c>
      <c r="J678">
        <v>0.54384762603499204</v>
      </c>
      <c r="K678">
        <v>0.56836354247278897</v>
      </c>
      <c r="L678">
        <v>3372.19044174278</v>
      </c>
      <c r="M678">
        <v>65.430396432289399</v>
      </c>
      <c r="O678">
        <v>51.490515437513899</v>
      </c>
      <c r="P678">
        <v>-0.14224510440753799</v>
      </c>
      <c r="Q678">
        <v>0.55224045747266504</v>
      </c>
      <c r="R678">
        <v>0.99091487372328502</v>
      </c>
      <c r="S678" t="s">
        <v>4510</v>
      </c>
      <c r="T678" t="s">
        <v>7662</v>
      </c>
      <c r="U678" t="s">
        <v>7662</v>
      </c>
      <c r="V678" t="s">
        <v>7662</v>
      </c>
      <c r="W678">
        <v>4</v>
      </c>
      <c r="X678" t="s">
        <v>8340</v>
      </c>
      <c r="Y678">
        <v>0.72505063972466677</v>
      </c>
      <c r="Z678" t="str">
        <f>HYPERLINK("Melting_Curves/meltCurve_sp_P16989_2_YBOX3_HUMAN_.pdf", "Melting_Curves/meltCurve_sp_P16989_2_YBOX3_HUMAN_.pdf")</f>
        <v>Melting_Curves/meltCurve_sp_P16989_2_YBOX3_HUMAN_.pdf</v>
      </c>
      <c r="AA678" t="s">
        <v>12158</v>
      </c>
      <c r="AB678" t="s">
        <v>15919</v>
      </c>
    </row>
    <row r="679" spans="1:28" x14ac:dyDescent="0.25">
      <c r="A679" t="s">
        <v>683</v>
      </c>
      <c r="B679">
        <v>0.98876768158843997</v>
      </c>
      <c r="C679">
        <v>1.0049649368723701</v>
      </c>
      <c r="D679">
        <v>0.86118534382784195</v>
      </c>
      <c r="E679">
        <v>0.73401698549595695</v>
      </c>
      <c r="F679">
        <v>0.84837097733486</v>
      </c>
      <c r="G679">
        <v>0.70932130387943504</v>
      </c>
      <c r="H679">
        <v>0.51383473468615204</v>
      </c>
      <c r="I679">
        <v>0.60521415832121495</v>
      </c>
      <c r="J679">
        <v>0.56437555914621396</v>
      </c>
      <c r="K679">
        <v>0.89193709584523295</v>
      </c>
      <c r="L679">
        <v>751.70212090994698</v>
      </c>
      <c r="M679">
        <v>15.528768562347601</v>
      </c>
      <c r="O679">
        <v>47.625635463414497</v>
      </c>
      <c r="P679">
        <v>-2.7904050631732898E-2</v>
      </c>
      <c r="Q679">
        <v>0.65771130209892903</v>
      </c>
      <c r="R679">
        <v>0.58732768895179199</v>
      </c>
      <c r="S679" t="s">
        <v>4511</v>
      </c>
      <c r="T679" t="s">
        <v>7662</v>
      </c>
      <c r="U679" t="s">
        <v>7662</v>
      </c>
      <c r="V679" t="s">
        <v>7662</v>
      </c>
      <c r="W679">
        <v>2</v>
      </c>
      <c r="X679" t="s">
        <v>8341</v>
      </c>
      <c r="Y679">
        <v>0.76171590061135031</v>
      </c>
      <c r="Z679" t="str">
        <f>HYPERLINK("Melting_Curves/meltCurve_sp_P17029_ZKSC1_HUMAN_.pdf", "Melting_Curves/meltCurve_sp_P17029_ZKSC1_HUMAN_.pdf")</f>
        <v>Melting_Curves/meltCurve_sp_P17029_ZKSC1_HUMAN_.pdf</v>
      </c>
      <c r="AA679" t="s">
        <v>12159</v>
      </c>
      <c r="AB679" t="s">
        <v>15920</v>
      </c>
    </row>
    <row r="680" spans="1:28" x14ac:dyDescent="0.25">
      <c r="A680" t="s">
        <v>684</v>
      </c>
      <c r="B680">
        <v>0.98876768158843997</v>
      </c>
      <c r="C680">
        <v>1.07238681488782</v>
      </c>
      <c r="D680">
        <v>0.85954201690343202</v>
      </c>
      <c r="E680">
        <v>0.79205116061404401</v>
      </c>
      <c r="F680">
        <v>0.76042431022609502</v>
      </c>
      <c r="G680">
        <v>0.41823783711460799</v>
      </c>
      <c r="H680">
        <v>0.161766191383793</v>
      </c>
      <c r="I680">
        <v>8.8249085528203694E-2</v>
      </c>
      <c r="J680">
        <v>9.4402856237288696E-2</v>
      </c>
      <c r="K680">
        <v>6.4227210561227793E-2</v>
      </c>
      <c r="L680">
        <v>855.27726674462099</v>
      </c>
      <c r="M680">
        <v>15.366187982772599</v>
      </c>
      <c r="N680">
        <v>55.659690516506998</v>
      </c>
      <c r="O680">
        <v>54.7425939933187</v>
      </c>
      <c r="P680">
        <v>-7.01812157335307E-2</v>
      </c>
      <c r="Q680">
        <v>0</v>
      </c>
      <c r="R680">
        <v>0.97921710141711904</v>
      </c>
      <c r="S680" t="s">
        <v>4512</v>
      </c>
      <c r="T680" t="s">
        <v>7662</v>
      </c>
      <c r="U680" t="s">
        <v>7662</v>
      </c>
      <c r="V680" t="s">
        <v>7662</v>
      </c>
      <c r="W680">
        <v>8</v>
      </c>
      <c r="X680" t="s">
        <v>8342</v>
      </c>
      <c r="Y680">
        <v>0.53988086094172083</v>
      </c>
      <c r="Z680" t="str">
        <f>HYPERLINK("Melting_Curves/meltCurve_sp_P17050_NAGAB_HUMAN_.pdf", "Melting_Curves/meltCurve_sp_P17050_NAGAB_HUMAN_.pdf")</f>
        <v>Melting_Curves/meltCurve_sp_P17050_NAGAB_HUMAN_.pdf</v>
      </c>
      <c r="AA680" t="s">
        <v>12160</v>
      </c>
      <c r="AB680" t="s">
        <v>15921</v>
      </c>
    </row>
    <row r="681" spans="1:28" x14ac:dyDescent="0.25">
      <c r="A681" t="s">
        <v>685</v>
      </c>
      <c r="B681">
        <v>0.98876768158843997</v>
      </c>
      <c r="C681">
        <v>0.97583696577546997</v>
      </c>
      <c r="D681">
        <v>0.918358358622683</v>
      </c>
      <c r="E681">
        <v>0.65274164672263602</v>
      </c>
      <c r="F681">
        <v>0.23497638553786501</v>
      </c>
      <c r="G681">
        <v>0.11119865983983</v>
      </c>
      <c r="H681">
        <v>7.7657373235253305E-2</v>
      </c>
      <c r="I681">
        <v>6.73436680022486E-2</v>
      </c>
      <c r="J681">
        <v>5.3885404971011103E-2</v>
      </c>
      <c r="K681">
        <v>4.4428294262684298E-2</v>
      </c>
      <c r="L681">
        <v>1526.84343915367</v>
      </c>
      <c r="M681">
        <v>30.106421701290401</v>
      </c>
      <c r="N681">
        <v>50.930325986929702</v>
      </c>
      <c r="O681">
        <v>50.492675868618598</v>
      </c>
      <c r="P681">
        <v>-0.14015168845496601</v>
      </c>
      <c r="Q681">
        <v>5.9789743011187703E-2</v>
      </c>
      <c r="R681">
        <v>0.99732725151611301</v>
      </c>
      <c r="S681" t="s">
        <v>4513</v>
      </c>
      <c r="T681" t="s">
        <v>7662</v>
      </c>
      <c r="U681" t="s">
        <v>7662</v>
      </c>
      <c r="V681" t="s">
        <v>7662</v>
      </c>
      <c r="W681">
        <v>13</v>
      </c>
      <c r="X681" t="s">
        <v>8343</v>
      </c>
      <c r="Y681">
        <v>0.40143977586264717</v>
      </c>
      <c r="Z681" t="str">
        <f>HYPERLINK("Melting_Curves/meltCurve_sp_P17066_HSP76_HUMAN_.pdf", "Melting_Curves/meltCurve_sp_P17066_HSP76_HUMAN_.pdf")</f>
        <v>Melting_Curves/meltCurve_sp_P17066_HSP76_HUMAN_.pdf</v>
      </c>
      <c r="AA681" t="s">
        <v>12161</v>
      </c>
      <c r="AB681" t="s">
        <v>15922</v>
      </c>
    </row>
    <row r="682" spans="1:28" x14ac:dyDescent="0.25">
      <c r="A682" t="s">
        <v>686</v>
      </c>
      <c r="B682">
        <v>0.98876768158843997</v>
      </c>
      <c r="C682">
        <v>0.94369468026229697</v>
      </c>
      <c r="D682">
        <v>0.93339278364743805</v>
      </c>
      <c r="E682">
        <v>0.89784718283922405</v>
      </c>
      <c r="F682">
        <v>0.83466838954511902</v>
      </c>
      <c r="G682">
        <v>0.651415376665196</v>
      </c>
      <c r="H682">
        <v>0.58317191604999896</v>
      </c>
      <c r="I682">
        <v>0.67050982013738603</v>
      </c>
      <c r="J682">
        <v>0.66605214149201197</v>
      </c>
      <c r="K682">
        <v>0.48142325080436998</v>
      </c>
      <c r="L682">
        <v>618.11529631835595</v>
      </c>
      <c r="M682">
        <v>11.374249631926199</v>
      </c>
      <c r="O682">
        <v>52.7449367057419</v>
      </c>
      <c r="P682">
        <v>-2.5273024542919801E-2</v>
      </c>
      <c r="Q682">
        <v>0.531352320953979</v>
      </c>
      <c r="R682">
        <v>0.89923789434741197</v>
      </c>
      <c r="S682" t="s">
        <v>4514</v>
      </c>
      <c r="T682" t="s">
        <v>7662</v>
      </c>
      <c r="U682" t="s">
        <v>7662</v>
      </c>
      <c r="V682" t="s">
        <v>7662</v>
      </c>
      <c r="W682">
        <v>32</v>
      </c>
      <c r="X682" t="s">
        <v>8344</v>
      </c>
      <c r="Y682">
        <v>0.7677722985697738</v>
      </c>
      <c r="Z682" t="str">
        <f>HYPERLINK("Melting_Curves/meltCurve_sp_P17174_AATC_HUMAN_.pdf", "Melting_Curves/meltCurve_sp_P17174_AATC_HUMAN_.pdf")</f>
        <v>Melting_Curves/meltCurve_sp_P17174_AATC_HUMAN_.pdf</v>
      </c>
      <c r="AA682" t="s">
        <v>12162</v>
      </c>
      <c r="AB682" t="s">
        <v>15923</v>
      </c>
    </row>
    <row r="683" spans="1:28" x14ac:dyDescent="0.25">
      <c r="A683" t="s">
        <v>687</v>
      </c>
      <c r="B683">
        <v>0.98876768158843997</v>
      </c>
      <c r="C683">
        <v>1.0462193270620701</v>
      </c>
      <c r="D683">
        <v>0.773762052164914</v>
      </c>
      <c r="E683">
        <v>0.39631598415123598</v>
      </c>
      <c r="F683">
        <v>0.179586854975161</v>
      </c>
      <c r="G683">
        <v>0.114172165947646</v>
      </c>
      <c r="H683">
        <v>7.4876403897742194E-2</v>
      </c>
      <c r="I683">
        <v>6.4418203522474599E-2</v>
      </c>
      <c r="J683">
        <v>6.5558591721756404E-2</v>
      </c>
      <c r="K683">
        <v>5.3394054211634498E-2</v>
      </c>
      <c r="L683">
        <v>1150.2203620467401</v>
      </c>
      <c r="M683">
        <v>23.652067637490099</v>
      </c>
      <c r="N683">
        <v>48.924393685370497</v>
      </c>
      <c r="O683">
        <v>48.287239449005497</v>
      </c>
      <c r="P683">
        <v>-0.114356749058801</v>
      </c>
      <c r="Q683">
        <v>6.6148895607629904E-2</v>
      </c>
      <c r="R683">
        <v>0.99390384139451105</v>
      </c>
      <c r="S683" t="s">
        <v>4515</v>
      </c>
      <c r="T683" t="s">
        <v>7662</v>
      </c>
      <c r="U683" t="s">
        <v>7662</v>
      </c>
      <c r="V683" t="s">
        <v>7662</v>
      </c>
      <c r="W683">
        <v>21</v>
      </c>
      <c r="X683" t="s">
        <v>8345</v>
      </c>
      <c r="Y683">
        <v>0.34408353752423332</v>
      </c>
      <c r="Z683" t="str">
        <f>HYPERLINK("Melting_Curves/meltCurve_sp_P17516_AK1C4_HUMAN_.pdf", "Melting_Curves/meltCurve_sp_P17516_AK1C4_HUMAN_.pdf")</f>
        <v>Melting_Curves/meltCurve_sp_P17516_AK1C4_HUMAN_.pdf</v>
      </c>
      <c r="AA683" t="s">
        <v>12163</v>
      </c>
      <c r="AB683" t="s">
        <v>15924</v>
      </c>
    </row>
    <row r="684" spans="1:28" x14ac:dyDescent="0.25">
      <c r="A684" t="s">
        <v>688</v>
      </c>
      <c r="B684">
        <v>0.98876768158843997</v>
      </c>
      <c r="C684">
        <v>1.09193671016164</v>
      </c>
      <c r="D684">
        <v>0.97872322259895395</v>
      </c>
      <c r="E684">
        <v>0.79474822825308</v>
      </c>
      <c r="F684">
        <v>1.0344042337811099</v>
      </c>
      <c r="G684">
        <v>0.467800200649714</v>
      </c>
      <c r="H684">
        <v>0.37663480927061699</v>
      </c>
      <c r="I684">
        <v>0.36181874861122798</v>
      </c>
      <c r="J684">
        <v>0.780851288079772</v>
      </c>
      <c r="K684">
        <v>0.55506214178249802</v>
      </c>
      <c r="L684">
        <v>7559.0734665187601</v>
      </c>
      <c r="M684">
        <v>137.734238603325</v>
      </c>
      <c r="O684">
        <v>54.870018257164801</v>
      </c>
      <c r="P684">
        <v>-0.30883000426444102</v>
      </c>
      <c r="Q684">
        <v>0.50787813132895199</v>
      </c>
      <c r="R684">
        <v>0.76334773658265598</v>
      </c>
      <c r="S684" t="s">
        <v>4516</v>
      </c>
      <c r="T684" t="s">
        <v>7662</v>
      </c>
      <c r="U684" t="s">
        <v>7662</v>
      </c>
      <c r="V684" t="s">
        <v>7662</v>
      </c>
      <c r="W684">
        <v>1</v>
      </c>
      <c r="X684" t="s">
        <v>8346</v>
      </c>
      <c r="Y684">
        <v>0.75215283468575334</v>
      </c>
      <c r="Z684" t="str">
        <f>HYPERLINK("Melting_Curves/meltCurve_sp_P17544_5_ATF7_HUMAN_.pdf", "Melting_Curves/meltCurve_sp_P17544_5_ATF7_HUMAN_.pdf")</f>
        <v>Melting_Curves/meltCurve_sp_P17544_5_ATF7_HUMAN_.pdf</v>
      </c>
      <c r="AA684" t="s">
        <v>12164</v>
      </c>
      <c r="AB684" t="s">
        <v>15925</v>
      </c>
    </row>
    <row r="685" spans="1:28" x14ac:dyDescent="0.25">
      <c r="A685" t="s">
        <v>689</v>
      </c>
      <c r="B685">
        <v>0.98876768158843997</v>
      </c>
      <c r="C685">
        <v>0.97208800055281597</v>
      </c>
      <c r="D685">
        <v>1.0174248252023499</v>
      </c>
      <c r="E685">
        <v>0.78052360120197495</v>
      </c>
      <c r="F685">
        <v>0.30445450874820501</v>
      </c>
      <c r="G685">
        <v>8.6430046179261893E-2</v>
      </c>
      <c r="H685">
        <v>3.7207858856587298E-2</v>
      </c>
      <c r="I685">
        <v>3.0120295882566199E-2</v>
      </c>
      <c r="J685">
        <v>3.0453623496026101E-2</v>
      </c>
      <c r="K685">
        <v>2.70509030109507E-2</v>
      </c>
      <c r="L685">
        <v>1893.6582797845001</v>
      </c>
      <c r="M685">
        <v>36.6512810542594</v>
      </c>
      <c r="N685">
        <v>51.767920072416601</v>
      </c>
      <c r="O685">
        <v>51.513816999452303</v>
      </c>
      <c r="P685">
        <v>-0.17173336088933699</v>
      </c>
      <c r="Q685">
        <v>3.4509622342200001E-2</v>
      </c>
      <c r="R685">
        <v>0.99878258031085798</v>
      </c>
      <c r="S685" t="s">
        <v>4517</v>
      </c>
      <c r="T685" t="s">
        <v>7662</v>
      </c>
      <c r="U685" t="s">
        <v>7662</v>
      </c>
      <c r="V685" t="s">
        <v>7662</v>
      </c>
      <c r="W685">
        <v>12</v>
      </c>
      <c r="X685" t="s">
        <v>8347</v>
      </c>
      <c r="Y685">
        <v>0.41409547153421011</v>
      </c>
      <c r="Z685" t="str">
        <f>HYPERLINK("Melting_Curves/meltCurve_sp_P17612_KAPCA_HUMAN_.pdf", "Melting_Curves/meltCurve_sp_P17612_KAPCA_HUMAN_.pdf")</f>
        <v>Melting_Curves/meltCurve_sp_P17612_KAPCA_HUMAN_.pdf</v>
      </c>
      <c r="AA685" t="s">
        <v>12165</v>
      </c>
      <c r="AB685" t="s">
        <v>15926</v>
      </c>
    </row>
    <row r="686" spans="1:28" x14ac:dyDescent="0.25">
      <c r="A686" t="s">
        <v>690</v>
      </c>
      <c r="B686">
        <v>0.98876768158843997</v>
      </c>
      <c r="C686">
        <v>0.90910090010045297</v>
      </c>
      <c r="D686">
        <v>0.91187722809842697</v>
      </c>
      <c r="E686">
        <v>0.67981383721717203</v>
      </c>
      <c r="F686">
        <v>0.53626145402924597</v>
      </c>
      <c r="G686">
        <v>0.19986778666230201</v>
      </c>
      <c r="H686">
        <v>7.6020985882540595E-2</v>
      </c>
      <c r="I686">
        <v>6.2232404426577501E-2</v>
      </c>
      <c r="J686">
        <v>7.0590195864679503E-2</v>
      </c>
      <c r="K686">
        <v>6.5089274287379095E-2</v>
      </c>
      <c r="L686">
        <v>858.35801425253305</v>
      </c>
      <c r="M686">
        <v>16.339818035102699</v>
      </c>
      <c r="N686">
        <v>52.676657938675397</v>
      </c>
      <c r="O686">
        <v>51.7637569861811</v>
      </c>
      <c r="P686">
        <v>-7.7185795256595705E-2</v>
      </c>
      <c r="Q686">
        <v>2.1987099745148501E-2</v>
      </c>
      <c r="R686">
        <v>0.99119506252206302</v>
      </c>
      <c r="S686" t="s">
        <v>4518</v>
      </c>
      <c r="T686" t="s">
        <v>7662</v>
      </c>
      <c r="U686" t="s">
        <v>7662</v>
      </c>
      <c r="V686" t="s">
        <v>7662</v>
      </c>
      <c r="W686">
        <v>12</v>
      </c>
      <c r="X686" t="s">
        <v>8348</v>
      </c>
      <c r="Y686">
        <v>0.44937935414531321</v>
      </c>
      <c r="Z686" t="str">
        <f>HYPERLINK("Melting_Curves/meltCurve_sp_P17655_CAN2_HUMAN_.pdf", "Melting_Curves/meltCurve_sp_P17655_CAN2_HUMAN_.pdf")</f>
        <v>Melting_Curves/meltCurve_sp_P17655_CAN2_HUMAN_.pdf</v>
      </c>
      <c r="AA686" t="s">
        <v>12166</v>
      </c>
      <c r="AB686" t="s">
        <v>15927</v>
      </c>
    </row>
    <row r="687" spans="1:28" x14ac:dyDescent="0.25">
      <c r="A687" t="s">
        <v>691</v>
      </c>
      <c r="B687">
        <v>0.98876768158843997</v>
      </c>
      <c r="C687">
        <v>1.0052749277928501</v>
      </c>
      <c r="D687">
        <v>0.91952309294288903</v>
      </c>
      <c r="E687">
        <v>0.65384676706005396</v>
      </c>
      <c r="F687">
        <v>0.59718969878749395</v>
      </c>
      <c r="G687">
        <v>0.31784852047091999</v>
      </c>
      <c r="H687">
        <v>0.15804453409373201</v>
      </c>
      <c r="I687">
        <v>0.124344076947314</v>
      </c>
      <c r="J687">
        <v>0.11767547887905901</v>
      </c>
      <c r="K687">
        <v>0.107246224588259</v>
      </c>
      <c r="L687">
        <v>756.686361463548</v>
      </c>
      <c r="M687">
        <v>14.260483943187699</v>
      </c>
      <c r="N687">
        <v>53.559167866050203</v>
      </c>
      <c r="O687">
        <v>52.051037871824299</v>
      </c>
      <c r="P687">
        <v>-6.4252674102131604E-2</v>
      </c>
      <c r="Q687">
        <v>6.2021562689925799E-2</v>
      </c>
      <c r="R687">
        <v>0.99092363880735201</v>
      </c>
      <c r="S687" t="s">
        <v>4519</v>
      </c>
      <c r="T687" t="s">
        <v>7662</v>
      </c>
      <c r="U687" t="s">
        <v>7662</v>
      </c>
      <c r="V687" t="s">
        <v>7662</v>
      </c>
      <c r="W687">
        <v>10</v>
      </c>
      <c r="X687" t="s">
        <v>8349</v>
      </c>
      <c r="Y687">
        <v>0.49196516583013139</v>
      </c>
      <c r="Z687" t="str">
        <f>HYPERLINK("Melting_Curves/meltCurve_sp_P17735_ATTY_HUMAN_.pdf", "Melting_Curves/meltCurve_sp_P17735_ATTY_HUMAN_.pdf")</f>
        <v>Melting_Curves/meltCurve_sp_P17735_ATTY_HUMAN_.pdf</v>
      </c>
      <c r="AA687" t="s">
        <v>12167</v>
      </c>
      <c r="AB687" t="s">
        <v>15928</v>
      </c>
    </row>
    <row r="688" spans="1:28" x14ac:dyDescent="0.25">
      <c r="A688" t="s">
        <v>692</v>
      </c>
      <c r="B688">
        <v>0.98876768158843997</v>
      </c>
      <c r="C688">
        <v>0.97431450825382904</v>
      </c>
      <c r="D688">
        <v>0.74635462670070296</v>
      </c>
      <c r="E688">
        <v>0.52404109152651002</v>
      </c>
      <c r="F688">
        <v>0.32386308782574802</v>
      </c>
      <c r="G688">
        <v>0.16361998638962399</v>
      </c>
      <c r="H688">
        <v>8.70264443089971E-2</v>
      </c>
      <c r="I688">
        <v>8.0113184506756502E-2</v>
      </c>
      <c r="J688">
        <v>7.2521516687745494E-2</v>
      </c>
      <c r="K688">
        <v>7.45650227587831E-2</v>
      </c>
      <c r="L688">
        <v>775.21130673462096</v>
      </c>
      <c r="M688">
        <v>15.5822664778171</v>
      </c>
      <c r="N688">
        <v>50.110905954469303</v>
      </c>
      <c r="O688">
        <v>48.951833383919897</v>
      </c>
      <c r="P688">
        <v>-7.5357590811893194E-2</v>
      </c>
      <c r="Q688">
        <v>5.3136273847415601E-2</v>
      </c>
      <c r="R688">
        <v>0.99598991719367402</v>
      </c>
      <c r="S688" t="s">
        <v>4520</v>
      </c>
      <c r="T688" t="s">
        <v>7662</v>
      </c>
      <c r="U688" t="s">
        <v>7662</v>
      </c>
      <c r="V688" t="s">
        <v>7662</v>
      </c>
      <c r="W688">
        <v>7</v>
      </c>
      <c r="X688" t="s">
        <v>8350</v>
      </c>
      <c r="Y688">
        <v>0.38209851061627581</v>
      </c>
      <c r="Z688" t="str">
        <f>HYPERLINK("Melting_Curves/meltCurve_sp_P17812_PYRG1_HUMAN_.pdf", "Melting_Curves/meltCurve_sp_P17812_PYRG1_HUMAN_.pdf")</f>
        <v>Melting_Curves/meltCurve_sp_P17812_PYRG1_HUMAN_.pdf</v>
      </c>
      <c r="AA688" t="s">
        <v>12168</v>
      </c>
      <c r="AB688" t="s">
        <v>15929</v>
      </c>
    </row>
    <row r="689" spans="1:28" x14ac:dyDescent="0.25">
      <c r="A689" t="s">
        <v>693</v>
      </c>
      <c r="B689">
        <v>0.98876768158843997</v>
      </c>
      <c r="C689">
        <v>0.94327005708307299</v>
      </c>
      <c r="D689">
        <v>0.922720870834144</v>
      </c>
      <c r="E689">
        <v>0.797958943926799</v>
      </c>
      <c r="F689">
        <v>0.41560506397137498</v>
      </c>
      <c r="G689">
        <v>0.19449424098251</v>
      </c>
      <c r="H689">
        <v>9.6450303237964594E-2</v>
      </c>
      <c r="I689">
        <v>6.9195490069126897E-2</v>
      </c>
      <c r="J689">
        <v>8.6162446672509205E-2</v>
      </c>
      <c r="K689">
        <v>8.2209358169619204E-2</v>
      </c>
      <c r="L689">
        <v>1309.0443472509101</v>
      </c>
      <c r="M689">
        <v>25.116172611110802</v>
      </c>
      <c r="N689">
        <v>52.467603835739801</v>
      </c>
      <c r="O689">
        <v>51.792560340708903</v>
      </c>
      <c r="P689">
        <v>-0.11193371182810199</v>
      </c>
      <c r="Q689">
        <v>7.6729538259328503E-2</v>
      </c>
      <c r="R689">
        <v>0.994778375881469</v>
      </c>
      <c r="S689" t="s">
        <v>4521</v>
      </c>
      <c r="T689" t="s">
        <v>7662</v>
      </c>
      <c r="U689" t="s">
        <v>7662</v>
      </c>
      <c r="V689" t="s">
        <v>7662</v>
      </c>
      <c r="W689">
        <v>18</v>
      </c>
      <c r="X689" t="s">
        <v>8351</v>
      </c>
      <c r="Y689">
        <v>0.45808132027852799</v>
      </c>
      <c r="Z689" t="str">
        <f>HYPERLINK("Melting_Curves/meltCurve_sp_P17858_K6PL_HUMAN_.pdf", "Melting_Curves/meltCurve_sp_P17858_K6PL_HUMAN_.pdf")</f>
        <v>Melting_Curves/meltCurve_sp_P17858_K6PL_HUMAN_.pdf</v>
      </c>
      <c r="AA689" t="s">
        <v>12169</v>
      </c>
      <c r="AB689" t="s">
        <v>15930</v>
      </c>
    </row>
    <row r="690" spans="1:28" x14ac:dyDescent="0.25">
      <c r="A690" t="s">
        <v>694</v>
      </c>
      <c r="B690">
        <v>0.98876768158843997</v>
      </c>
      <c r="C690">
        <v>1.0181702868965301</v>
      </c>
      <c r="D690">
        <v>0.85145476476329696</v>
      </c>
      <c r="E690">
        <v>0.66050947586999098</v>
      </c>
      <c r="F690">
        <v>0.72047037957133497</v>
      </c>
      <c r="G690">
        <v>0.467397922845673</v>
      </c>
      <c r="H690">
        <v>0.30839031255464999</v>
      </c>
      <c r="I690">
        <v>0.29138916499676298</v>
      </c>
      <c r="J690">
        <v>0.33439942031522202</v>
      </c>
      <c r="K690">
        <v>0.29678591962050999</v>
      </c>
      <c r="L690">
        <v>623.647220456951</v>
      </c>
      <c r="M690">
        <v>11.801530095107999</v>
      </c>
      <c r="N690">
        <v>55.9161171372184</v>
      </c>
      <c r="O690">
        <v>51.395753133331098</v>
      </c>
      <c r="P690">
        <v>-4.3723881760114901E-2</v>
      </c>
      <c r="Q690">
        <v>0.238524110677373</v>
      </c>
      <c r="R690">
        <v>0.96038942293651797</v>
      </c>
      <c r="S690" t="s">
        <v>4522</v>
      </c>
      <c r="T690" t="s">
        <v>7662</v>
      </c>
      <c r="U690" t="s">
        <v>7662</v>
      </c>
      <c r="V690" t="s">
        <v>7662</v>
      </c>
      <c r="W690">
        <v>4</v>
      </c>
      <c r="X690" t="s">
        <v>8352</v>
      </c>
      <c r="Y690">
        <v>0.58691316584922015</v>
      </c>
      <c r="Z690" t="str">
        <f>HYPERLINK("Melting_Curves/meltCurve_sp_P17900_SAP3_HUMAN_.pdf", "Melting_Curves/meltCurve_sp_P17900_SAP3_HUMAN_.pdf")</f>
        <v>Melting_Curves/meltCurve_sp_P17900_SAP3_HUMAN_.pdf</v>
      </c>
      <c r="AA690" t="s">
        <v>12170</v>
      </c>
      <c r="AB690" t="s">
        <v>15931</v>
      </c>
    </row>
    <row r="691" spans="1:28" x14ac:dyDescent="0.25">
      <c r="A691" t="s">
        <v>695</v>
      </c>
      <c r="B691">
        <v>0.98876768158843997</v>
      </c>
      <c r="C691">
        <v>0.89181164434638605</v>
      </c>
      <c r="D691">
        <v>0.72560165484496697</v>
      </c>
      <c r="E691">
        <v>0.67465969682469995</v>
      </c>
      <c r="F691">
        <v>0.51596530159490905</v>
      </c>
      <c r="G691">
        <v>0.35076060847896101</v>
      </c>
      <c r="H691">
        <v>0.18822803774243599</v>
      </c>
      <c r="I691">
        <v>0.14813974494881599</v>
      </c>
      <c r="J691">
        <v>0.133237381030959</v>
      </c>
      <c r="K691">
        <v>0.110950007198409</v>
      </c>
      <c r="L691">
        <v>487.62696343645803</v>
      </c>
      <c r="M691">
        <v>9.2184856516863398</v>
      </c>
      <c r="N691">
        <v>52.8966436516355</v>
      </c>
      <c r="O691">
        <v>50.586043840930202</v>
      </c>
      <c r="P691">
        <v>-4.5588655176263003E-2</v>
      </c>
      <c r="Q691">
        <v>0</v>
      </c>
      <c r="R691">
        <v>0.98838738620686295</v>
      </c>
      <c r="S691" t="s">
        <v>4523</v>
      </c>
      <c r="T691" t="s">
        <v>7662</v>
      </c>
      <c r="U691" t="s">
        <v>7662</v>
      </c>
      <c r="V691" t="s">
        <v>7662</v>
      </c>
      <c r="W691">
        <v>4</v>
      </c>
      <c r="X691" t="s">
        <v>8353</v>
      </c>
      <c r="Y691">
        <v>0.46705232697102711</v>
      </c>
      <c r="Z691" t="str">
        <f>HYPERLINK("Melting_Curves/meltCurve_sp_P17931_LEG3_HUMAN_.pdf", "Melting_Curves/meltCurve_sp_P17931_LEG3_HUMAN_.pdf")</f>
        <v>Melting_Curves/meltCurve_sp_P17931_LEG3_HUMAN_.pdf</v>
      </c>
      <c r="AA691" t="s">
        <v>12171</v>
      </c>
      <c r="AB691" t="s">
        <v>15932</v>
      </c>
    </row>
    <row r="692" spans="1:28" x14ac:dyDescent="0.25">
      <c r="A692" t="s">
        <v>696</v>
      </c>
      <c r="B692">
        <v>0.98876768158843997</v>
      </c>
      <c r="C692">
        <v>0.95712112724353304</v>
      </c>
      <c r="D692">
        <v>1.15681434048638</v>
      </c>
      <c r="E692">
        <v>1.01849877817598</v>
      </c>
      <c r="F692">
        <v>0.50982912074814402</v>
      </c>
      <c r="G692">
        <v>0.154046810780817</v>
      </c>
      <c r="H692">
        <v>6.9246708658474806E-2</v>
      </c>
      <c r="I692">
        <v>6.0886658804416599E-2</v>
      </c>
      <c r="J692">
        <v>7.79103675069268E-2</v>
      </c>
      <c r="K692">
        <v>6.0098053431454197E-2</v>
      </c>
      <c r="L692">
        <v>4275.7597146464304</v>
      </c>
      <c r="M692">
        <v>80.806928501610201</v>
      </c>
      <c r="N692">
        <v>53.0335074136364</v>
      </c>
      <c r="O692">
        <v>52.8809010060669</v>
      </c>
      <c r="P692">
        <v>-0.35005001474909703</v>
      </c>
      <c r="Q692">
        <v>8.3694529171350701E-2</v>
      </c>
      <c r="R692">
        <v>0.98356598644702398</v>
      </c>
      <c r="S692" t="s">
        <v>4524</v>
      </c>
      <c r="T692" t="s">
        <v>7662</v>
      </c>
      <c r="U692" t="s">
        <v>7662</v>
      </c>
      <c r="V692" t="s">
        <v>7662</v>
      </c>
      <c r="W692">
        <v>16</v>
      </c>
      <c r="X692" t="s">
        <v>8354</v>
      </c>
      <c r="Y692">
        <v>0.47892752492484769</v>
      </c>
      <c r="Z692" t="str">
        <f>HYPERLINK("Melting_Curves/meltCurve_sp_P17987_TCPA_HUMAN_.pdf", "Melting_Curves/meltCurve_sp_P17987_TCPA_HUMAN_.pdf")</f>
        <v>Melting_Curves/meltCurve_sp_P17987_TCPA_HUMAN_.pdf</v>
      </c>
      <c r="AA692" t="s">
        <v>12172</v>
      </c>
      <c r="AB692" t="s">
        <v>15933</v>
      </c>
    </row>
    <row r="693" spans="1:28" x14ac:dyDescent="0.25">
      <c r="A693" t="s">
        <v>697</v>
      </c>
      <c r="B693">
        <v>0.98876768158843997</v>
      </c>
      <c r="C693">
        <v>1.0588490724742901</v>
      </c>
      <c r="D693">
        <v>0.83893428088295197</v>
      </c>
      <c r="E693">
        <v>0.61745816032481005</v>
      </c>
      <c r="F693">
        <v>0.73129489474708298</v>
      </c>
      <c r="G693">
        <v>0.49255367213745599</v>
      </c>
      <c r="H693">
        <v>0.37302832984308698</v>
      </c>
      <c r="I693">
        <v>0.40296061562438701</v>
      </c>
      <c r="J693">
        <v>0.60856517573770197</v>
      </c>
      <c r="K693">
        <v>0.60297560947696505</v>
      </c>
      <c r="L693">
        <v>951.91609716207199</v>
      </c>
      <c r="M693">
        <v>19.620719750399001</v>
      </c>
      <c r="O693">
        <v>48.020320255084599</v>
      </c>
      <c r="P693">
        <v>-5.0602906735720703E-2</v>
      </c>
      <c r="Q693">
        <v>0.504629264644188</v>
      </c>
      <c r="R693">
        <v>0.81903062077142597</v>
      </c>
      <c r="S693" t="s">
        <v>4525</v>
      </c>
      <c r="T693" t="s">
        <v>7662</v>
      </c>
      <c r="U693" t="s">
        <v>7662</v>
      </c>
      <c r="V693" t="s">
        <v>7662</v>
      </c>
      <c r="W693">
        <v>6</v>
      </c>
      <c r="X693" t="s">
        <v>8355</v>
      </c>
      <c r="Y693">
        <v>0.65250647320774491</v>
      </c>
      <c r="Z693" t="str">
        <f>HYPERLINK("Melting_Curves/meltCurve_sp_P18065_IBP2_HUMAN_.pdf", "Melting_Curves/meltCurve_sp_P18065_IBP2_HUMAN_.pdf")</f>
        <v>Melting_Curves/meltCurve_sp_P18065_IBP2_HUMAN_.pdf</v>
      </c>
      <c r="AA693" t="s">
        <v>12173</v>
      </c>
      <c r="AB693" t="s">
        <v>15934</v>
      </c>
    </row>
    <row r="694" spans="1:28" x14ac:dyDescent="0.25">
      <c r="A694" t="s">
        <v>698</v>
      </c>
      <c r="B694">
        <v>0.98876768158843997</v>
      </c>
      <c r="C694">
        <v>0.96877380872795205</v>
      </c>
      <c r="D694">
        <v>1.0035458313096</v>
      </c>
      <c r="E694">
        <v>0.93724520358391195</v>
      </c>
      <c r="F694">
        <v>0.74620273758129596</v>
      </c>
      <c r="G694">
        <v>0.62491267885225799</v>
      </c>
      <c r="H694">
        <v>0.54719118455329097</v>
      </c>
      <c r="I694">
        <v>0.60097989664194296</v>
      </c>
      <c r="J694">
        <v>0.354624961908796</v>
      </c>
      <c r="K694">
        <v>9.1093268340310105E-2</v>
      </c>
      <c r="L694">
        <v>571.98589314630703</v>
      </c>
      <c r="M694">
        <v>9.2409528357196393</v>
      </c>
      <c r="N694">
        <v>61.896838884782802</v>
      </c>
      <c r="O694">
        <v>59.205292935090597</v>
      </c>
      <c r="P694">
        <v>-3.9046432955553399E-2</v>
      </c>
      <c r="Q694">
        <v>0</v>
      </c>
      <c r="R694">
        <v>0.912870486806166</v>
      </c>
      <c r="S694" t="s">
        <v>4526</v>
      </c>
      <c r="T694" t="s">
        <v>7662</v>
      </c>
      <c r="U694" t="s">
        <v>7662</v>
      </c>
      <c r="V694" t="s">
        <v>7662</v>
      </c>
      <c r="W694">
        <v>62</v>
      </c>
      <c r="X694" t="s">
        <v>8356</v>
      </c>
      <c r="Y694">
        <v>0.70465853367345965</v>
      </c>
      <c r="Z694" t="str">
        <f>HYPERLINK("Melting_Curves/meltCurve_sp_P18206_2_VINC_HUMAN_.pdf", "Melting_Curves/meltCurve_sp_P18206_2_VINC_HUMAN_.pdf")</f>
        <v>Melting_Curves/meltCurve_sp_P18206_2_VINC_HUMAN_.pdf</v>
      </c>
      <c r="AA694" t="s">
        <v>12174</v>
      </c>
      <c r="AB694" t="s">
        <v>15935</v>
      </c>
    </row>
    <row r="695" spans="1:28" x14ac:dyDescent="0.25">
      <c r="A695" t="s">
        <v>699</v>
      </c>
      <c r="B695">
        <v>0.98876768158843997</v>
      </c>
      <c r="C695">
        <v>0.99755997304872901</v>
      </c>
      <c r="D695">
        <v>0.88366586035170402</v>
      </c>
      <c r="E695">
        <v>0.67437179555252902</v>
      </c>
      <c r="F695">
        <v>0.42243121454460397</v>
      </c>
      <c r="G695">
        <v>0.21090058568835399</v>
      </c>
      <c r="H695">
        <v>0.10002612627762</v>
      </c>
      <c r="I695">
        <v>6.8032316000851495E-2</v>
      </c>
      <c r="J695">
        <v>8.3124274522488398E-2</v>
      </c>
      <c r="K695">
        <v>6.0435267671831702E-2</v>
      </c>
      <c r="L695">
        <v>910.72118360464401</v>
      </c>
      <c r="M695">
        <v>17.605969319322199</v>
      </c>
      <c r="N695">
        <v>52.035685619088397</v>
      </c>
      <c r="O695">
        <v>51.074465517757901</v>
      </c>
      <c r="P695">
        <v>-8.19219394386278E-2</v>
      </c>
      <c r="Q695">
        <v>4.9437393659789497E-2</v>
      </c>
      <c r="R695">
        <v>0.998850305493582</v>
      </c>
      <c r="S695" t="s">
        <v>4527</v>
      </c>
      <c r="T695" t="s">
        <v>7662</v>
      </c>
      <c r="U695" t="s">
        <v>7662</v>
      </c>
      <c r="V695" t="s">
        <v>7662</v>
      </c>
      <c r="W695">
        <v>11</v>
      </c>
      <c r="X695" t="s">
        <v>8357</v>
      </c>
      <c r="Y695">
        <v>0.43753618922427118</v>
      </c>
      <c r="Z695" t="str">
        <f>HYPERLINK("Melting_Curves/meltCurve_sp_P18283_GPX2_HUMAN_.pdf", "Melting_Curves/meltCurve_sp_P18283_GPX2_HUMAN_.pdf")</f>
        <v>Melting_Curves/meltCurve_sp_P18283_GPX2_HUMAN_.pdf</v>
      </c>
      <c r="AA695" t="s">
        <v>12175</v>
      </c>
      <c r="AB695" t="s">
        <v>15936</v>
      </c>
    </row>
    <row r="696" spans="1:28" x14ac:dyDescent="0.25">
      <c r="A696" t="s">
        <v>700</v>
      </c>
      <c r="B696">
        <v>0.98876768158843997</v>
      </c>
      <c r="C696">
        <v>1.1130235466796401</v>
      </c>
      <c r="D696">
        <v>0.59733493195444798</v>
      </c>
      <c r="E696">
        <v>0.25143765585005401</v>
      </c>
      <c r="F696">
        <v>8.0158123525285896E-2</v>
      </c>
      <c r="G696">
        <v>3.50000487369495E-2</v>
      </c>
      <c r="H696">
        <v>1.1228107628463199E-2</v>
      </c>
      <c r="I696">
        <v>0</v>
      </c>
      <c r="J696">
        <v>0</v>
      </c>
      <c r="K696">
        <v>1.5817677061214098E-2</v>
      </c>
      <c r="L696">
        <v>1272.71404281427</v>
      </c>
      <c r="M696">
        <v>26.9339780003511</v>
      </c>
      <c r="N696">
        <v>47.314780901903497</v>
      </c>
      <c r="O696">
        <v>46.9949004117816</v>
      </c>
      <c r="P696">
        <v>-0.14081087083215699</v>
      </c>
      <c r="Q696">
        <v>1.7251750403774101E-2</v>
      </c>
      <c r="R696">
        <v>0.97593864551224696</v>
      </c>
      <c r="S696" t="s">
        <v>4528</v>
      </c>
      <c r="T696" t="s">
        <v>7662</v>
      </c>
      <c r="U696" t="s">
        <v>7662</v>
      </c>
      <c r="V696" t="s">
        <v>7662</v>
      </c>
      <c r="W696">
        <v>2</v>
      </c>
      <c r="X696" t="s">
        <v>8358</v>
      </c>
      <c r="Y696">
        <v>0.26228071234911321</v>
      </c>
      <c r="Z696" t="str">
        <f>HYPERLINK("Melting_Curves/meltCurve_sp_P18440_ARY1_HUMAN_.pdf", "Melting_Curves/meltCurve_sp_P18440_ARY1_HUMAN_.pdf")</f>
        <v>Melting_Curves/meltCurve_sp_P18440_ARY1_HUMAN_.pdf</v>
      </c>
      <c r="AA696" t="s">
        <v>12176</v>
      </c>
      <c r="AB696" t="s">
        <v>15937</v>
      </c>
    </row>
    <row r="697" spans="1:28" x14ac:dyDescent="0.25">
      <c r="A697" t="s">
        <v>701</v>
      </c>
      <c r="B697">
        <v>0.98876768158843997</v>
      </c>
      <c r="C697">
        <v>1.43074181379147</v>
      </c>
      <c r="D697">
        <v>0.848523966178791</v>
      </c>
      <c r="E697">
        <v>0.71689996895252905</v>
      </c>
      <c r="F697">
        <v>0.72756009844031999</v>
      </c>
      <c r="G697">
        <v>0.26135082275149402</v>
      </c>
      <c r="H697">
        <v>0.169662601540297</v>
      </c>
      <c r="I697">
        <v>0.218710848465694</v>
      </c>
      <c r="J697">
        <v>0.31515859515553502</v>
      </c>
      <c r="K697">
        <v>0.36977230129246502</v>
      </c>
      <c r="L697">
        <v>1219.0248505253301</v>
      </c>
      <c r="M697">
        <v>23.227670895444</v>
      </c>
      <c r="N697">
        <v>54.106915015000901</v>
      </c>
      <c r="O697">
        <v>52.0972476145499</v>
      </c>
      <c r="P697">
        <v>-8.3471027735304196E-2</v>
      </c>
      <c r="Q697">
        <v>0.25114650817940898</v>
      </c>
      <c r="R697">
        <v>0.81768885490553</v>
      </c>
      <c r="S697" t="s">
        <v>4529</v>
      </c>
      <c r="T697" t="s">
        <v>7662</v>
      </c>
      <c r="U697" t="s">
        <v>7662</v>
      </c>
      <c r="V697" t="s">
        <v>7662</v>
      </c>
      <c r="W697">
        <v>2</v>
      </c>
      <c r="X697" t="s">
        <v>8359</v>
      </c>
      <c r="Y697">
        <v>0.57059532212144137</v>
      </c>
      <c r="Z697" t="str">
        <f>HYPERLINK("Melting_Curves/meltCurve_sp_P18510_4_IL1RA_HUMAN_.pdf", "Melting_Curves/meltCurve_sp_P18510_4_IL1RA_HUMAN_.pdf")</f>
        <v>Melting_Curves/meltCurve_sp_P18510_4_IL1RA_HUMAN_.pdf</v>
      </c>
      <c r="AA697" t="s">
        <v>12177</v>
      </c>
      <c r="AB697" t="s">
        <v>15938</v>
      </c>
    </row>
    <row r="698" spans="1:28" x14ac:dyDescent="0.25">
      <c r="A698" t="s">
        <v>702</v>
      </c>
      <c r="B698">
        <v>0.98876768158843997</v>
      </c>
      <c r="C698">
        <v>0.97502941558118905</v>
      </c>
      <c r="D698">
        <v>0.86189092278916402</v>
      </c>
      <c r="E698">
        <v>0.65856804355280496</v>
      </c>
      <c r="F698">
        <v>0.57596371962678605</v>
      </c>
      <c r="G698">
        <v>0.43969504138583898</v>
      </c>
      <c r="H698">
        <v>0.307058161616795</v>
      </c>
      <c r="I698">
        <v>0.37147725623995198</v>
      </c>
      <c r="J698">
        <v>0.473255146695642</v>
      </c>
      <c r="K698">
        <v>0.51567811888012505</v>
      </c>
      <c r="L698">
        <v>945.43526747109195</v>
      </c>
      <c r="M698">
        <v>19.217621586411902</v>
      </c>
      <c r="N698">
        <v>54.191887662823198</v>
      </c>
      <c r="O698">
        <v>48.6728565352213</v>
      </c>
      <c r="P698">
        <v>-5.7749860996796597E-2</v>
      </c>
      <c r="Q698">
        <v>0.41496536824104902</v>
      </c>
      <c r="R698">
        <v>0.94062985072227401</v>
      </c>
      <c r="S698" t="s">
        <v>4530</v>
      </c>
      <c r="T698" t="s">
        <v>7662</v>
      </c>
      <c r="U698" t="s">
        <v>7662</v>
      </c>
      <c r="V698" t="s">
        <v>7662</v>
      </c>
      <c r="W698">
        <v>4</v>
      </c>
      <c r="X698" t="s">
        <v>8360</v>
      </c>
      <c r="Y698">
        <v>0.60316759833156663</v>
      </c>
      <c r="Z698" t="str">
        <f>HYPERLINK("Melting_Curves/meltCurve_sp_P18583_2_SON_HUMAN_.pdf", "Melting_Curves/meltCurve_sp_P18583_2_SON_HUMAN_.pdf")</f>
        <v>Melting_Curves/meltCurve_sp_P18583_2_SON_HUMAN_.pdf</v>
      </c>
      <c r="AA698" t="s">
        <v>12178</v>
      </c>
      <c r="AB698" t="s">
        <v>15939</v>
      </c>
    </row>
    <row r="699" spans="1:28" x14ac:dyDescent="0.25">
      <c r="A699" t="s">
        <v>703</v>
      </c>
      <c r="B699">
        <v>0.98876768158843997</v>
      </c>
      <c r="C699">
        <v>1.0207503188553499</v>
      </c>
      <c r="D699">
        <v>0.928006450494818</v>
      </c>
      <c r="E699">
        <v>0.70601792296017896</v>
      </c>
      <c r="F699">
        <v>0.58385975613441299</v>
      </c>
      <c r="G699">
        <v>0.43691826997397198</v>
      </c>
      <c r="H699">
        <v>0.39312647399404099</v>
      </c>
      <c r="I699">
        <v>0.32564090399829099</v>
      </c>
      <c r="J699">
        <v>0.59063210559184498</v>
      </c>
      <c r="K699">
        <v>0.53438281151227296</v>
      </c>
      <c r="L699">
        <v>1279.3179052018199</v>
      </c>
      <c r="M699">
        <v>25.694365038035802</v>
      </c>
      <c r="N699">
        <v>54.968584175862503</v>
      </c>
      <c r="O699">
        <v>49.491183330056899</v>
      </c>
      <c r="P699">
        <v>-7.0663579275205002E-2</v>
      </c>
      <c r="Q699">
        <v>0.45557229696260998</v>
      </c>
      <c r="R699">
        <v>0.91250186235300002</v>
      </c>
      <c r="S699" t="s">
        <v>4531</v>
      </c>
      <c r="T699" t="s">
        <v>7662</v>
      </c>
      <c r="U699" t="s">
        <v>7662</v>
      </c>
      <c r="V699" t="s">
        <v>7662</v>
      </c>
      <c r="W699">
        <v>1</v>
      </c>
      <c r="X699" t="s">
        <v>8361</v>
      </c>
      <c r="Y699">
        <v>0.63782818894730586</v>
      </c>
      <c r="Z699" t="str">
        <f>HYPERLINK("Melting_Curves/meltCurve_sp_P18621_2_RL17_HUMAN_.pdf", "Melting_Curves/meltCurve_sp_P18621_2_RL17_HUMAN_.pdf")</f>
        <v>Melting_Curves/meltCurve_sp_P18621_2_RL17_HUMAN_.pdf</v>
      </c>
      <c r="AA699" t="s">
        <v>12179</v>
      </c>
      <c r="AB699" t="s">
        <v>15940</v>
      </c>
    </row>
    <row r="700" spans="1:28" x14ac:dyDescent="0.25">
      <c r="A700" t="s">
        <v>704</v>
      </c>
      <c r="B700">
        <v>0.98876768158843997</v>
      </c>
      <c r="C700">
        <v>1.0853847606365901</v>
      </c>
      <c r="D700">
        <v>0.847486058535459</v>
      </c>
      <c r="E700">
        <v>0.83355335113429097</v>
      </c>
      <c r="F700">
        <v>0.92533210905755503</v>
      </c>
      <c r="G700">
        <v>0.440420138579878</v>
      </c>
      <c r="H700">
        <v>9.3723096462205294E-2</v>
      </c>
      <c r="I700">
        <v>6.4214599498515199E-2</v>
      </c>
      <c r="J700">
        <v>6.6529104205146294E-2</v>
      </c>
      <c r="K700">
        <v>5.8822781900004902E-2</v>
      </c>
      <c r="L700">
        <v>1859.35865749753</v>
      </c>
      <c r="M700">
        <v>32.995215054288998</v>
      </c>
      <c r="N700">
        <v>56.526140187152301</v>
      </c>
      <c r="O700">
        <v>56.146584349318097</v>
      </c>
      <c r="P700">
        <v>-0.139830600760386</v>
      </c>
      <c r="Q700">
        <v>4.82285925674878E-2</v>
      </c>
      <c r="R700">
        <v>0.96767792182661305</v>
      </c>
      <c r="S700" t="s">
        <v>4532</v>
      </c>
      <c r="T700" t="s">
        <v>7662</v>
      </c>
      <c r="U700" t="s">
        <v>7662</v>
      </c>
      <c r="V700" t="s">
        <v>7662</v>
      </c>
      <c r="W700">
        <v>17</v>
      </c>
      <c r="X700" t="s">
        <v>8362</v>
      </c>
      <c r="Y700">
        <v>0.57234675496253595</v>
      </c>
      <c r="Z700" t="str">
        <f>HYPERLINK("Melting_Curves/meltCurve_sp_P18669_PGAM1_HUMAN_.pdf", "Melting_Curves/meltCurve_sp_P18669_PGAM1_HUMAN_.pdf")</f>
        <v>Melting_Curves/meltCurve_sp_P18669_PGAM1_HUMAN_.pdf</v>
      </c>
      <c r="AA700" t="s">
        <v>12180</v>
      </c>
      <c r="AB700" t="s">
        <v>15941</v>
      </c>
    </row>
    <row r="701" spans="1:28" x14ac:dyDescent="0.25">
      <c r="A701" t="s">
        <v>705</v>
      </c>
      <c r="B701">
        <v>0.98876768158843997</v>
      </c>
      <c r="C701">
        <v>1.2159526000027101</v>
      </c>
      <c r="D701">
        <v>1.0499400574890601</v>
      </c>
      <c r="E701">
        <v>0.82947558817986</v>
      </c>
      <c r="F701">
        <v>0.92619051695063104</v>
      </c>
      <c r="G701">
        <v>0.73058428757814897</v>
      </c>
      <c r="H701">
        <v>0.47930213452958798</v>
      </c>
      <c r="I701">
        <v>0.60191018315095501</v>
      </c>
      <c r="J701">
        <v>0.49799338231373902</v>
      </c>
      <c r="K701">
        <v>0.929686815698058</v>
      </c>
      <c r="L701">
        <v>1529.4698007602401</v>
      </c>
      <c r="M701">
        <v>28.2692017931622</v>
      </c>
      <c r="O701">
        <v>53.835168429058903</v>
      </c>
      <c r="P701">
        <v>-4.8368706441640798E-2</v>
      </c>
      <c r="Q701">
        <v>0.63155429358041604</v>
      </c>
      <c r="R701">
        <v>0.611578857218119</v>
      </c>
      <c r="S701" t="s">
        <v>4533</v>
      </c>
      <c r="T701" t="s">
        <v>7662</v>
      </c>
      <c r="U701" t="s">
        <v>7662</v>
      </c>
      <c r="V701" t="s">
        <v>7662</v>
      </c>
      <c r="W701">
        <v>1</v>
      </c>
      <c r="X701" t="s">
        <v>8363</v>
      </c>
      <c r="Y701">
        <v>0.80748423089777532</v>
      </c>
      <c r="Z701" t="str">
        <f>HYPERLINK("Melting_Curves/meltCurve_sp_P18827_SDC1_HUMAN_.pdf", "Melting_Curves/meltCurve_sp_P18827_SDC1_HUMAN_.pdf")</f>
        <v>Melting_Curves/meltCurve_sp_P18827_SDC1_HUMAN_.pdf</v>
      </c>
      <c r="AA701" t="s">
        <v>12181</v>
      </c>
      <c r="AB701" t="s">
        <v>15942</v>
      </c>
    </row>
    <row r="702" spans="1:28" x14ac:dyDescent="0.25">
      <c r="A702" t="s">
        <v>706</v>
      </c>
      <c r="B702">
        <v>0.98876768158843997</v>
      </c>
      <c r="C702">
        <v>0.90530966812785496</v>
      </c>
      <c r="D702">
        <v>0.80808470288481304</v>
      </c>
      <c r="E702">
        <v>0.52321533200417203</v>
      </c>
      <c r="F702">
        <v>0.70232925126272505</v>
      </c>
      <c r="G702">
        <v>0.47473062574138097</v>
      </c>
      <c r="H702">
        <v>0.40002990777076403</v>
      </c>
      <c r="I702">
        <v>0.50681385630845799</v>
      </c>
      <c r="J702">
        <v>0.55471850184170102</v>
      </c>
      <c r="K702">
        <v>0.75652007791238396</v>
      </c>
      <c r="L702">
        <v>1148.86240844381</v>
      </c>
      <c r="M702">
        <v>24.995006119219401</v>
      </c>
      <c r="O702">
        <v>45.672494927443701</v>
      </c>
      <c r="P702">
        <v>-6.1299324124339402E-2</v>
      </c>
      <c r="Q702">
        <v>0.55196563977318303</v>
      </c>
      <c r="R702">
        <v>0.71764820195472601</v>
      </c>
      <c r="S702" t="s">
        <v>4534</v>
      </c>
      <c r="T702" t="s">
        <v>7662</v>
      </c>
      <c r="U702" t="s">
        <v>7662</v>
      </c>
      <c r="V702" t="s">
        <v>7662</v>
      </c>
      <c r="W702">
        <v>2</v>
      </c>
      <c r="X702" t="s">
        <v>8364</v>
      </c>
      <c r="Y702">
        <v>0.64517877329619211</v>
      </c>
      <c r="Z702" t="str">
        <f>HYPERLINK("Melting_Curves/meltCurve_sp_P18859_ATP5J_HUMAN_.pdf", "Melting_Curves/meltCurve_sp_P18859_ATP5J_HUMAN_.pdf")</f>
        <v>Melting_Curves/meltCurve_sp_P18859_ATP5J_HUMAN_.pdf</v>
      </c>
      <c r="AA702" t="s">
        <v>12182</v>
      </c>
      <c r="AB702" t="s">
        <v>15943</v>
      </c>
    </row>
    <row r="703" spans="1:28" x14ac:dyDescent="0.25">
      <c r="A703" t="s">
        <v>707</v>
      </c>
      <c r="B703">
        <v>0.98876768158843997</v>
      </c>
      <c r="C703">
        <v>0.89026415753969901</v>
      </c>
      <c r="D703">
        <v>1.0438494555515001</v>
      </c>
      <c r="E703">
        <v>0.70271845186665305</v>
      </c>
      <c r="F703">
        <v>0.93434156264818402</v>
      </c>
      <c r="G703">
        <v>0.61845229746849995</v>
      </c>
      <c r="H703">
        <v>0.47812714206969797</v>
      </c>
      <c r="I703">
        <v>0.54142828721918901</v>
      </c>
      <c r="J703">
        <v>0.67690849515506402</v>
      </c>
      <c r="K703">
        <v>0.71124343038135296</v>
      </c>
      <c r="L703">
        <v>888.93254955520194</v>
      </c>
      <c r="M703">
        <v>17.2585196840595</v>
      </c>
      <c r="O703">
        <v>50.830275338516898</v>
      </c>
      <c r="P703">
        <v>-3.4069580754492901E-2</v>
      </c>
      <c r="Q703">
        <v>0.59865264008796004</v>
      </c>
      <c r="R703">
        <v>0.653541348003712</v>
      </c>
      <c r="S703" t="s">
        <v>4535</v>
      </c>
      <c r="T703" t="s">
        <v>7662</v>
      </c>
      <c r="U703" t="s">
        <v>7662</v>
      </c>
      <c r="V703" t="s">
        <v>7662</v>
      </c>
      <c r="W703">
        <v>7</v>
      </c>
      <c r="X703" t="s">
        <v>8365</v>
      </c>
      <c r="Y703">
        <v>0.75982589701708192</v>
      </c>
      <c r="Z703" t="str">
        <f>HYPERLINK("Melting_Curves/meltCurve_sp_P19105_ML12A_HUMAN_.pdf", "Melting_Curves/meltCurve_sp_P19105_ML12A_HUMAN_.pdf")</f>
        <v>Melting_Curves/meltCurve_sp_P19105_ML12A_HUMAN_.pdf</v>
      </c>
      <c r="AA703" t="s">
        <v>12183</v>
      </c>
      <c r="AB703" t="s">
        <v>15944</v>
      </c>
    </row>
    <row r="704" spans="1:28" x14ac:dyDescent="0.25">
      <c r="A704" t="s">
        <v>708</v>
      </c>
      <c r="B704">
        <v>0.98876768158843997</v>
      </c>
      <c r="C704">
        <v>0.90829936983856296</v>
      </c>
      <c r="D704">
        <v>1.1396392927310599</v>
      </c>
      <c r="E704">
        <v>0.58792035134788601</v>
      </c>
      <c r="F704">
        <v>0.132521455202979</v>
      </c>
      <c r="G704">
        <v>7.3791943896137802E-2</v>
      </c>
      <c r="H704">
        <v>1.5408230404723E-2</v>
      </c>
      <c r="I704">
        <v>1.40319602508488E-2</v>
      </c>
      <c r="J704">
        <v>0</v>
      </c>
      <c r="K704">
        <v>0</v>
      </c>
      <c r="L704">
        <v>2404.7483648411999</v>
      </c>
      <c r="M704">
        <v>47.716998903817903</v>
      </c>
      <c r="N704">
        <v>50.446324350901598</v>
      </c>
      <c r="O704">
        <v>50.307777259560801</v>
      </c>
      <c r="P704">
        <v>-0.23161961781579499</v>
      </c>
      <c r="Q704">
        <v>2.3219708942755799E-2</v>
      </c>
      <c r="R704">
        <v>0.98226639342990796</v>
      </c>
      <c r="S704" t="s">
        <v>4536</v>
      </c>
      <c r="T704" t="s">
        <v>7662</v>
      </c>
      <c r="U704" t="s">
        <v>7662</v>
      </c>
      <c r="V704" t="s">
        <v>7662</v>
      </c>
      <c r="W704">
        <v>1</v>
      </c>
      <c r="X704" t="s">
        <v>8366</v>
      </c>
      <c r="Y704">
        <v>0.36409375382726172</v>
      </c>
      <c r="Z704" t="str">
        <f>HYPERLINK("Melting_Curves/meltCurve_sp_P19174_PLCG1_HUMAN_.pdf", "Melting_Curves/meltCurve_sp_P19174_PLCG1_HUMAN_.pdf")</f>
        <v>Melting_Curves/meltCurve_sp_P19174_PLCG1_HUMAN_.pdf</v>
      </c>
      <c r="AA704" t="s">
        <v>12184</v>
      </c>
      <c r="AB704" t="s">
        <v>15945</v>
      </c>
    </row>
    <row r="705" spans="1:28" x14ac:dyDescent="0.25">
      <c r="A705" t="s">
        <v>709</v>
      </c>
      <c r="B705">
        <v>0.98876768158843997</v>
      </c>
      <c r="C705">
        <v>1.0237447651684199</v>
      </c>
      <c r="D705">
        <v>0.93500859368056999</v>
      </c>
      <c r="E705">
        <v>0.86378221759181795</v>
      </c>
      <c r="F705">
        <v>0.87941935868117704</v>
      </c>
      <c r="G705">
        <v>0.64142363319278595</v>
      </c>
      <c r="H705">
        <v>0.547883941928614</v>
      </c>
      <c r="I705">
        <v>0.66600816019044395</v>
      </c>
      <c r="J705">
        <v>0.79274523595316304</v>
      </c>
      <c r="K705">
        <v>0.99624872969811296</v>
      </c>
      <c r="L705">
        <v>1257.02425692524</v>
      </c>
      <c r="M705">
        <v>24.988215471572001</v>
      </c>
      <c r="O705">
        <v>49.9858304491502</v>
      </c>
      <c r="P705">
        <v>-3.2765160072339199E-2</v>
      </c>
      <c r="Q705">
        <v>0.73783296418478295</v>
      </c>
      <c r="R705">
        <v>0.45944912458750398</v>
      </c>
      <c r="S705" t="s">
        <v>4537</v>
      </c>
      <c r="T705" t="s">
        <v>7662</v>
      </c>
      <c r="U705" t="s">
        <v>7662</v>
      </c>
      <c r="V705" t="s">
        <v>7662</v>
      </c>
      <c r="W705">
        <v>36</v>
      </c>
      <c r="X705" t="s">
        <v>8367</v>
      </c>
      <c r="Y705">
        <v>0.83023739706099209</v>
      </c>
      <c r="Z705" t="str">
        <f>HYPERLINK("Melting_Curves/meltCurve_sp_P19338_NUCL_HUMAN_.pdf", "Melting_Curves/meltCurve_sp_P19338_NUCL_HUMAN_.pdf")</f>
        <v>Melting_Curves/meltCurve_sp_P19338_NUCL_HUMAN_.pdf</v>
      </c>
      <c r="AA705" t="s">
        <v>12185</v>
      </c>
      <c r="AB705" t="s">
        <v>15946</v>
      </c>
    </row>
    <row r="706" spans="1:28" x14ac:dyDescent="0.25">
      <c r="A706" t="s">
        <v>710</v>
      </c>
      <c r="B706">
        <v>0.98876768158843997</v>
      </c>
      <c r="C706">
        <v>1.0056274230106499</v>
      </c>
      <c r="D706">
        <v>0.85271167766083</v>
      </c>
      <c r="E706">
        <v>0.51961605674979905</v>
      </c>
      <c r="F706">
        <v>0.21829449995879499</v>
      </c>
      <c r="G706">
        <v>0.143814332129093</v>
      </c>
      <c r="H706">
        <v>8.3209156719461802E-2</v>
      </c>
      <c r="I706">
        <v>7.1930122554061199E-2</v>
      </c>
      <c r="J706">
        <v>7.5300957620648395E-2</v>
      </c>
      <c r="K706">
        <v>9.8397817739467194E-2</v>
      </c>
      <c r="L706">
        <v>1175.52931950368</v>
      </c>
      <c r="M706">
        <v>23.693418587357801</v>
      </c>
      <c r="N706">
        <v>49.981338636308998</v>
      </c>
      <c r="O706">
        <v>49.264795740925102</v>
      </c>
      <c r="P706">
        <v>-0.110633263405972</v>
      </c>
      <c r="Q706">
        <v>7.9873696161353105E-2</v>
      </c>
      <c r="R706">
        <v>0.99741546983816398</v>
      </c>
      <c r="S706" t="s">
        <v>4538</v>
      </c>
      <c r="T706" t="s">
        <v>7662</v>
      </c>
      <c r="U706" t="s">
        <v>7662</v>
      </c>
      <c r="V706" t="s">
        <v>7662</v>
      </c>
      <c r="W706">
        <v>3</v>
      </c>
      <c r="X706" t="s">
        <v>8368</v>
      </c>
      <c r="Y706">
        <v>0.38388336551142849</v>
      </c>
      <c r="Z706" t="str">
        <f>HYPERLINK("Melting_Curves/meltCurve_sp_P19388_RPAB1_HUMAN_.pdf", "Melting_Curves/meltCurve_sp_P19388_RPAB1_HUMAN_.pdf")</f>
        <v>Melting_Curves/meltCurve_sp_P19388_RPAB1_HUMAN_.pdf</v>
      </c>
      <c r="AA706" t="s">
        <v>12186</v>
      </c>
      <c r="AB706" t="s">
        <v>15947</v>
      </c>
    </row>
    <row r="707" spans="1:28" x14ac:dyDescent="0.25">
      <c r="A707" t="s">
        <v>711</v>
      </c>
      <c r="B707">
        <v>0.98876768158843997</v>
      </c>
      <c r="C707">
        <v>0.94506378370956601</v>
      </c>
      <c r="D707">
        <v>0.90882125342920195</v>
      </c>
      <c r="E707">
        <v>0.69869875449647501</v>
      </c>
      <c r="F707">
        <v>0.77368141702098303</v>
      </c>
      <c r="G707">
        <v>0.50593453581939096</v>
      </c>
      <c r="H707">
        <v>0.35845734184362099</v>
      </c>
      <c r="I707">
        <v>0.36589475263879101</v>
      </c>
      <c r="J707">
        <v>0.36068288498960399</v>
      </c>
      <c r="K707">
        <v>0.388212618421302</v>
      </c>
      <c r="L707">
        <v>635.27756273029502</v>
      </c>
      <c r="M707">
        <v>11.953867630504501</v>
      </c>
      <c r="N707">
        <v>57.638729969205301</v>
      </c>
      <c r="O707">
        <v>51.7223379995445</v>
      </c>
      <c r="P707">
        <v>-4.0273309357483002E-2</v>
      </c>
      <c r="Q707">
        <v>0.30314766570820301</v>
      </c>
      <c r="R707">
        <v>0.95599098434817098</v>
      </c>
      <c r="S707" t="s">
        <v>4539</v>
      </c>
      <c r="T707" t="s">
        <v>7662</v>
      </c>
      <c r="U707" t="s">
        <v>7662</v>
      </c>
      <c r="V707" t="s">
        <v>7662</v>
      </c>
      <c r="W707">
        <v>7</v>
      </c>
      <c r="X707" t="s">
        <v>8369</v>
      </c>
      <c r="Y707">
        <v>0.62816143779977307</v>
      </c>
      <c r="Z707" t="str">
        <f>HYPERLINK("Melting_Curves/meltCurve_sp_P19404_NDUV2_HUMAN_.pdf", "Melting_Curves/meltCurve_sp_P19404_NDUV2_HUMAN_.pdf")</f>
        <v>Melting_Curves/meltCurve_sp_P19404_NDUV2_HUMAN_.pdf</v>
      </c>
      <c r="AA707" t="s">
        <v>12187</v>
      </c>
      <c r="AB707" t="s">
        <v>15948</v>
      </c>
    </row>
    <row r="708" spans="1:28" x14ac:dyDescent="0.25">
      <c r="A708" t="s">
        <v>712</v>
      </c>
      <c r="B708">
        <v>0.98876768158843997</v>
      </c>
      <c r="C708">
        <v>0.97901700918967305</v>
      </c>
      <c r="D708">
        <v>0.82032370125790799</v>
      </c>
      <c r="E708">
        <v>0.653204169215854</v>
      </c>
      <c r="F708">
        <v>0.63288951401978599</v>
      </c>
      <c r="G708">
        <v>0.39927551218457102</v>
      </c>
      <c r="H708">
        <v>0.25520862078642398</v>
      </c>
      <c r="I708">
        <v>0.29540221475838502</v>
      </c>
      <c r="J708">
        <v>0.332315319290441</v>
      </c>
      <c r="K708">
        <v>0.39200606126007798</v>
      </c>
      <c r="L708">
        <v>718.46905209301997</v>
      </c>
      <c r="M708">
        <v>14.184989597812701</v>
      </c>
      <c r="N708">
        <v>54.059741985860498</v>
      </c>
      <c r="O708">
        <v>49.675208176208997</v>
      </c>
      <c r="P708">
        <v>-5.0289868617446998E-2</v>
      </c>
      <c r="Q708">
        <v>0.29563702492918198</v>
      </c>
      <c r="R708">
        <v>0.95707493308527603</v>
      </c>
      <c r="S708" t="s">
        <v>4540</v>
      </c>
      <c r="T708" t="s">
        <v>7662</v>
      </c>
      <c r="U708" t="s">
        <v>7662</v>
      </c>
      <c r="V708" t="s">
        <v>7662</v>
      </c>
      <c r="W708">
        <v>5</v>
      </c>
      <c r="X708" t="s">
        <v>8370</v>
      </c>
      <c r="Y708">
        <v>0.5637485828504879</v>
      </c>
      <c r="Z708" t="str">
        <f>HYPERLINK("Melting_Curves/meltCurve_sp_P19525_2_E2AK2_HUMAN_.pdf", "Melting_Curves/meltCurve_sp_P19525_2_E2AK2_HUMAN_.pdf")</f>
        <v>Melting_Curves/meltCurve_sp_P19525_2_E2AK2_HUMAN_.pdf</v>
      </c>
      <c r="AA708" t="s">
        <v>12188</v>
      </c>
      <c r="AB708" t="s">
        <v>15949</v>
      </c>
    </row>
    <row r="709" spans="1:28" x14ac:dyDescent="0.25">
      <c r="A709" t="s">
        <v>713</v>
      </c>
      <c r="B709">
        <v>0.98876768158843997</v>
      </c>
      <c r="C709">
        <v>1.0032774946898899</v>
      </c>
      <c r="D709">
        <v>0.77721193721526804</v>
      </c>
      <c r="E709">
        <v>0.32239629025554301</v>
      </c>
      <c r="F709">
        <v>9.9466650281516994E-2</v>
      </c>
      <c r="G709">
        <v>6.9390354563440101E-2</v>
      </c>
      <c r="H709">
        <v>4.0142166501864397E-2</v>
      </c>
      <c r="I709">
        <v>2.9177405145458701E-2</v>
      </c>
      <c r="J709">
        <v>3.0158707024636699E-2</v>
      </c>
      <c r="K709">
        <v>2.9587559395005202E-2</v>
      </c>
      <c r="L709">
        <v>1275.7426481032801</v>
      </c>
      <c r="M709">
        <v>26.429065258025101</v>
      </c>
      <c r="N709">
        <v>48.3964421395901</v>
      </c>
      <c r="O709">
        <v>47.996625930300297</v>
      </c>
      <c r="P709">
        <v>-0.133085648017611</v>
      </c>
      <c r="Q709">
        <v>3.3247204169437099E-2</v>
      </c>
      <c r="R709">
        <v>0.99831833590227503</v>
      </c>
      <c r="S709" t="s">
        <v>4541</v>
      </c>
      <c r="T709" t="s">
        <v>7662</v>
      </c>
      <c r="U709" t="s">
        <v>7662</v>
      </c>
      <c r="V709" t="s">
        <v>7662</v>
      </c>
      <c r="W709">
        <v>4</v>
      </c>
      <c r="X709" t="s">
        <v>8371</v>
      </c>
      <c r="Y709">
        <v>0.30736395330739869</v>
      </c>
      <c r="Z709" t="str">
        <f>HYPERLINK("Melting_Curves/meltCurve_sp_P19623_SPEE_HUMAN_.pdf", "Melting_Curves/meltCurve_sp_P19623_SPEE_HUMAN_.pdf")</f>
        <v>Melting_Curves/meltCurve_sp_P19623_SPEE_HUMAN_.pdf</v>
      </c>
      <c r="AA709" t="s">
        <v>12189</v>
      </c>
      <c r="AB709" t="s">
        <v>15950</v>
      </c>
    </row>
    <row r="710" spans="1:28" x14ac:dyDescent="0.25">
      <c r="A710" t="s">
        <v>714</v>
      </c>
      <c r="B710">
        <v>0.98876768158843997</v>
      </c>
      <c r="C710">
        <v>1.12941849810914</v>
      </c>
      <c r="D710">
        <v>0.89797552982748297</v>
      </c>
      <c r="E710">
        <v>0.81891730779874805</v>
      </c>
      <c r="F710">
        <v>0.89947730538114301</v>
      </c>
      <c r="G710">
        <v>0.64194649847115604</v>
      </c>
      <c r="H710">
        <v>0.47154762974807901</v>
      </c>
      <c r="I710">
        <v>0.58947877103991098</v>
      </c>
      <c r="J710">
        <v>0.50187925788086996</v>
      </c>
      <c r="K710">
        <v>0.73381678112123905</v>
      </c>
      <c r="L710">
        <v>1059.1235492890701</v>
      </c>
      <c r="M710">
        <v>19.928866529951499</v>
      </c>
      <c r="O710">
        <v>52.618764616019703</v>
      </c>
      <c r="P710">
        <v>-4.0949972221258298E-2</v>
      </c>
      <c r="Q710">
        <v>0.56752872007067201</v>
      </c>
      <c r="R710">
        <v>0.78248518873822703</v>
      </c>
      <c r="S710" t="s">
        <v>4542</v>
      </c>
      <c r="T710" t="s">
        <v>7662</v>
      </c>
      <c r="U710" t="s">
        <v>7662</v>
      </c>
      <c r="V710" t="s">
        <v>7662</v>
      </c>
      <c r="W710">
        <v>7</v>
      </c>
      <c r="X710" t="s">
        <v>8372</v>
      </c>
      <c r="Y710">
        <v>0.76300236160148971</v>
      </c>
      <c r="Z710" t="str">
        <f>HYPERLINK("Melting_Curves/meltCurve_sp_P19652_A1AG2_HUMAN_.pdf", "Melting_Curves/meltCurve_sp_P19652_A1AG2_HUMAN_.pdf")</f>
        <v>Melting_Curves/meltCurve_sp_P19652_A1AG2_HUMAN_.pdf</v>
      </c>
      <c r="AA710" t="s">
        <v>12190</v>
      </c>
      <c r="AB710" t="s">
        <v>15951</v>
      </c>
    </row>
    <row r="711" spans="1:28" x14ac:dyDescent="0.25">
      <c r="A711" t="s">
        <v>715</v>
      </c>
      <c r="B711">
        <v>0.98876768158843997</v>
      </c>
      <c r="C711">
        <v>0.92748909803718504</v>
      </c>
      <c r="D711">
        <v>1.00016069226463</v>
      </c>
      <c r="E711">
        <v>0.77980203967417905</v>
      </c>
      <c r="F711">
        <v>0.29687439678592797</v>
      </c>
      <c r="G711">
        <v>0.14215805531706299</v>
      </c>
      <c r="H711">
        <v>0.107722183375886</v>
      </c>
      <c r="I711">
        <v>7.7342861827616904E-2</v>
      </c>
      <c r="J711">
        <v>0.109321047954926</v>
      </c>
      <c r="K711">
        <v>4.6761012741970101E-2</v>
      </c>
      <c r="L711">
        <v>2029.61387279622</v>
      </c>
      <c r="M711">
        <v>39.474995274619602</v>
      </c>
      <c r="N711">
        <v>51.679192572979602</v>
      </c>
      <c r="O711">
        <v>51.283759692994401</v>
      </c>
      <c r="P711">
        <v>-0.17486252279536199</v>
      </c>
      <c r="Q711">
        <v>9.1314602117791299E-2</v>
      </c>
      <c r="R711">
        <v>0.99415327140026</v>
      </c>
      <c r="S711" t="s">
        <v>4543</v>
      </c>
      <c r="T711" t="s">
        <v>7662</v>
      </c>
      <c r="U711" t="s">
        <v>7662</v>
      </c>
      <c r="V711" t="s">
        <v>7662</v>
      </c>
      <c r="W711">
        <v>4</v>
      </c>
      <c r="X711" t="s">
        <v>8373</v>
      </c>
      <c r="Y711">
        <v>0.44039049850559042</v>
      </c>
      <c r="Z711" t="str">
        <f>HYPERLINK("Melting_Curves/meltCurve_sp_P19784_CSK22_HUMAN_.pdf", "Melting_Curves/meltCurve_sp_P19784_CSK22_HUMAN_.pdf")</f>
        <v>Melting_Curves/meltCurve_sp_P19784_CSK22_HUMAN_.pdf</v>
      </c>
      <c r="AA711" t="s">
        <v>12191</v>
      </c>
      <c r="AB711" t="s">
        <v>15952</v>
      </c>
    </row>
    <row r="712" spans="1:28" x14ac:dyDescent="0.25">
      <c r="A712" t="s">
        <v>716</v>
      </c>
      <c r="B712">
        <v>0.98876768158843997</v>
      </c>
      <c r="C712">
        <v>0.99545948728663602</v>
      </c>
      <c r="D712">
        <v>0.92490821651095001</v>
      </c>
      <c r="E712">
        <v>0.70748516969101205</v>
      </c>
      <c r="F712">
        <v>0.50828856602393202</v>
      </c>
      <c r="G712">
        <v>0.26299257576990198</v>
      </c>
      <c r="H712">
        <v>0.146042075721487</v>
      </c>
      <c r="I712">
        <v>0.119487933662274</v>
      </c>
      <c r="J712">
        <v>0.106043616287455</v>
      </c>
      <c r="K712">
        <v>8.6003263203441302E-2</v>
      </c>
      <c r="L712">
        <v>894.27529189830204</v>
      </c>
      <c r="M712">
        <v>17.053322814023598</v>
      </c>
      <c r="N712">
        <v>52.957436905250397</v>
      </c>
      <c r="O712">
        <v>51.734773841755903</v>
      </c>
      <c r="P712">
        <v>-7.6087406473864E-2</v>
      </c>
      <c r="Q712">
        <v>7.6748970390745894E-2</v>
      </c>
      <c r="R712">
        <v>0.99946730963588404</v>
      </c>
      <c r="S712" t="s">
        <v>4544</v>
      </c>
      <c r="T712" t="s">
        <v>7662</v>
      </c>
      <c r="U712" t="s">
        <v>7662</v>
      </c>
      <c r="V712" t="s">
        <v>7662</v>
      </c>
      <c r="W712">
        <v>6</v>
      </c>
      <c r="X712" t="s">
        <v>8374</v>
      </c>
      <c r="Y712">
        <v>0.47626238204947019</v>
      </c>
      <c r="Z712" t="str">
        <f>HYPERLINK("Melting_Curves/meltCurve_sp_P19827_ITIH1_HUMAN_.pdf", "Melting_Curves/meltCurve_sp_P19827_ITIH1_HUMAN_.pdf")</f>
        <v>Melting_Curves/meltCurve_sp_P19827_ITIH1_HUMAN_.pdf</v>
      </c>
      <c r="AA712" t="s">
        <v>12192</v>
      </c>
      <c r="AB712" t="s">
        <v>15953</v>
      </c>
    </row>
    <row r="713" spans="1:28" x14ac:dyDescent="0.25">
      <c r="A713" t="s">
        <v>717</v>
      </c>
      <c r="B713">
        <v>0.98876768158843997</v>
      </c>
      <c r="C713">
        <v>0.85536659417342498</v>
      </c>
      <c r="D713">
        <v>0.86312097711161795</v>
      </c>
      <c r="E713">
        <v>0.54971362281965896</v>
      </c>
      <c r="F713">
        <v>0.225037341467441</v>
      </c>
      <c r="G713">
        <v>0.109650507413642</v>
      </c>
      <c r="H713">
        <v>7.13438439772901E-2</v>
      </c>
      <c r="I713">
        <v>5.8033581936503799E-2</v>
      </c>
      <c r="J713">
        <v>7.2161167433592494E-2</v>
      </c>
      <c r="K713">
        <v>6.5975587417858195E-2</v>
      </c>
      <c r="L713">
        <v>1004.24020162046</v>
      </c>
      <c r="M713">
        <v>20.159451209356298</v>
      </c>
      <c r="N713">
        <v>50.079930903263303</v>
      </c>
      <c r="O713">
        <v>49.332467760070898</v>
      </c>
      <c r="P713">
        <v>-9.6994492412124295E-2</v>
      </c>
      <c r="Q713">
        <v>5.0604066012507699E-2</v>
      </c>
      <c r="R713">
        <v>0.98789573086350002</v>
      </c>
      <c r="S713" t="s">
        <v>4545</v>
      </c>
      <c r="T713" t="s">
        <v>7662</v>
      </c>
      <c r="U713" t="s">
        <v>7662</v>
      </c>
      <c r="V713" t="s">
        <v>7662</v>
      </c>
      <c r="W713">
        <v>4</v>
      </c>
      <c r="X713" t="s">
        <v>8375</v>
      </c>
      <c r="Y713">
        <v>0.37423230105396088</v>
      </c>
      <c r="Z713" t="str">
        <f>HYPERLINK("Melting_Curves/meltCurve_sp_P19838_NFKB1_HUMAN_.pdf", "Melting_Curves/meltCurve_sp_P19838_NFKB1_HUMAN_.pdf")</f>
        <v>Melting_Curves/meltCurve_sp_P19838_NFKB1_HUMAN_.pdf</v>
      </c>
      <c r="AA713" t="s">
        <v>12193</v>
      </c>
      <c r="AB713" t="s">
        <v>15954</v>
      </c>
    </row>
    <row r="714" spans="1:28" x14ac:dyDescent="0.25">
      <c r="A714" t="s">
        <v>718</v>
      </c>
      <c r="B714">
        <v>0.98876768158843997</v>
      </c>
      <c r="C714">
        <v>0.97002707739585203</v>
      </c>
      <c r="D714">
        <v>0.93809352506427901</v>
      </c>
      <c r="E714">
        <v>0.83994133577489605</v>
      </c>
      <c r="F714">
        <v>0.73503039212735699</v>
      </c>
      <c r="G714">
        <v>0.54107090020923398</v>
      </c>
      <c r="H714">
        <v>0.36765231780597002</v>
      </c>
      <c r="I714">
        <v>0.26885964493978598</v>
      </c>
      <c r="J714">
        <v>0.14382271529240401</v>
      </c>
      <c r="K714">
        <v>6.4359935697392498E-2</v>
      </c>
      <c r="L714">
        <v>670.82783152027696</v>
      </c>
      <c r="M714">
        <v>11.628931271197001</v>
      </c>
      <c r="N714">
        <v>57.686102867230296</v>
      </c>
      <c r="O714">
        <v>56.059438872497701</v>
      </c>
      <c r="P714">
        <v>-5.1873945133793599E-2</v>
      </c>
      <c r="Q714">
        <v>0</v>
      </c>
      <c r="R714">
        <v>0.99575025882420998</v>
      </c>
      <c r="S714" t="s">
        <v>4546</v>
      </c>
      <c r="T714" t="s">
        <v>7662</v>
      </c>
      <c r="U714" t="s">
        <v>7662</v>
      </c>
      <c r="V714" t="s">
        <v>7662</v>
      </c>
      <c r="W714">
        <v>23</v>
      </c>
      <c r="X714" t="s">
        <v>8376</v>
      </c>
      <c r="Y714">
        <v>0.60336330983930275</v>
      </c>
      <c r="Z714" t="str">
        <f>HYPERLINK("Melting_Curves/meltCurve_sp_P19971_TYPH_HUMAN_.pdf", "Melting_Curves/meltCurve_sp_P19971_TYPH_HUMAN_.pdf")</f>
        <v>Melting_Curves/meltCurve_sp_P19971_TYPH_HUMAN_.pdf</v>
      </c>
      <c r="AA714" t="s">
        <v>12194</v>
      </c>
      <c r="AB714" t="s">
        <v>15955</v>
      </c>
    </row>
    <row r="715" spans="1:28" x14ac:dyDescent="0.25">
      <c r="A715" t="s">
        <v>719</v>
      </c>
      <c r="B715">
        <v>0.98876768158843997</v>
      </c>
      <c r="C715">
        <v>0.94959846877551601</v>
      </c>
      <c r="D715">
        <v>0.98925871572038504</v>
      </c>
      <c r="E715">
        <v>0.87359777624836699</v>
      </c>
      <c r="F715">
        <v>0.66886022751005603</v>
      </c>
      <c r="G715">
        <v>0.33231072779754101</v>
      </c>
      <c r="H715">
        <v>0.12834359816806101</v>
      </c>
      <c r="I715">
        <v>8.9025590081849695E-2</v>
      </c>
      <c r="J715">
        <v>8.1857028617563707E-2</v>
      </c>
      <c r="K715">
        <v>8.7547031194398495E-2</v>
      </c>
      <c r="L715">
        <v>1179.29498012408</v>
      </c>
      <c r="M715">
        <v>21.6557402203821</v>
      </c>
      <c r="N715">
        <v>54.799161642915799</v>
      </c>
      <c r="O715">
        <v>53.998481315033899</v>
      </c>
      <c r="P715">
        <v>-9.3913667100072998E-2</v>
      </c>
      <c r="Q715">
        <v>6.3329189049222703E-2</v>
      </c>
      <c r="R715">
        <v>0.997810780008482</v>
      </c>
      <c r="S715" t="s">
        <v>4547</v>
      </c>
      <c r="T715" t="s">
        <v>7662</v>
      </c>
      <c r="U715" t="s">
        <v>7662</v>
      </c>
      <c r="V715" t="s">
        <v>7662</v>
      </c>
      <c r="W715">
        <v>14</v>
      </c>
      <c r="X715" t="s">
        <v>8377</v>
      </c>
      <c r="Y715">
        <v>0.52580595645852524</v>
      </c>
      <c r="Z715" t="str">
        <f>HYPERLINK("Melting_Curves/meltCurve_sp_P20042_IF2B_HUMAN_.pdf", "Melting_Curves/meltCurve_sp_P20042_IF2B_HUMAN_.pdf")</f>
        <v>Melting_Curves/meltCurve_sp_P20042_IF2B_HUMAN_.pdf</v>
      </c>
      <c r="AA715" t="s">
        <v>12195</v>
      </c>
      <c r="AB715" t="s">
        <v>15956</v>
      </c>
    </row>
    <row r="716" spans="1:28" x14ac:dyDescent="0.25">
      <c r="A716" t="s">
        <v>720</v>
      </c>
      <c r="B716">
        <v>0.98876768158843997</v>
      </c>
      <c r="C716">
        <v>1.0455446446271599</v>
      </c>
      <c r="D716">
        <v>0.61785767735788799</v>
      </c>
      <c r="E716">
        <v>0.37190198775007999</v>
      </c>
      <c r="F716">
        <v>0.199043708303725</v>
      </c>
      <c r="G716">
        <v>0.102598142051398</v>
      </c>
      <c r="H716">
        <v>6.7944054407553106E-2</v>
      </c>
      <c r="I716">
        <v>7.7936907770248601E-2</v>
      </c>
      <c r="J716">
        <v>7.4443632612768207E-2</v>
      </c>
      <c r="K716">
        <v>0.11109440336587099</v>
      </c>
      <c r="L716">
        <v>1005.8106382616299</v>
      </c>
      <c r="M716">
        <v>21.110009464573402</v>
      </c>
      <c r="N716">
        <v>48.063894971731798</v>
      </c>
      <c r="O716">
        <v>47.224745588197599</v>
      </c>
      <c r="P716">
        <v>-0.102389115333566</v>
      </c>
      <c r="Q716">
        <v>8.3813793371264503E-2</v>
      </c>
      <c r="R716">
        <v>0.97931512624073402</v>
      </c>
      <c r="S716" t="s">
        <v>4548</v>
      </c>
      <c r="T716" t="s">
        <v>7662</v>
      </c>
      <c r="U716" t="s">
        <v>7662</v>
      </c>
      <c r="V716" t="s">
        <v>7662</v>
      </c>
      <c r="W716">
        <v>3</v>
      </c>
      <c r="X716" t="s">
        <v>8378</v>
      </c>
      <c r="Y716">
        <v>0.3290090342138825</v>
      </c>
      <c r="Z716" t="str">
        <f>HYPERLINK("Melting_Curves/meltCurve_sp_P20132_SDHL_HUMAN_.pdf", "Melting_Curves/meltCurve_sp_P20132_SDHL_HUMAN_.pdf")</f>
        <v>Melting_Curves/meltCurve_sp_P20132_SDHL_HUMAN_.pdf</v>
      </c>
      <c r="AA716" t="s">
        <v>12196</v>
      </c>
      <c r="AB716" t="s">
        <v>15957</v>
      </c>
    </row>
    <row r="717" spans="1:28" x14ac:dyDescent="0.25">
      <c r="A717" t="s">
        <v>721</v>
      </c>
      <c r="B717">
        <v>0.98876768158843997</v>
      </c>
      <c r="C717">
        <v>0.90183161747908003</v>
      </c>
      <c r="D717">
        <v>0.68596931109786896</v>
      </c>
      <c r="E717">
        <v>0.52151608051935405</v>
      </c>
      <c r="F717">
        <v>0.88070618355666497</v>
      </c>
      <c r="G717">
        <v>0.58446570073815396</v>
      </c>
      <c r="H717">
        <v>0.62022947260302597</v>
      </c>
      <c r="I717">
        <v>0.58942772726119497</v>
      </c>
      <c r="J717">
        <v>0.856531327700502</v>
      </c>
      <c r="K717">
        <v>0.99273958468683599</v>
      </c>
      <c r="L717">
        <v>10752.273331489099</v>
      </c>
      <c r="M717">
        <v>250</v>
      </c>
      <c r="O717">
        <v>43.006348914006502</v>
      </c>
      <c r="P717">
        <v>-0.41207851877401303</v>
      </c>
      <c r="Q717">
        <v>0.71644817123611304</v>
      </c>
      <c r="R717">
        <v>0.29922275136999299</v>
      </c>
      <c r="S717" t="s">
        <v>4549</v>
      </c>
      <c r="T717" t="s">
        <v>7662</v>
      </c>
      <c r="U717" t="s">
        <v>7662</v>
      </c>
      <c r="V717" t="s">
        <v>7662</v>
      </c>
      <c r="W717">
        <v>4</v>
      </c>
      <c r="X717" t="s">
        <v>8379</v>
      </c>
      <c r="Y717">
        <v>0.74491070433624018</v>
      </c>
      <c r="Z717" t="str">
        <f>HYPERLINK("Melting_Curves/meltCurve_sp_P20290_BTF3_HUMAN_.pdf", "Melting_Curves/meltCurve_sp_P20290_BTF3_HUMAN_.pdf")</f>
        <v>Melting_Curves/meltCurve_sp_P20290_BTF3_HUMAN_.pdf</v>
      </c>
      <c r="AA717" t="s">
        <v>12197</v>
      </c>
      <c r="AB717" t="s">
        <v>15958</v>
      </c>
    </row>
    <row r="718" spans="1:28" x14ac:dyDescent="0.25">
      <c r="A718" t="s">
        <v>722</v>
      </c>
      <c r="B718">
        <v>0.98876768158843997</v>
      </c>
      <c r="C718">
        <v>0.88811559770124704</v>
      </c>
      <c r="D718">
        <v>0.907248427088304</v>
      </c>
      <c r="E718">
        <v>0.75589700968253204</v>
      </c>
      <c r="F718">
        <v>0.60417772669726499</v>
      </c>
      <c r="G718">
        <v>0.22645743045966399</v>
      </c>
      <c r="H718">
        <v>0.120544446826167</v>
      </c>
      <c r="I718">
        <v>0.100540524219808</v>
      </c>
      <c r="J718">
        <v>0.122462094991395</v>
      </c>
      <c r="K718">
        <v>9.2213339770695998E-2</v>
      </c>
      <c r="L718">
        <v>950.54975855461703</v>
      </c>
      <c r="M718">
        <v>17.907416654894799</v>
      </c>
      <c r="N718">
        <v>53.504971886189402</v>
      </c>
      <c r="O718">
        <v>52.432671612059103</v>
      </c>
      <c r="P718">
        <v>-7.9743687958597903E-2</v>
      </c>
      <c r="Q718">
        <v>6.6093342716051107E-2</v>
      </c>
      <c r="R718">
        <v>0.98453687260036205</v>
      </c>
      <c r="S718" t="s">
        <v>4550</v>
      </c>
      <c r="T718" t="s">
        <v>7662</v>
      </c>
      <c r="U718" t="s">
        <v>7662</v>
      </c>
      <c r="V718" t="s">
        <v>7662</v>
      </c>
      <c r="W718">
        <v>2</v>
      </c>
      <c r="X718" t="s">
        <v>8380</v>
      </c>
      <c r="Y718">
        <v>0.48871179119630409</v>
      </c>
      <c r="Z718" t="str">
        <f>HYPERLINK("Melting_Curves/meltCurve_sp_P20338_RAB4A_HUMAN_.pdf", "Melting_Curves/meltCurve_sp_P20338_RAB4A_HUMAN_.pdf")</f>
        <v>Melting_Curves/meltCurve_sp_P20338_RAB4A_HUMAN_.pdf</v>
      </c>
      <c r="AA718" t="s">
        <v>12198</v>
      </c>
      <c r="AB718" t="s">
        <v>15959</v>
      </c>
    </row>
    <row r="719" spans="1:28" x14ac:dyDescent="0.25">
      <c r="A719" t="s">
        <v>723</v>
      </c>
      <c r="B719">
        <v>0.98876768158843997</v>
      </c>
      <c r="C719">
        <v>0.97030443941899203</v>
      </c>
      <c r="D719">
        <v>0.95040903814614497</v>
      </c>
      <c r="E719">
        <v>0.68208974908295406</v>
      </c>
      <c r="F719">
        <v>0.49983102643766802</v>
      </c>
      <c r="G719">
        <v>0.242123344021932</v>
      </c>
      <c r="H719">
        <v>0.13476557709263901</v>
      </c>
      <c r="I719">
        <v>0.116409571108561</v>
      </c>
      <c r="J719">
        <v>0.11827208780053999</v>
      </c>
      <c r="K719">
        <v>9.9894899755270106E-2</v>
      </c>
      <c r="L719">
        <v>946.96583727055702</v>
      </c>
      <c r="M719">
        <v>18.176134403822399</v>
      </c>
      <c r="N719">
        <v>52.672045654428103</v>
      </c>
      <c r="O719">
        <v>51.481034696566503</v>
      </c>
      <c r="P719">
        <v>-8.0356610437363807E-2</v>
      </c>
      <c r="Q719">
        <v>8.96532254539711E-2</v>
      </c>
      <c r="R719">
        <v>0.998002092318235</v>
      </c>
      <c r="S719" t="s">
        <v>4551</v>
      </c>
      <c r="T719" t="s">
        <v>7662</v>
      </c>
      <c r="U719" t="s">
        <v>7662</v>
      </c>
      <c r="V719" t="s">
        <v>7662</v>
      </c>
      <c r="W719">
        <v>5</v>
      </c>
      <c r="X719" t="s">
        <v>8381</v>
      </c>
      <c r="Y719">
        <v>0.47168800931959909</v>
      </c>
      <c r="Z719" t="str">
        <f>HYPERLINK("Melting_Curves/meltCurve_sp_P20340_2_RAB6A_HUMAN_.pdf", "Melting_Curves/meltCurve_sp_P20340_2_RAB6A_HUMAN_.pdf")</f>
        <v>Melting_Curves/meltCurve_sp_P20340_2_RAB6A_HUMAN_.pdf</v>
      </c>
      <c r="AA719" t="s">
        <v>12199</v>
      </c>
      <c r="AB719" t="s">
        <v>15960</v>
      </c>
    </row>
    <row r="720" spans="1:28" x14ac:dyDescent="0.25">
      <c r="A720" t="s">
        <v>724</v>
      </c>
      <c r="B720">
        <v>0.98876768158843997</v>
      </c>
      <c r="C720">
        <v>0.97450397263538802</v>
      </c>
      <c r="D720">
        <v>0.731207552298205</v>
      </c>
      <c r="E720">
        <v>0.53838085264151303</v>
      </c>
      <c r="F720">
        <v>0.56749962939923404</v>
      </c>
      <c r="G720">
        <v>0.39198564059698598</v>
      </c>
      <c r="H720">
        <v>0.282928816741844</v>
      </c>
      <c r="I720">
        <v>0.301336487556364</v>
      </c>
      <c r="J720">
        <v>0.35843683020725198</v>
      </c>
      <c r="K720">
        <v>0.36505063049625502</v>
      </c>
      <c r="L720">
        <v>711.51907543050299</v>
      </c>
      <c r="M720">
        <v>14.7062053858368</v>
      </c>
      <c r="N720">
        <v>52.042801407160503</v>
      </c>
      <c r="O720">
        <v>47.514035775476998</v>
      </c>
      <c r="P720">
        <v>-5.2446527210178402E-2</v>
      </c>
      <c r="Q720">
        <v>0.32227951400824301</v>
      </c>
      <c r="R720">
        <v>0.95723596903366104</v>
      </c>
      <c r="S720" t="s">
        <v>4552</v>
      </c>
      <c r="T720" t="s">
        <v>7662</v>
      </c>
      <c r="U720" t="s">
        <v>7662</v>
      </c>
      <c r="V720" t="s">
        <v>7662</v>
      </c>
      <c r="W720">
        <v>2</v>
      </c>
      <c r="X720" t="s">
        <v>8382</v>
      </c>
      <c r="Y720">
        <v>0.52945240858919074</v>
      </c>
      <c r="Z720" t="str">
        <f>HYPERLINK("Melting_Curves/meltCurve_sp_P20585_MSH3_HUMAN_.pdf", "Melting_Curves/meltCurve_sp_P20585_MSH3_HUMAN_.pdf")</f>
        <v>Melting_Curves/meltCurve_sp_P20585_MSH3_HUMAN_.pdf</v>
      </c>
      <c r="AA720" t="s">
        <v>12200</v>
      </c>
      <c r="AB720" t="s">
        <v>15961</v>
      </c>
    </row>
    <row r="721" spans="1:28" x14ac:dyDescent="0.25">
      <c r="A721" t="s">
        <v>725</v>
      </c>
      <c r="B721">
        <v>0.98876768158843997</v>
      </c>
      <c r="C721">
        <v>0.90791664486591095</v>
      </c>
      <c r="D721">
        <v>0.64690789324222697</v>
      </c>
      <c r="E721">
        <v>0.35228010923724801</v>
      </c>
      <c r="F721">
        <v>0.26289571761831598</v>
      </c>
      <c r="G721">
        <v>0.127822230858643</v>
      </c>
      <c r="H721">
        <v>0.11214029756876701</v>
      </c>
      <c r="I721">
        <v>6.5414799566865203E-2</v>
      </c>
      <c r="J721">
        <v>3.2322854831363497E-2</v>
      </c>
      <c r="K721">
        <v>7.2267750716570794E-2</v>
      </c>
      <c r="L721">
        <v>771.45051704657806</v>
      </c>
      <c r="M721">
        <v>16.125228222570101</v>
      </c>
      <c r="N721">
        <v>48.224755770160002</v>
      </c>
      <c r="O721">
        <v>47.123573257818002</v>
      </c>
      <c r="P721">
        <v>-8.04051648597153E-2</v>
      </c>
      <c r="Q721">
        <v>6.0182761731158198E-2</v>
      </c>
      <c r="R721">
        <v>0.994053540900392</v>
      </c>
      <c r="S721" t="s">
        <v>4553</v>
      </c>
      <c r="T721" t="s">
        <v>7662</v>
      </c>
      <c r="U721" t="s">
        <v>7662</v>
      </c>
      <c r="V721" t="s">
        <v>7662</v>
      </c>
      <c r="W721">
        <v>2</v>
      </c>
      <c r="X721" t="s">
        <v>8383</v>
      </c>
      <c r="Y721">
        <v>0.32688389091448561</v>
      </c>
      <c r="Z721" t="str">
        <f>HYPERLINK("Melting_Curves/meltCurve_sp_P20591_MX1_HUMAN_.pdf", "Melting_Curves/meltCurve_sp_P20591_MX1_HUMAN_.pdf")</f>
        <v>Melting_Curves/meltCurve_sp_P20591_MX1_HUMAN_.pdf</v>
      </c>
      <c r="AA721" t="s">
        <v>12201</v>
      </c>
      <c r="AB721" t="s">
        <v>15962</v>
      </c>
    </row>
    <row r="722" spans="1:28" x14ac:dyDescent="0.25">
      <c r="A722" t="s">
        <v>726</v>
      </c>
      <c r="B722">
        <v>0.98876768158843997</v>
      </c>
      <c r="C722">
        <v>0.94311089984056495</v>
      </c>
      <c r="D722">
        <v>1.0973971847019499</v>
      </c>
      <c r="E722">
        <v>0.98658509824309204</v>
      </c>
      <c r="F722">
        <v>0.59024818897029496</v>
      </c>
      <c r="G722">
        <v>0.484940231617777</v>
      </c>
      <c r="H722">
        <v>0.44706006653250602</v>
      </c>
      <c r="I722">
        <v>0.52148029471341895</v>
      </c>
      <c r="J722">
        <v>0.594640484263535</v>
      </c>
      <c r="K722">
        <v>0.60161970509555296</v>
      </c>
      <c r="L722">
        <v>4849.5012538524697</v>
      </c>
      <c r="M722">
        <v>93.420681317618701</v>
      </c>
      <c r="O722">
        <v>51.8865869780373</v>
      </c>
      <c r="P722">
        <v>-0.21157273169308199</v>
      </c>
      <c r="Q722">
        <v>0.52996334393901201</v>
      </c>
      <c r="R722">
        <v>0.94345926528220303</v>
      </c>
      <c r="S722" t="s">
        <v>4554</v>
      </c>
      <c r="T722" t="s">
        <v>7662</v>
      </c>
      <c r="U722" t="s">
        <v>7662</v>
      </c>
      <c r="V722" t="s">
        <v>7662</v>
      </c>
      <c r="W722">
        <v>13</v>
      </c>
      <c r="X722" t="s">
        <v>8384</v>
      </c>
      <c r="Y722">
        <v>0.71688062250884077</v>
      </c>
      <c r="Z722" t="str">
        <f>HYPERLINK("Melting_Curves/meltCurve_sp_P20618_PSB1_HUMAN_.pdf", "Melting_Curves/meltCurve_sp_P20618_PSB1_HUMAN_.pdf")</f>
        <v>Melting_Curves/meltCurve_sp_P20618_PSB1_HUMAN_.pdf</v>
      </c>
      <c r="AA722" t="s">
        <v>12202</v>
      </c>
      <c r="AB722" t="s">
        <v>15963</v>
      </c>
    </row>
    <row r="723" spans="1:28" x14ac:dyDescent="0.25">
      <c r="A723" t="s">
        <v>727</v>
      </c>
      <c r="B723">
        <v>0.98876768158843997</v>
      </c>
      <c r="C723">
        <v>0.99151276316895498</v>
      </c>
      <c r="D723">
        <v>0.879360132474171</v>
      </c>
      <c r="E723">
        <v>0.66919755606555098</v>
      </c>
      <c r="F723">
        <v>0.68735895576694495</v>
      </c>
      <c r="G723">
        <v>0.50526650748873103</v>
      </c>
      <c r="H723">
        <v>0.41888905547169197</v>
      </c>
      <c r="I723">
        <v>0.58976853319385303</v>
      </c>
      <c r="J723">
        <v>0.62305111343463204</v>
      </c>
      <c r="K723">
        <v>0.77539314859697395</v>
      </c>
      <c r="L723">
        <v>1258.5423636262899</v>
      </c>
      <c r="M723">
        <v>26.439080392923401</v>
      </c>
      <c r="O723">
        <v>47.331774829707697</v>
      </c>
      <c r="P723">
        <v>-5.6941273149795101E-2</v>
      </c>
      <c r="Q723">
        <v>0.59225472894562403</v>
      </c>
      <c r="R723">
        <v>0.76918707134088604</v>
      </c>
      <c r="S723" t="s">
        <v>4555</v>
      </c>
      <c r="T723" t="s">
        <v>7662</v>
      </c>
      <c r="U723" t="s">
        <v>7662</v>
      </c>
      <c r="V723" t="s">
        <v>7662</v>
      </c>
      <c r="W723">
        <v>1</v>
      </c>
      <c r="X723" t="s">
        <v>8385</v>
      </c>
      <c r="Y723">
        <v>0.69877381478815048</v>
      </c>
      <c r="Z723" t="str">
        <f>HYPERLINK("Melting_Curves/meltCurve_sp_P20674_COX5A_HUMAN_.pdf", "Melting_Curves/meltCurve_sp_P20674_COX5A_HUMAN_.pdf")</f>
        <v>Melting_Curves/meltCurve_sp_P20674_COX5A_HUMAN_.pdf</v>
      </c>
      <c r="AA723" t="s">
        <v>12203</v>
      </c>
      <c r="AB723" t="s">
        <v>15964</v>
      </c>
    </row>
    <row r="724" spans="1:28" x14ac:dyDescent="0.25">
      <c r="A724" t="s">
        <v>728</v>
      </c>
      <c r="B724">
        <v>0.98876768158843997</v>
      </c>
      <c r="C724">
        <v>0.98904879620609198</v>
      </c>
      <c r="D724">
        <v>0.92422459620861797</v>
      </c>
      <c r="E724">
        <v>0.72387618478350602</v>
      </c>
      <c r="F724">
        <v>0.68626503698851704</v>
      </c>
      <c r="G724">
        <v>0.44543143984814698</v>
      </c>
      <c r="H724">
        <v>0.26944246678175698</v>
      </c>
      <c r="I724">
        <v>0.23272377567592101</v>
      </c>
      <c r="J724">
        <v>0.28899790293662098</v>
      </c>
      <c r="K724">
        <v>0.29897278392583998</v>
      </c>
      <c r="L724">
        <v>795.88949232330299</v>
      </c>
      <c r="M724">
        <v>14.995890328730701</v>
      </c>
      <c r="N724">
        <v>55.352118466394401</v>
      </c>
      <c r="O724">
        <v>52.156853574886</v>
      </c>
      <c r="P724">
        <v>-5.5332095558580603E-2</v>
      </c>
      <c r="Q724">
        <v>0.230280806791342</v>
      </c>
      <c r="R724">
        <v>0.980555363893723</v>
      </c>
      <c r="S724" t="s">
        <v>4556</v>
      </c>
      <c r="T724" t="s">
        <v>7662</v>
      </c>
      <c r="U724" t="s">
        <v>7662</v>
      </c>
      <c r="V724" t="s">
        <v>7662</v>
      </c>
      <c r="W724">
        <v>11</v>
      </c>
      <c r="X724" t="s">
        <v>8386</v>
      </c>
      <c r="Y724">
        <v>0.58223802907439981</v>
      </c>
      <c r="Z724" t="str">
        <f>HYPERLINK("Melting_Curves/meltCurve_sp_P20700_LMNB1_HUMAN_.pdf", "Melting_Curves/meltCurve_sp_P20700_LMNB1_HUMAN_.pdf")</f>
        <v>Melting_Curves/meltCurve_sp_P20700_LMNB1_HUMAN_.pdf</v>
      </c>
      <c r="AA724" t="s">
        <v>12204</v>
      </c>
      <c r="AB724" t="s">
        <v>15965</v>
      </c>
    </row>
    <row r="725" spans="1:28" x14ac:dyDescent="0.25">
      <c r="A725" t="s">
        <v>729</v>
      </c>
      <c r="B725">
        <v>0.98876768158843997</v>
      </c>
      <c r="C725">
        <v>0.89180110646463995</v>
      </c>
      <c r="D725">
        <v>0.97722484180219005</v>
      </c>
      <c r="E725">
        <v>0.93578575725736401</v>
      </c>
      <c r="F725">
        <v>0.73944321986198502</v>
      </c>
      <c r="G725">
        <v>0.56218304457563795</v>
      </c>
      <c r="H725">
        <v>0.250738131840129</v>
      </c>
      <c r="I725">
        <v>7.2130777821587999E-2</v>
      </c>
      <c r="J725">
        <v>4.9180298189676001E-2</v>
      </c>
      <c r="K725">
        <v>4.94588147126796E-2</v>
      </c>
      <c r="L725">
        <v>1007.06878266896</v>
      </c>
      <c r="M725">
        <v>17.6471820959874</v>
      </c>
      <c r="N725">
        <v>57.066832744844199</v>
      </c>
      <c r="O725">
        <v>56.3491891863722</v>
      </c>
      <c r="P725">
        <v>-7.82980702564786E-2</v>
      </c>
      <c r="Q725">
        <v>0</v>
      </c>
      <c r="R725">
        <v>0.98561623271402299</v>
      </c>
      <c r="S725" t="s">
        <v>4557</v>
      </c>
      <c r="T725" t="s">
        <v>7662</v>
      </c>
      <c r="U725" t="s">
        <v>7662</v>
      </c>
      <c r="V725" t="s">
        <v>7662</v>
      </c>
      <c r="W725">
        <v>18</v>
      </c>
      <c r="X725" t="s">
        <v>8387</v>
      </c>
      <c r="Y725">
        <v>0.58279466509293454</v>
      </c>
      <c r="Z725" t="str">
        <f>HYPERLINK("Melting_Curves/meltCurve_sp_P20711_3_DDC_HUMAN_.pdf", "Melting_Curves/meltCurve_sp_P20711_3_DDC_HUMAN_.pdf")</f>
        <v>Melting_Curves/meltCurve_sp_P20711_3_DDC_HUMAN_.pdf</v>
      </c>
      <c r="AA725" t="s">
        <v>12205</v>
      </c>
      <c r="AB725" t="s">
        <v>15966</v>
      </c>
    </row>
    <row r="726" spans="1:28" x14ac:dyDescent="0.25">
      <c r="A726" t="s">
        <v>730</v>
      </c>
      <c r="B726">
        <v>0.98876768158843997</v>
      </c>
      <c r="C726">
        <v>1.09866055321692</v>
      </c>
      <c r="D726">
        <v>0.90949977915240998</v>
      </c>
      <c r="E726">
        <v>0.82658051036285096</v>
      </c>
      <c r="F726">
        <v>0.95244961209430501</v>
      </c>
      <c r="G726">
        <v>0.68919027393616294</v>
      </c>
      <c r="H726">
        <v>0.58265893324412099</v>
      </c>
      <c r="I726">
        <v>0.72601170163477402</v>
      </c>
      <c r="J726">
        <v>0.87007144445456397</v>
      </c>
      <c r="K726">
        <v>1.0991112494906801</v>
      </c>
      <c r="L726">
        <v>11499.040531676201</v>
      </c>
      <c r="M726">
        <v>250</v>
      </c>
      <c r="O726">
        <v>45.993218698555097</v>
      </c>
      <c r="P726">
        <v>-0.24342219720429001</v>
      </c>
      <c r="Q726">
        <v>0.82086767465871002</v>
      </c>
      <c r="R726">
        <v>0.28235425919951401</v>
      </c>
      <c r="S726" t="s">
        <v>4558</v>
      </c>
      <c r="T726" t="s">
        <v>7662</v>
      </c>
      <c r="U726" t="s">
        <v>7662</v>
      </c>
      <c r="V726" t="s">
        <v>7662</v>
      </c>
      <c r="W726">
        <v>28</v>
      </c>
      <c r="X726" t="s">
        <v>8388</v>
      </c>
      <c r="Y726">
        <v>0.85668568350589491</v>
      </c>
      <c r="Z726" t="str">
        <f>HYPERLINK("Melting_Curves/meltCurve_sp_P20810_5_ICAL_HUMAN_.pdf", "Melting_Curves/meltCurve_sp_P20810_5_ICAL_HUMAN_.pdf")</f>
        <v>Melting_Curves/meltCurve_sp_P20810_5_ICAL_HUMAN_.pdf</v>
      </c>
      <c r="AA726" t="s">
        <v>12206</v>
      </c>
      <c r="AB726" t="s">
        <v>15967</v>
      </c>
    </row>
    <row r="727" spans="1:28" x14ac:dyDescent="0.25">
      <c r="A727" t="s">
        <v>731</v>
      </c>
      <c r="B727">
        <v>0.98876768158843997</v>
      </c>
      <c r="C727">
        <v>1.21662966696393</v>
      </c>
      <c r="D727">
        <v>1.0867569016199501</v>
      </c>
      <c r="E727">
        <v>0.90976004784869802</v>
      </c>
      <c r="F727">
        <v>0.58779594415894099</v>
      </c>
      <c r="G727">
        <v>0.47966638147864898</v>
      </c>
      <c r="H727">
        <v>0.34666682669648502</v>
      </c>
      <c r="I727">
        <v>0.377356454687447</v>
      </c>
      <c r="J727">
        <v>0.41945675792777698</v>
      </c>
      <c r="K727">
        <v>0.51600055391880395</v>
      </c>
      <c r="L727">
        <v>2285.1730214490899</v>
      </c>
      <c r="M727">
        <v>44.006696758419203</v>
      </c>
      <c r="N727">
        <v>54.261337073613703</v>
      </c>
      <c r="O727">
        <v>51.820950481137999</v>
      </c>
      <c r="P727">
        <v>-0.122147386532757</v>
      </c>
      <c r="Q727">
        <v>0.42465250339556199</v>
      </c>
      <c r="R727">
        <v>0.92207237473894699</v>
      </c>
      <c r="S727" t="s">
        <v>4559</v>
      </c>
      <c r="T727" t="s">
        <v>7662</v>
      </c>
      <c r="U727" t="s">
        <v>7662</v>
      </c>
      <c r="V727" t="s">
        <v>7662</v>
      </c>
      <c r="W727">
        <v>28</v>
      </c>
      <c r="X727" t="s">
        <v>8389</v>
      </c>
      <c r="Y727">
        <v>0.65511132731171773</v>
      </c>
      <c r="Z727" t="str">
        <f>HYPERLINK("Melting_Curves/meltCurve_sp_P20810_6_ICAL_HUMAN_.pdf", "Melting_Curves/meltCurve_sp_P20810_6_ICAL_HUMAN_.pdf")</f>
        <v>Melting_Curves/meltCurve_sp_P20810_6_ICAL_HUMAN_.pdf</v>
      </c>
      <c r="AA727" t="s">
        <v>12206</v>
      </c>
      <c r="AB727" t="s">
        <v>15968</v>
      </c>
    </row>
    <row r="728" spans="1:28" x14ac:dyDescent="0.25">
      <c r="A728" t="s">
        <v>732</v>
      </c>
      <c r="B728">
        <v>0.98876768158843997</v>
      </c>
      <c r="C728">
        <v>0.85680532741407001</v>
      </c>
      <c r="D728">
        <v>0.86712654768046804</v>
      </c>
      <c r="E728">
        <v>0.75367829981812995</v>
      </c>
      <c r="F728">
        <v>0.44070894861093901</v>
      </c>
      <c r="G728">
        <v>0.25793641612051299</v>
      </c>
      <c r="H728">
        <v>0.20509983078830599</v>
      </c>
      <c r="I728">
        <v>0.196051374424593</v>
      </c>
      <c r="J728">
        <v>0.25335151178343701</v>
      </c>
      <c r="K728">
        <v>0.24451952647998301</v>
      </c>
      <c r="L728">
        <v>997.47296206895101</v>
      </c>
      <c r="M728">
        <v>19.544226181763101</v>
      </c>
      <c r="N728">
        <v>52.440491546169099</v>
      </c>
      <c r="O728">
        <v>50.511403774663897</v>
      </c>
      <c r="P728">
        <v>-7.7031809680960503E-2</v>
      </c>
      <c r="Q728">
        <v>0.20368377383462899</v>
      </c>
      <c r="R728">
        <v>0.968332299437481</v>
      </c>
      <c r="S728" t="s">
        <v>4560</v>
      </c>
      <c r="T728" t="s">
        <v>7662</v>
      </c>
      <c r="U728" t="s">
        <v>7662</v>
      </c>
      <c r="V728" t="s">
        <v>7662</v>
      </c>
      <c r="W728">
        <v>2</v>
      </c>
      <c r="X728" t="s">
        <v>8390</v>
      </c>
      <c r="Y728">
        <v>0.50817865738246515</v>
      </c>
      <c r="Z728" t="str">
        <f>HYPERLINK("Melting_Curves/meltCurve_sp_P20823_3_HNF1A_HUMAN_.pdf", "Melting_Curves/meltCurve_sp_P20823_3_HNF1A_HUMAN_.pdf")</f>
        <v>Melting_Curves/meltCurve_sp_P20823_3_HNF1A_HUMAN_.pdf</v>
      </c>
      <c r="AA728" t="s">
        <v>12207</v>
      </c>
      <c r="AB728" t="s">
        <v>15969</v>
      </c>
    </row>
    <row r="729" spans="1:28" x14ac:dyDescent="0.25">
      <c r="A729" t="s">
        <v>733</v>
      </c>
      <c r="B729">
        <v>0.98876768158843997</v>
      </c>
      <c r="C729">
        <v>0.87105772613073895</v>
      </c>
      <c r="D729">
        <v>1.2051335262212399</v>
      </c>
      <c r="E729">
        <v>1.09711791880857</v>
      </c>
      <c r="F729">
        <v>0.128967346056337</v>
      </c>
      <c r="G729">
        <v>5.3927618878912398E-2</v>
      </c>
      <c r="H729">
        <v>1.9959910868588001E-2</v>
      </c>
      <c r="I729">
        <v>9.7424111005287601E-3</v>
      </c>
      <c r="J729">
        <v>1.4028883823070999E-2</v>
      </c>
      <c r="K729">
        <v>1.14147108891249E-2</v>
      </c>
      <c r="L729">
        <v>13138.944355384499</v>
      </c>
      <c r="M729">
        <v>250</v>
      </c>
      <c r="N729">
        <v>52.565156941881803</v>
      </c>
      <c r="O729">
        <v>52.552411897961399</v>
      </c>
      <c r="P729">
        <v>-1.163345419044</v>
      </c>
      <c r="Q729">
        <v>2.1814236001572399E-2</v>
      </c>
      <c r="R729">
        <v>0.97189229227242202</v>
      </c>
      <c r="S729" t="s">
        <v>4561</v>
      </c>
      <c r="T729" t="s">
        <v>7662</v>
      </c>
      <c r="U729" t="s">
        <v>7662</v>
      </c>
      <c r="V729" t="s">
        <v>7662</v>
      </c>
      <c r="W729">
        <v>1</v>
      </c>
      <c r="X729" t="s">
        <v>8391</v>
      </c>
      <c r="Y729">
        <v>0.43130054953566849</v>
      </c>
      <c r="Z729" t="str">
        <f>HYPERLINK("Melting_Curves/meltCurve_sp_P20930_FILA_HUMAN_.pdf", "Melting_Curves/meltCurve_sp_P20930_FILA_HUMAN_.pdf")</f>
        <v>Melting_Curves/meltCurve_sp_P20930_FILA_HUMAN_.pdf</v>
      </c>
      <c r="AA729" t="s">
        <v>12208</v>
      </c>
      <c r="AB729" t="s">
        <v>15970</v>
      </c>
    </row>
    <row r="730" spans="1:28" x14ac:dyDescent="0.25">
      <c r="A730" t="s">
        <v>734</v>
      </c>
      <c r="B730">
        <v>0.98876768158843997</v>
      </c>
      <c r="C730">
        <v>0.76876444478635297</v>
      </c>
      <c r="D730">
        <v>0.88905604901999202</v>
      </c>
      <c r="E730">
        <v>0.70947007483770497</v>
      </c>
      <c r="F730">
        <v>0.48601334770820598</v>
      </c>
      <c r="G730">
        <v>0.37109814932035201</v>
      </c>
      <c r="H730">
        <v>0.26849379763283598</v>
      </c>
      <c r="I730">
        <v>0.305978301701744</v>
      </c>
      <c r="J730">
        <v>0.34342569192419398</v>
      </c>
      <c r="K730">
        <v>0.41183021766591499</v>
      </c>
      <c r="L730">
        <v>704.86524379622904</v>
      </c>
      <c r="M730">
        <v>14.1635710663029</v>
      </c>
      <c r="N730">
        <v>53.297463904389502</v>
      </c>
      <c r="O730">
        <v>48.805522273889999</v>
      </c>
      <c r="P730">
        <v>-5.04740875399095E-2</v>
      </c>
      <c r="Q730">
        <v>0.304383714907355</v>
      </c>
      <c r="R730">
        <v>0.91180764851061002</v>
      </c>
      <c r="S730" t="s">
        <v>4562</v>
      </c>
      <c r="T730" t="s">
        <v>7662</v>
      </c>
      <c r="U730" t="s">
        <v>7662</v>
      </c>
      <c r="V730" t="s">
        <v>7662</v>
      </c>
      <c r="W730">
        <v>2</v>
      </c>
      <c r="X730" t="s">
        <v>8392</v>
      </c>
      <c r="Y730">
        <v>0.54933729394412589</v>
      </c>
      <c r="Z730" t="str">
        <f>HYPERLINK("Melting_Curves/meltCurve_sp_P20933_ASPG_HUMAN_.pdf", "Melting_Curves/meltCurve_sp_P20933_ASPG_HUMAN_.pdf")</f>
        <v>Melting_Curves/meltCurve_sp_P20933_ASPG_HUMAN_.pdf</v>
      </c>
      <c r="AA730" t="s">
        <v>12209</v>
      </c>
      <c r="AB730" t="s">
        <v>15971</v>
      </c>
    </row>
    <row r="731" spans="1:28" x14ac:dyDescent="0.25">
      <c r="A731" t="s">
        <v>735</v>
      </c>
      <c r="B731">
        <v>0.98876768158843997</v>
      </c>
      <c r="C731">
        <v>0.78907390803931698</v>
      </c>
      <c r="D731">
        <v>1.0524571134241101</v>
      </c>
      <c r="E731">
        <v>0.87138856705291001</v>
      </c>
      <c r="F731">
        <v>0.30317354599012297</v>
      </c>
      <c r="G731">
        <v>0.31325894823358602</v>
      </c>
      <c r="H731">
        <v>0.27068482251779902</v>
      </c>
      <c r="I731">
        <v>0.15558294506152801</v>
      </c>
      <c r="J731">
        <v>0.113092797408625</v>
      </c>
      <c r="K731">
        <v>3.1979259615536097E-2</v>
      </c>
      <c r="L731">
        <v>2883.03294096932</v>
      </c>
      <c r="M731">
        <v>56.008668666618</v>
      </c>
      <c r="N731">
        <v>51.872943891007203</v>
      </c>
      <c r="O731">
        <v>51.409269893838697</v>
      </c>
      <c r="P731">
        <v>-0.22477796949825099</v>
      </c>
      <c r="Q731">
        <v>0.17472316966409401</v>
      </c>
      <c r="R731">
        <v>0.92779035053384096</v>
      </c>
      <c r="S731" t="s">
        <v>4563</v>
      </c>
      <c r="T731" t="s">
        <v>7662</v>
      </c>
      <c r="U731" t="s">
        <v>7662</v>
      </c>
      <c r="V731" t="s">
        <v>7662</v>
      </c>
      <c r="W731">
        <v>1</v>
      </c>
      <c r="X731" t="s">
        <v>8393</v>
      </c>
      <c r="Y731">
        <v>0.49187667529733831</v>
      </c>
      <c r="Z731" t="str">
        <f>HYPERLINK("Melting_Curves/meltCurve_sp_P20936_2_RASA1_HUMAN_.pdf", "Melting_Curves/meltCurve_sp_P20936_2_RASA1_HUMAN_.pdf")</f>
        <v>Melting_Curves/meltCurve_sp_P20936_2_RASA1_HUMAN_.pdf</v>
      </c>
      <c r="AA731" t="s">
        <v>12210</v>
      </c>
      <c r="AB731" t="s">
        <v>15972</v>
      </c>
    </row>
    <row r="732" spans="1:28" x14ac:dyDescent="0.25">
      <c r="A732" t="s">
        <v>736</v>
      </c>
      <c r="B732">
        <v>0.98876768158843997</v>
      </c>
      <c r="C732">
        <v>1.14207330457245</v>
      </c>
      <c r="D732">
        <v>0.86590848458657399</v>
      </c>
      <c r="E732">
        <v>0.75621442060250399</v>
      </c>
      <c r="F732">
        <v>0.76390288825733699</v>
      </c>
      <c r="G732">
        <v>0.56570933650580502</v>
      </c>
      <c r="H732">
        <v>0.42860407579756898</v>
      </c>
      <c r="I732">
        <v>0.525928998792902</v>
      </c>
      <c r="J732">
        <v>0.69654644777803398</v>
      </c>
      <c r="K732">
        <v>0.77779772240945699</v>
      </c>
      <c r="L732">
        <v>1110.7028490719099</v>
      </c>
      <c r="M732">
        <v>22.551720810480099</v>
      </c>
      <c r="O732">
        <v>48.868985171811602</v>
      </c>
      <c r="P732">
        <v>-4.53573819321854E-2</v>
      </c>
      <c r="Q732">
        <v>0.60685486390741505</v>
      </c>
      <c r="R732">
        <v>0.71560056358407698</v>
      </c>
      <c r="S732" t="s">
        <v>4564</v>
      </c>
      <c r="T732" t="s">
        <v>7662</v>
      </c>
      <c r="U732" t="s">
        <v>7662</v>
      </c>
      <c r="V732" t="s">
        <v>7662</v>
      </c>
      <c r="W732">
        <v>3</v>
      </c>
      <c r="X732" t="s">
        <v>8394</v>
      </c>
      <c r="Y732">
        <v>0.73240070523587653</v>
      </c>
      <c r="Z732" t="str">
        <f>HYPERLINK("Melting_Curves/meltCurve_sp_P20962_PTMS_HUMAN_.pdf", "Melting_Curves/meltCurve_sp_P20962_PTMS_HUMAN_.pdf")</f>
        <v>Melting_Curves/meltCurve_sp_P20962_PTMS_HUMAN_.pdf</v>
      </c>
      <c r="AA732" t="s">
        <v>12211</v>
      </c>
      <c r="AB732" t="s">
        <v>15973</v>
      </c>
    </row>
    <row r="733" spans="1:28" x14ac:dyDescent="0.25">
      <c r="A733" t="s">
        <v>737</v>
      </c>
      <c r="B733">
        <v>0.98876768158843997</v>
      </c>
      <c r="C733">
        <v>1.0051422282735301</v>
      </c>
      <c r="D733">
        <v>0.77436858952976095</v>
      </c>
      <c r="E733">
        <v>0.33973316461504399</v>
      </c>
      <c r="F733">
        <v>0.17342315338221301</v>
      </c>
      <c r="G733">
        <v>8.6002977953449203E-2</v>
      </c>
      <c r="H733">
        <v>4.3540344398348703E-2</v>
      </c>
      <c r="I733">
        <v>3.03050697836597E-2</v>
      </c>
      <c r="J733">
        <v>3.7026835846994302E-2</v>
      </c>
      <c r="K733">
        <v>3.4112270753551797E-2</v>
      </c>
      <c r="L733">
        <v>1139.18786390999</v>
      </c>
      <c r="M733">
        <v>23.515370014262899</v>
      </c>
      <c r="N733">
        <v>48.617113388995001</v>
      </c>
      <c r="O733">
        <v>48.098132712082098</v>
      </c>
      <c r="P733">
        <v>-0.11732998733352699</v>
      </c>
      <c r="Q733">
        <v>4.0073526809303602E-2</v>
      </c>
      <c r="R733">
        <v>0.99752330537409695</v>
      </c>
      <c r="S733" t="s">
        <v>4565</v>
      </c>
      <c r="T733" t="s">
        <v>7662</v>
      </c>
      <c r="U733" t="s">
        <v>7662</v>
      </c>
      <c r="V733" t="s">
        <v>7662</v>
      </c>
      <c r="W733">
        <v>5</v>
      </c>
      <c r="X733" t="s">
        <v>8395</v>
      </c>
      <c r="Y733">
        <v>0.31991975761416852</v>
      </c>
      <c r="Z733" t="str">
        <f>HYPERLINK("Melting_Curves/meltCurve_sp_P21266_GSTM3_HUMAN_.pdf", "Melting_Curves/meltCurve_sp_P21266_GSTM3_HUMAN_.pdf")</f>
        <v>Melting_Curves/meltCurve_sp_P21266_GSTM3_HUMAN_.pdf</v>
      </c>
      <c r="AA733" t="s">
        <v>12212</v>
      </c>
      <c r="AB733" t="s">
        <v>15974</v>
      </c>
    </row>
    <row r="734" spans="1:28" x14ac:dyDescent="0.25">
      <c r="A734" t="s">
        <v>738</v>
      </c>
      <c r="B734">
        <v>0.98876768158843997</v>
      </c>
      <c r="C734">
        <v>0.93306813634302899</v>
      </c>
      <c r="D734">
        <v>1.0106275134082201</v>
      </c>
      <c r="E734">
        <v>0.858092881221173</v>
      </c>
      <c r="F734">
        <v>0.51455112095947497</v>
      </c>
      <c r="G734">
        <v>0.34614768878990798</v>
      </c>
      <c r="H734">
        <v>0.21137677541102101</v>
      </c>
      <c r="I734">
        <v>0.108924549543459</v>
      </c>
      <c r="J734">
        <v>0.107574504499709</v>
      </c>
      <c r="K734">
        <v>8.3355678818140003E-2</v>
      </c>
      <c r="L734">
        <v>1009.36857450911</v>
      </c>
      <c r="M734">
        <v>18.8565313774881</v>
      </c>
      <c r="N734">
        <v>54.102689059512201</v>
      </c>
      <c r="O734">
        <v>52.937719127592899</v>
      </c>
      <c r="P734">
        <v>-8.0982875568686302E-2</v>
      </c>
      <c r="Q734">
        <v>9.0633670638660804E-2</v>
      </c>
      <c r="R734">
        <v>0.98759170027101895</v>
      </c>
      <c r="S734" t="s">
        <v>4566</v>
      </c>
      <c r="T734" t="s">
        <v>7662</v>
      </c>
      <c r="U734" t="s">
        <v>7662</v>
      </c>
      <c r="V734" t="s">
        <v>7662</v>
      </c>
      <c r="W734">
        <v>16</v>
      </c>
      <c r="X734" t="s">
        <v>8396</v>
      </c>
      <c r="Y734">
        <v>0.51441307449264162</v>
      </c>
      <c r="Z734" t="str">
        <f>HYPERLINK("Melting_Curves/meltCurve_sp_P21281_VATB2_HUMAN_.pdf", "Melting_Curves/meltCurve_sp_P21281_VATB2_HUMAN_.pdf")</f>
        <v>Melting_Curves/meltCurve_sp_P21281_VATB2_HUMAN_.pdf</v>
      </c>
      <c r="AA734" t="s">
        <v>12213</v>
      </c>
      <c r="AB734" t="s">
        <v>15975</v>
      </c>
    </row>
    <row r="735" spans="1:28" x14ac:dyDescent="0.25">
      <c r="A735" t="s">
        <v>739</v>
      </c>
      <c r="B735">
        <v>0.98876768158843997</v>
      </c>
      <c r="C735">
        <v>1.0221842640759899</v>
      </c>
      <c r="D735">
        <v>0.97538525275318899</v>
      </c>
      <c r="E735">
        <v>0.80699272587239501</v>
      </c>
      <c r="F735">
        <v>0.47480962640177299</v>
      </c>
      <c r="G735">
        <v>0.13744947607045499</v>
      </c>
      <c r="H735">
        <v>6.3777391243596396E-2</v>
      </c>
      <c r="I735">
        <v>5.2950700868197899E-2</v>
      </c>
      <c r="J735">
        <v>4.7350095534087401E-2</v>
      </c>
      <c r="K735">
        <v>3.7663225704469998E-2</v>
      </c>
      <c r="L735">
        <v>1429.33753498084</v>
      </c>
      <c r="M735">
        <v>27.182625078099399</v>
      </c>
      <c r="N735">
        <v>52.748597899843801</v>
      </c>
      <c r="O735">
        <v>52.300644733775499</v>
      </c>
      <c r="P735">
        <v>-0.124614260100348</v>
      </c>
      <c r="Q735">
        <v>4.09544640862472E-2</v>
      </c>
      <c r="R735">
        <v>0.99949064972641899</v>
      </c>
      <c r="S735" t="s">
        <v>4567</v>
      </c>
      <c r="T735" t="s">
        <v>7662</v>
      </c>
      <c r="U735" t="s">
        <v>7662</v>
      </c>
      <c r="V735" t="s">
        <v>7662</v>
      </c>
      <c r="W735">
        <v>9</v>
      </c>
      <c r="X735" t="s">
        <v>8397</v>
      </c>
      <c r="Y735">
        <v>0.45069868881272718</v>
      </c>
      <c r="Z735" t="str">
        <f>HYPERLINK("Melting_Curves/meltCurve_sp_P21283_VATC1_HUMAN_.pdf", "Melting_Curves/meltCurve_sp_P21283_VATC1_HUMAN_.pdf")</f>
        <v>Melting_Curves/meltCurve_sp_P21283_VATC1_HUMAN_.pdf</v>
      </c>
      <c r="AA735" t="s">
        <v>12214</v>
      </c>
      <c r="AB735" t="s">
        <v>15976</v>
      </c>
    </row>
    <row r="736" spans="1:28" x14ac:dyDescent="0.25">
      <c r="A736" t="s">
        <v>740</v>
      </c>
      <c r="B736">
        <v>0.98876768158843997</v>
      </c>
      <c r="C736">
        <v>1.0820062331188001</v>
      </c>
      <c r="D736">
        <v>0.86108142019567102</v>
      </c>
      <c r="E736">
        <v>0.77165093643524596</v>
      </c>
      <c r="F736">
        <v>0.93613380375254296</v>
      </c>
      <c r="G736">
        <v>0.66768646361220796</v>
      </c>
      <c r="H736">
        <v>0.488526301801126</v>
      </c>
      <c r="I736">
        <v>0.61084443440243796</v>
      </c>
      <c r="J736">
        <v>0.59035088982077999</v>
      </c>
      <c r="K736">
        <v>0.92994154361356096</v>
      </c>
      <c r="L736">
        <v>819.13294457178495</v>
      </c>
      <c r="M736">
        <v>16.299935584482999</v>
      </c>
      <c r="O736">
        <v>49.515622406162599</v>
      </c>
      <c r="P736">
        <v>-2.79202527230249E-2</v>
      </c>
      <c r="Q736">
        <v>0.66076236743050698</v>
      </c>
      <c r="R736">
        <v>0.51749449151877602</v>
      </c>
      <c r="S736" t="s">
        <v>4568</v>
      </c>
      <c r="T736" t="s">
        <v>7662</v>
      </c>
      <c r="U736" t="s">
        <v>7662</v>
      </c>
      <c r="V736" t="s">
        <v>7662</v>
      </c>
      <c r="W736">
        <v>6</v>
      </c>
      <c r="X736" t="s">
        <v>8398</v>
      </c>
      <c r="Y736">
        <v>0.78363421271592459</v>
      </c>
      <c r="Z736" t="str">
        <f>HYPERLINK("Melting_Curves/meltCurve_sp_P21291_CSRP1_HUMAN_.pdf", "Melting_Curves/meltCurve_sp_P21291_CSRP1_HUMAN_.pdf")</f>
        <v>Melting_Curves/meltCurve_sp_P21291_CSRP1_HUMAN_.pdf</v>
      </c>
      <c r="AA736" t="s">
        <v>12215</v>
      </c>
      <c r="AB736" t="s">
        <v>15977</v>
      </c>
    </row>
    <row r="737" spans="1:28" x14ac:dyDescent="0.25">
      <c r="A737" t="s">
        <v>741</v>
      </c>
      <c r="B737">
        <v>0.98876768158843997</v>
      </c>
      <c r="C737">
        <v>0.83347579146213102</v>
      </c>
      <c r="D737">
        <v>0.86588334486917096</v>
      </c>
      <c r="E737">
        <v>0.75911313974296502</v>
      </c>
      <c r="F737">
        <v>0.49038548209842697</v>
      </c>
      <c r="G737">
        <v>0.11404576479421</v>
      </c>
      <c r="H737">
        <v>5.03780638284732E-2</v>
      </c>
      <c r="I737">
        <v>3.4763683104866903E-2</v>
      </c>
      <c r="J737">
        <v>4.6952113701750703E-2</v>
      </c>
      <c r="K737">
        <v>3.04173653232374E-2</v>
      </c>
      <c r="L737">
        <v>1012.76907422033</v>
      </c>
      <c r="M737">
        <v>19.302993764085599</v>
      </c>
      <c r="N737">
        <v>52.4894854994551</v>
      </c>
      <c r="O737">
        <v>51.913568570318603</v>
      </c>
      <c r="P737">
        <v>-9.2577405355528594E-2</v>
      </c>
      <c r="Q737">
        <v>4.1246387668611804E-3</v>
      </c>
      <c r="R737">
        <v>0.97487194802702004</v>
      </c>
      <c r="S737" t="s">
        <v>4569</v>
      </c>
      <c r="T737" t="s">
        <v>7662</v>
      </c>
      <c r="U737" t="s">
        <v>7662</v>
      </c>
      <c r="V737" t="s">
        <v>7662</v>
      </c>
      <c r="W737">
        <v>43</v>
      </c>
      <c r="X737" t="s">
        <v>8399</v>
      </c>
      <c r="Y737">
        <v>0.43259932075337831</v>
      </c>
      <c r="Z737" t="str">
        <f>HYPERLINK("Melting_Curves/meltCurve_sp_P21399_ACOC_HUMAN_.pdf", "Melting_Curves/meltCurve_sp_P21399_ACOC_HUMAN_.pdf")</f>
        <v>Melting_Curves/meltCurve_sp_P21399_ACOC_HUMAN_.pdf</v>
      </c>
      <c r="AA737" t="s">
        <v>12216</v>
      </c>
      <c r="AB737" t="s">
        <v>15978</v>
      </c>
    </row>
    <row r="738" spans="1:28" x14ac:dyDescent="0.25">
      <c r="A738" t="s">
        <v>742</v>
      </c>
      <c r="B738">
        <v>0.98876768158843997</v>
      </c>
      <c r="C738">
        <v>0.93435330488698998</v>
      </c>
      <c r="D738">
        <v>0.90912480231188197</v>
      </c>
      <c r="E738">
        <v>0.84352584827698196</v>
      </c>
      <c r="F738">
        <v>0.76195243621996001</v>
      </c>
      <c r="G738">
        <v>0.53395007845374098</v>
      </c>
      <c r="H738">
        <v>0.37029457474587002</v>
      </c>
      <c r="I738">
        <v>0.28726646631856301</v>
      </c>
      <c r="J738">
        <v>0.18885882384994901</v>
      </c>
      <c r="K738">
        <v>0.152278293311532</v>
      </c>
      <c r="L738">
        <v>596.55357340032003</v>
      </c>
      <c r="M738">
        <v>10.276374436077001</v>
      </c>
      <c r="N738">
        <v>58.050975371113601</v>
      </c>
      <c r="O738">
        <v>55.981600686491902</v>
      </c>
      <c r="P738">
        <v>-4.59118616982295E-2</v>
      </c>
      <c r="Q738">
        <v>0</v>
      </c>
      <c r="R738">
        <v>0.99575732624268598</v>
      </c>
      <c r="S738" t="s">
        <v>4570</v>
      </c>
      <c r="T738" t="s">
        <v>7662</v>
      </c>
      <c r="U738" t="s">
        <v>7662</v>
      </c>
      <c r="V738" t="s">
        <v>7662</v>
      </c>
      <c r="W738">
        <v>23</v>
      </c>
      <c r="X738" t="s">
        <v>8400</v>
      </c>
      <c r="Y738">
        <v>0.61186263299043209</v>
      </c>
      <c r="Z738" t="str">
        <f>HYPERLINK("Melting_Curves/meltCurve_sp_P21549_SPYA_HUMAN_.pdf", "Melting_Curves/meltCurve_sp_P21549_SPYA_HUMAN_.pdf")</f>
        <v>Melting_Curves/meltCurve_sp_P21549_SPYA_HUMAN_.pdf</v>
      </c>
      <c r="AA738" t="s">
        <v>12217</v>
      </c>
      <c r="AB738" t="s">
        <v>15979</v>
      </c>
    </row>
    <row r="739" spans="1:28" x14ac:dyDescent="0.25">
      <c r="A739" t="s">
        <v>743</v>
      </c>
      <c r="B739">
        <v>0.98876768158843997</v>
      </c>
      <c r="C739">
        <v>1.00282769292546</v>
      </c>
      <c r="D739">
        <v>0.89747636291934596</v>
      </c>
      <c r="E739">
        <v>0.77465189364874398</v>
      </c>
      <c r="F739">
        <v>0.281251441675964</v>
      </c>
      <c r="G739">
        <v>7.8597355919991299E-2</v>
      </c>
      <c r="H739">
        <v>3.9517830455878401E-2</v>
      </c>
      <c r="I739">
        <v>3.2199397680078901E-2</v>
      </c>
      <c r="J739">
        <v>3.1663273472115797E-2</v>
      </c>
      <c r="K739">
        <v>3.0180967772920401E-2</v>
      </c>
      <c r="L739">
        <v>1832.0296306815701</v>
      </c>
      <c r="M739">
        <v>35.557127945877902</v>
      </c>
      <c r="N739">
        <v>51.625223207084197</v>
      </c>
      <c r="O739">
        <v>51.361400338636301</v>
      </c>
      <c r="P739">
        <v>-0.16722157087164199</v>
      </c>
      <c r="Q739">
        <v>3.3813356806248897E-2</v>
      </c>
      <c r="R739">
        <v>0.99492550201803798</v>
      </c>
      <c r="S739" t="s">
        <v>4571</v>
      </c>
      <c r="T739" t="s">
        <v>7662</v>
      </c>
      <c r="U739" t="s">
        <v>7662</v>
      </c>
      <c r="V739" t="s">
        <v>7662</v>
      </c>
      <c r="W739">
        <v>21</v>
      </c>
      <c r="X739" t="s">
        <v>8401</v>
      </c>
      <c r="Y739">
        <v>0.40930290812716258</v>
      </c>
      <c r="Z739" t="str">
        <f>HYPERLINK("Melting_Curves/meltCurve_sp_P21695_2_GPDA_HUMAN_.pdf", "Melting_Curves/meltCurve_sp_P21695_2_GPDA_HUMAN_.pdf")</f>
        <v>Melting_Curves/meltCurve_sp_P21695_2_GPDA_HUMAN_.pdf</v>
      </c>
      <c r="AA739" t="s">
        <v>12218</v>
      </c>
      <c r="AB739" t="s">
        <v>15980</v>
      </c>
    </row>
    <row r="740" spans="1:28" x14ac:dyDescent="0.25">
      <c r="A740" t="s">
        <v>744</v>
      </c>
      <c r="B740">
        <v>0.98876768158843997</v>
      </c>
      <c r="C740">
        <v>0.88862030724632801</v>
      </c>
      <c r="D740">
        <v>0.861990041495589</v>
      </c>
      <c r="E740">
        <v>0.56694694894228204</v>
      </c>
      <c r="F740">
        <v>0.320011775095633</v>
      </c>
      <c r="G740">
        <v>0.17179610763188799</v>
      </c>
      <c r="H740">
        <v>0.113878216919474</v>
      </c>
      <c r="I740">
        <v>0.111438744417875</v>
      </c>
      <c r="J740">
        <v>0.11969841543812</v>
      </c>
      <c r="K740">
        <v>0.12885598491740999</v>
      </c>
      <c r="L740">
        <v>921.471780766287</v>
      </c>
      <c r="M740">
        <v>18.4445691529016</v>
      </c>
      <c r="N740">
        <v>50.577350219023401</v>
      </c>
      <c r="O740">
        <v>49.382827041660299</v>
      </c>
      <c r="P740">
        <v>-8.3953417326100899E-2</v>
      </c>
      <c r="Q740">
        <v>0.100944791391414</v>
      </c>
      <c r="R740">
        <v>0.99426493913326897</v>
      </c>
      <c r="S740" t="s">
        <v>4572</v>
      </c>
      <c r="T740" t="s">
        <v>7662</v>
      </c>
      <c r="U740" t="s">
        <v>7662</v>
      </c>
      <c r="V740" t="s">
        <v>7662</v>
      </c>
      <c r="W740">
        <v>5</v>
      </c>
      <c r="X740" t="s">
        <v>8402</v>
      </c>
      <c r="Y740">
        <v>0.41404249525174319</v>
      </c>
      <c r="Z740" t="str">
        <f>HYPERLINK("Melting_Curves/meltCurve_sp_P21912_DHSB_HUMAN_.pdf", "Melting_Curves/meltCurve_sp_P21912_DHSB_HUMAN_.pdf")</f>
        <v>Melting_Curves/meltCurve_sp_P21912_DHSB_HUMAN_.pdf</v>
      </c>
      <c r="AA740" t="s">
        <v>12219</v>
      </c>
      <c r="AB740" t="s">
        <v>15981</v>
      </c>
    </row>
    <row r="741" spans="1:28" x14ac:dyDescent="0.25">
      <c r="A741" t="s">
        <v>745</v>
      </c>
      <c r="B741">
        <v>0.98876768158843997</v>
      </c>
      <c r="C741">
        <v>0.71517551586203498</v>
      </c>
      <c r="D741">
        <v>0.60194230741694699</v>
      </c>
      <c r="E741">
        <v>0.352111820409023</v>
      </c>
      <c r="F741">
        <v>0.168397390172251</v>
      </c>
      <c r="G741">
        <v>0.109702232407849</v>
      </c>
      <c r="H741">
        <v>5.0794899500906598E-2</v>
      </c>
      <c r="I741">
        <v>4.2254174405394501E-2</v>
      </c>
      <c r="J741">
        <v>2.9743012594722201E-2</v>
      </c>
      <c r="K741">
        <v>2.6949497334339201E-2</v>
      </c>
      <c r="L741">
        <v>623.50086138260701</v>
      </c>
      <c r="M741">
        <v>13.2332181574912</v>
      </c>
      <c r="N741">
        <v>47.195327101927603</v>
      </c>
      <c r="O741">
        <v>46.079381192040501</v>
      </c>
      <c r="P741">
        <v>-7.1021293897427298E-2</v>
      </c>
      <c r="Q741">
        <v>1.0950248170382801E-2</v>
      </c>
      <c r="R741">
        <v>0.98802087830414298</v>
      </c>
      <c r="S741" t="s">
        <v>4573</v>
      </c>
      <c r="T741" t="s">
        <v>7662</v>
      </c>
      <c r="U741" t="s">
        <v>7662</v>
      </c>
      <c r="V741" t="s">
        <v>7662</v>
      </c>
      <c r="W741">
        <v>2</v>
      </c>
      <c r="X741" t="s">
        <v>8403</v>
      </c>
      <c r="Y741">
        <v>0.27981611679523372</v>
      </c>
      <c r="Z741" t="str">
        <f>HYPERLINK("Melting_Curves/meltCurve_sp_P21953_ODBB_HUMAN_.pdf", "Melting_Curves/meltCurve_sp_P21953_ODBB_HUMAN_.pdf")</f>
        <v>Melting_Curves/meltCurve_sp_P21953_ODBB_HUMAN_.pdf</v>
      </c>
      <c r="AA741" t="s">
        <v>12220</v>
      </c>
      <c r="AB741" t="s">
        <v>15982</v>
      </c>
    </row>
    <row r="742" spans="1:28" x14ac:dyDescent="0.25">
      <c r="A742" t="s">
        <v>746</v>
      </c>
      <c r="B742">
        <v>0.98876768158843997</v>
      </c>
      <c r="C742">
        <v>1.0753991014277999</v>
      </c>
      <c r="D742">
        <v>0.82510097451915798</v>
      </c>
      <c r="E742">
        <v>0.58166805228062302</v>
      </c>
      <c r="F742">
        <v>0.154122243439171</v>
      </c>
      <c r="G742">
        <v>6.5073654303253903E-2</v>
      </c>
      <c r="H742">
        <v>3.5332860340761697E-2</v>
      </c>
      <c r="I742">
        <v>3.1262841410753001E-2</v>
      </c>
      <c r="J742">
        <v>3.6068674420419597E-2</v>
      </c>
      <c r="K742">
        <v>3.32414042946962E-2</v>
      </c>
      <c r="L742">
        <v>1327.86699825448</v>
      </c>
      <c r="M742">
        <v>26.512440043144899</v>
      </c>
      <c r="N742">
        <v>50.183259076744498</v>
      </c>
      <c r="O742">
        <v>49.802336060145301</v>
      </c>
      <c r="P742">
        <v>-0.12971267832518801</v>
      </c>
      <c r="Q742">
        <v>2.5374384553897102E-2</v>
      </c>
      <c r="R742">
        <v>0.98701099685947602</v>
      </c>
      <c r="S742" t="s">
        <v>4574</v>
      </c>
      <c r="T742" t="s">
        <v>7662</v>
      </c>
      <c r="U742" t="s">
        <v>7662</v>
      </c>
      <c r="V742" t="s">
        <v>7662</v>
      </c>
      <c r="W742">
        <v>15</v>
      </c>
      <c r="X742" t="s">
        <v>8404</v>
      </c>
      <c r="Y742">
        <v>0.36074768677730062</v>
      </c>
      <c r="Z742" t="str">
        <f>HYPERLINK("Melting_Curves/meltCurve_sp_P21964_2_COMT_HUMAN_.pdf", "Melting_Curves/meltCurve_sp_P21964_2_COMT_HUMAN_.pdf")</f>
        <v>Melting_Curves/meltCurve_sp_P21964_2_COMT_HUMAN_.pdf</v>
      </c>
      <c r="AA742" t="s">
        <v>12221</v>
      </c>
      <c r="AB742" t="s">
        <v>15983</v>
      </c>
    </row>
    <row r="743" spans="1:28" x14ac:dyDescent="0.25">
      <c r="A743" t="s">
        <v>747</v>
      </c>
      <c r="B743">
        <v>0.98876768158843997</v>
      </c>
      <c r="C743">
        <v>0.84989486013590698</v>
      </c>
      <c r="D743">
        <v>1.0321640547233599</v>
      </c>
      <c r="E743">
        <v>0.96401764626693398</v>
      </c>
      <c r="F743">
        <v>0.43464992112274498</v>
      </c>
      <c r="G743">
        <v>0.17394098372939901</v>
      </c>
      <c r="H743">
        <v>8.5114291894278798E-2</v>
      </c>
      <c r="I743">
        <v>6.4296824951577999E-2</v>
      </c>
      <c r="J743">
        <v>5.10836735917009E-2</v>
      </c>
      <c r="K743">
        <v>4.1986706263702003E-2</v>
      </c>
      <c r="L743">
        <v>2670.1111705468402</v>
      </c>
      <c r="M743">
        <v>50.780389973051399</v>
      </c>
      <c r="N743">
        <v>52.757861865136299</v>
      </c>
      <c r="O743">
        <v>52.500187027614601</v>
      </c>
      <c r="P743">
        <v>-0.22293833503508501</v>
      </c>
      <c r="Q743">
        <v>7.8046077968891903E-2</v>
      </c>
      <c r="R743">
        <v>0.98097429223021904</v>
      </c>
      <c r="S743" t="s">
        <v>4575</v>
      </c>
      <c r="T743" t="s">
        <v>7662</v>
      </c>
      <c r="U743" t="s">
        <v>7662</v>
      </c>
      <c r="V743" t="s">
        <v>7662</v>
      </c>
      <c r="W743">
        <v>38</v>
      </c>
      <c r="X743" t="s">
        <v>8405</v>
      </c>
      <c r="Y743">
        <v>0.4667720625071709</v>
      </c>
      <c r="Z743" t="str">
        <f>HYPERLINK("Melting_Curves/meltCurve_sp_P22033_MUTA_HUMAN_.pdf", "Melting_Curves/meltCurve_sp_P22033_MUTA_HUMAN_.pdf")</f>
        <v>Melting_Curves/meltCurve_sp_P22033_MUTA_HUMAN_.pdf</v>
      </c>
      <c r="AA743" t="s">
        <v>12222</v>
      </c>
      <c r="AB743" t="s">
        <v>15984</v>
      </c>
    </row>
    <row r="744" spans="1:28" x14ac:dyDescent="0.25">
      <c r="A744" t="s">
        <v>748</v>
      </c>
      <c r="B744">
        <v>0.98876768158843997</v>
      </c>
      <c r="C744">
        <v>0.94550822054413597</v>
      </c>
      <c r="D744">
        <v>0.95073016795666498</v>
      </c>
      <c r="E744">
        <v>0.80110998163428304</v>
      </c>
      <c r="F744">
        <v>0.50543870562499504</v>
      </c>
      <c r="G744">
        <v>0.36048564103349301</v>
      </c>
      <c r="H744">
        <v>0.18054684357540801</v>
      </c>
      <c r="I744">
        <v>8.1742592446577098E-2</v>
      </c>
      <c r="J744">
        <v>6.7232219907693805E-2</v>
      </c>
      <c r="K744">
        <v>7.5231987290702407E-2</v>
      </c>
      <c r="L744">
        <v>814.85476947308098</v>
      </c>
      <c r="M744">
        <v>15.161314031994801</v>
      </c>
      <c r="N744">
        <v>53.980639840480102</v>
      </c>
      <c r="O744">
        <v>52.836650971837997</v>
      </c>
      <c r="P744">
        <v>-6.9452661676694602E-2</v>
      </c>
      <c r="Q744">
        <v>3.1933357082452901E-2</v>
      </c>
      <c r="R744">
        <v>0.992947375084967</v>
      </c>
      <c r="S744" t="s">
        <v>4576</v>
      </c>
      <c r="T744" t="s">
        <v>7662</v>
      </c>
      <c r="U744" t="s">
        <v>7662</v>
      </c>
      <c r="V744" t="s">
        <v>7662</v>
      </c>
      <c r="W744">
        <v>22</v>
      </c>
      <c r="X744" t="s">
        <v>8406</v>
      </c>
      <c r="Y744">
        <v>0.49534273481269969</v>
      </c>
      <c r="Z744" t="str">
        <f>HYPERLINK("Melting_Curves/meltCurve_sp_P22059_OSBP1_HUMAN_.pdf", "Melting_Curves/meltCurve_sp_P22059_OSBP1_HUMAN_.pdf")</f>
        <v>Melting_Curves/meltCurve_sp_P22059_OSBP1_HUMAN_.pdf</v>
      </c>
      <c r="AA744" t="s">
        <v>12223</v>
      </c>
      <c r="AB744" t="s">
        <v>15985</v>
      </c>
    </row>
    <row r="745" spans="1:28" x14ac:dyDescent="0.25">
      <c r="A745" t="s">
        <v>749</v>
      </c>
      <c r="B745">
        <v>0.98876768158843997</v>
      </c>
      <c r="C745">
        <v>1.0693056258010001</v>
      </c>
      <c r="D745">
        <v>0.89685858010178898</v>
      </c>
      <c r="E745">
        <v>0.78370306774036302</v>
      </c>
      <c r="F745">
        <v>0.71274953513476702</v>
      </c>
      <c r="G745">
        <v>0.178584419449872</v>
      </c>
      <c r="H745">
        <v>7.07351577663759E-2</v>
      </c>
      <c r="I745">
        <v>6.2713832081363705E-2</v>
      </c>
      <c r="J745">
        <v>8.2154355333253895E-2</v>
      </c>
      <c r="K745">
        <v>6.7749686227777495E-2</v>
      </c>
      <c r="L745">
        <v>1339.94538379804</v>
      </c>
      <c r="M745">
        <v>24.872734907173101</v>
      </c>
      <c r="N745">
        <v>54.079264451264798</v>
      </c>
      <c r="O745">
        <v>53.527450124761003</v>
      </c>
      <c r="P745">
        <v>-0.11088975828735199</v>
      </c>
      <c r="Q745">
        <v>4.5450515251192598E-2</v>
      </c>
      <c r="R745">
        <v>0.978312377084262</v>
      </c>
      <c r="S745" t="s">
        <v>4577</v>
      </c>
      <c r="T745" t="s">
        <v>7662</v>
      </c>
      <c r="U745" t="s">
        <v>7662</v>
      </c>
      <c r="V745" t="s">
        <v>7662</v>
      </c>
      <c r="W745">
        <v>9</v>
      </c>
      <c r="X745" t="s">
        <v>8407</v>
      </c>
      <c r="Y745">
        <v>0.4957483898294891</v>
      </c>
      <c r="Z745" t="str">
        <f>HYPERLINK("Melting_Curves/meltCurve_sp_P22061_PIMT_HUMAN_.pdf", "Melting_Curves/meltCurve_sp_P22061_PIMT_HUMAN_.pdf")</f>
        <v>Melting_Curves/meltCurve_sp_P22061_PIMT_HUMAN_.pdf</v>
      </c>
      <c r="AA745" t="s">
        <v>12224</v>
      </c>
      <c r="AB745" t="s">
        <v>15986</v>
      </c>
    </row>
    <row r="746" spans="1:28" x14ac:dyDescent="0.25">
      <c r="A746" t="s">
        <v>750</v>
      </c>
      <c r="B746">
        <v>0.98876768158843997</v>
      </c>
      <c r="C746">
        <v>0.93796411375116595</v>
      </c>
      <c r="D746">
        <v>0.78417471533374805</v>
      </c>
      <c r="E746">
        <v>0.38396029955099997</v>
      </c>
      <c r="F746">
        <v>0.116402651940526</v>
      </c>
      <c r="G746">
        <v>5.6824354013709402E-2</v>
      </c>
      <c r="H746">
        <v>3.5044202172163398E-2</v>
      </c>
      <c r="I746">
        <v>3.2711064798274597E-2</v>
      </c>
      <c r="J746">
        <v>3.63494639846174E-2</v>
      </c>
      <c r="K746">
        <v>3.0942671745385199E-2</v>
      </c>
      <c r="L746">
        <v>1115.9292144338899</v>
      </c>
      <c r="M746">
        <v>22.970918505379199</v>
      </c>
      <c r="N746">
        <v>48.692312551756899</v>
      </c>
      <c r="O746">
        <v>48.216408612524603</v>
      </c>
      <c r="P746">
        <v>-0.116034562777301</v>
      </c>
      <c r="Q746">
        <v>2.5783066032800599E-2</v>
      </c>
      <c r="R746">
        <v>0.99848327060243203</v>
      </c>
      <c r="S746" t="s">
        <v>4578</v>
      </c>
      <c r="T746" t="s">
        <v>7662</v>
      </c>
      <c r="U746" t="s">
        <v>7662</v>
      </c>
      <c r="V746" t="s">
        <v>7662</v>
      </c>
      <c r="W746">
        <v>22</v>
      </c>
      <c r="X746" t="s">
        <v>8408</v>
      </c>
      <c r="Y746">
        <v>0.31469073882367199</v>
      </c>
      <c r="Z746" t="str">
        <f>HYPERLINK("Melting_Curves/meltCurve_sp_P22102_PUR2_HUMAN_.pdf", "Melting_Curves/meltCurve_sp_P22102_PUR2_HUMAN_.pdf")</f>
        <v>Melting_Curves/meltCurve_sp_P22102_PUR2_HUMAN_.pdf</v>
      </c>
      <c r="AA746" t="s">
        <v>12225</v>
      </c>
      <c r="AB746" t="s">
        <v>15987</v>
      </c>
    </row>
    <row r="747" spans="1:28" x14ac:dyDescent="0.25">
      <c r="A747" t="s">
        <v>751</v>
      </c>
      <c r="B747">
        <v>0.98876768158843997</v>
      </c>
      <c r="C747">
        <v>0.91846669263067504</v>
      </c>
      <c r="D747">
        <v>1.06683045988025</v>
      </c>
      <c r="E747">
        <v>0.90084005099439801</v>
      </c>
      <c r="F747">
        <v>0.58797782909862895</v>
      </c>
      <c r="G747">
        <v>0.488716890232964</v>
      </c>
      <c r="H747">
        <v>0.422863118249586</v>
      </c>
      <c r="I747">
        <v>0.46579805141411201</v>
      </c>
      <c r="J747">
        <v>0.326704766294653</v>
      </c>
      <c r="K747">
        <v>0.18765607515859001</v>
      </c>
      <c r="L747">
        <v>985.59467451227897</v>
      </c>
      <c r="M747">
        <v>18.472224056241899</v>
      </c>
      <c r="N747">
        <v>56.402809130139701</v>
      </c>
      <c r="O747">
        <v>52.741986208917297</v>
      </c>
      <c r="P747">
        <v>-5.99200755193324E-2</v>
      </c>
      <c r="Q747">
        <v>0.31569410191049102</v>
      </c>
      <c r="R747">
        <v>0.92725958993550295</v>
      </c>
      <c r="S747" t="s">
        <v>4579</v>
      </c>
      <c r="T747" t="s">
        <v>7662</v>
      </c>
      <c r="U747" t="s">
        <v>7662</v>
      </c>
      <c r="V747" t="s">
        <v>7662</v>
      </c>
      <c r="W747">
        <v>22</v>
      </c>
      <c r="X747" t="s">
        <v>8409</v>
      </c>
      <c r="Y747">
        <v>0.63101466646566229</v>
      </c>
      <c r="Z747" t="str">
        <f>HYPERLINK("Melting_Curves/meltCurve_sp_P22234_PUR6_HUMAN_.pdf", "Melting_Curves/meltCurve_sp_P22234_PUR6_HUMAN_.pdf")</f>
        <v>Melting_Curves/meltCurve_sp_P22234_PUR6_HUMAN_.pdf</v>
      </c>
      <c r="AA747" t="s">
        <v>12226</v>
      </c>
      <c r="AB747" t="s">
        <v>15988</v>
      </c>
    </row>
    <row r="748" spans="1:28" x14ac:dyDescent="0.25">
      <c r="A748" t="s">
        <v>752</v>
      </c>
      <c r="B748">
        <v>0.98876768158843997</v>
      </c>
      <c r="C748">
        <v>0.57081157982895103</v>
      </c>
      <c r="D748">
        <v>1.16213262135067</v>
      </c>
      <c r="E748">
        <v>0.71534255884733999</v>
      </c>
      <c r="F748">
        <v>0.17152527957144301</v>
      </c>
      <c r="G748">
        <v>7.5634124745025094E-2</v>
      </c>
      <c r="H748">
        <v>3.12157661045755E-2</v>
      </c>
      <c r="I748">
        <v>1.9011896093968101E-2</v>
      </c>
      <c r="J748">
        <v>3.61166627122608E-2</v>
      </c>
      <c r="K748">
        <v>1.7585924274373398E-2</v>
      </c>
      <c r="L748">
        <v>2462.1269903064599</v>
      </c>
      <c r="M748">
        <v>48.325282529160297</v>
      </c>
      <c r="N748">
        <v>51.026918712511602</v>
      </c>
      <c r="O748">
        <v>50.862026823342298</v>
      </c>
      <c r="P748">
        <v>-0.22908765780208901</v>
      </c>
      <c r="Q748">
        <v>3.5548215759249401E-2</v>
      </c>
      <c r="R748">
        <v>0.87889949396760203</v>
      </c>
      <c r="S748" t="s">
        <v>4580</v>
      </c>
      <c r="T748" t="s">
        <v>7662</v>
      </c>
      <c r="U748" t="s">
        <v>7662</v>
      </c>
      <c r="V748" t="s">
        <v>7662</v>
      </c>
      <c r="W748">
        <v>22</v>
      </c>
      <c r="X748" t="s">
        <v>8410</v>
      </c>
      <c r="Y748">
        <v>0.38986356774055958</v>
      </c>
      <c r="Z748" t="str">
        <f>HYPERLINK("Melting_Curves/meltCurve_sp_P22307_2_NLTP_HUMAN_.pdf", "Melting_Curves/meltCurve_sp_P22307_2_NLTP_HUMAN_.pdf")</f>
        <v>Melting_Curves/meltCurve_sp_P22307_2_NLTP_HUMAN_.pdf</v>
      </c>
      <c r="AA748" t="s">
        <v>12227</v>
      </c>
      <c r="AB748" t="s">
        <v>15989</v>
      </c>
    </row>
    <row r="749" spans="1:28" x14ac:dyDescent="0.25">
      <c r="A749" t="s">
        <v>753</v>
      </c>
      <c r="B749">
        <v>0.98876768158843997</v>
      </c>
      <c r="C749">
        <v>1.05035692632482</v>
      </c>
      <c r="D749">
        <v>0.90949488362963404</v>
      </c>
      <c r="E749">
        <v>0.730457043876791</v>
      </c>
      <c r="F749">
        <v>0.57834542221546104</v>
      </c>
      <c r="G749">
        <v>0.35561214140769698</v>
      </c>
      <c r="H749">
        <v>0.250854197893291</v>
      </c>
      <c r="I749">
        <v>0.245310538991036</v>
      </c>
      <c r="J749">
        <v>0.27027981675238899</v>
      </c>
      <c r="K749">
        <v>0.277464482889548</v>
      </c>
      <c r="L749">
        <v>974.07113243500896</v>
      </c>
      <c r="M749">
        <v>18.780994016091</v>
      </c>
      <c r="N749">
        <v>53.773215936950599</v>
      </c>
      <c r="O749">
        <v>51.287447917305101</v>
      </c>
      <c r="P749">
        <v>-6.9280085450118295E-2</v>
      </c>
      <c r="Q749">
        <v>0.243266782545833</v>
      </c>
      <c r="R749">
        <v>0.99067791389488102</v>
      </c>
      <c r="S749" t="s">
        <v>4581</v>
      </c>
      <c r="T749" t="s">
        <v>7662</v>
      </c>
      <c r="U749" t="s">
        <v>7662</v>
      </c>
      <c r="V749" t="s">
        <v>7662</v>
      </c>
      <c r="W749">
        <v>40</v>
      </c>
      <c r="X749" t="s">
        <v>8411</v>
      </c>
      <c r="Y749">
        <v>0.55426633755833032</v>
      </c>
      <c r="Z749" t="str">
        <f>HYPERLINK("Melting_Curves/meltCurve_sp_P22307_NLTP_HUMAN_.pdf", "Melting_Curves/meltCurve_sp_P22307_NLTP_HUMAN_.pdf")</f>
        <v>Melting_Curves/meltCurve_sp_P22307_NLTP_HUMAN_.pdf</v>
      </c>
      <c r="AA749" t="s">
        <v>12227</v>
      </c>
      <c r="AB749" t="s">
        <v>15990</v>
      </c>
    </row>
    <row r="750" spans="1:28" x14ac:dyDescent="0.25">
      <c r="A750" t="s">
        <v>754</v>
      </c>
      <c r="B750">
        <v>0.98876768158843997</v>
      </c>
      <c r="C750">
        <v>0.91092706578690597</v>
      </c>
      <c r="D750">
        <v>0.83596309795439505</v>
      </c>
      <c r="E750">
        <v>0.21843584011747</v>
      </c>
      <c r="F750">
        <v>9.8298298028384995E-2</v>
      </c>
      <c r="G750">
        <v>5.5705735153733803E-2</v>
      </c>
      <c r="H750">
        <v>3.88909549492579E-2</v>
      </c>
      <c r="I750">
        <v>3.5559097030042397E-2</v>
      </c>
      <c r="J750">
        <v>3.7884914462018901E-2</v>
      </c>
      <c r="K750">
        <v>3.5655523291104503E-2</v>
      </c>
      <c r="L750">
        <v>1622.9120700777</v>
      </c>
      <c r="M750">
        <v>33.839534690895398</v>
      </c>
      <c r="N750">
        <v>48.082091445982797</v>
      </c>
      <c r="O750">
        <v>47.792486415825003</v>
      </c>
      <c r="P750">
        <v>-0.169671061864649</v>
      </c>
      <c r="Q750">
        <v>4.1479610344288299E-2</v>
      </c>
      <c r="R750">
        <v>0.99573785521157099</v>
      </c>
      <c r="S750" t="s">
        <v>4582</v>
      </c>
      <c r="T750" t="s">
        <v>7662</v>
      </c>
      <c r="U750" t="s">
        <v>7662</v>
      </c>
      <c r="V750" t="s">
        <v>7662</v>
      </c>
      <c r="W750">
        <v>34</v>
      </c>
      <c r="X750" t="s">
        <v>8412</v>
      </c>
      <c r="Y750">
        <v>0.30026700484434038</v>
      </c>
      <c r="Z750" t="str">
        <f>HYPERLINK("Melting_Curves/meltCurve_sp_P22314_UBA1_HUMAN_.pdf", "Melting_Curves/meltCurve_sp_P22314_UBA1_HUMAN_.pdf")</f>
        <v>Melting_Curves/meltCurve_sp_P22314_UBA1_HUMAN_.pdf</v>
      </c>
      <c r="AA750" t="s">
        <v>12228</v>
      </c>
      <c r="AB750" t="s">
        <v>15991</v>
      </c>
    </row>
    <row r="751" spans="1:28" x14ac:dyDescent="0.25">
      <c r="A751" t="s">
        <v>755</v>
      </c>
      <c r="B751">
        <v>0.98876768158843997</v>
      </c>
      <c r="C751">
        <v>0.95326239061486695</v>
      </c>
      <c r="D751">
        <v>0.95200377232453903</v>
      </c>
      <c r="E751">
        <v>0.959019041789686</v>
      </c>
      <c r="F751">
        <v>0.809278994259924</v>
      </c>
      <c r="G751">
        <v>0.64553494428590097</v>
      </c>
      <c r="H751">
        <v>0.48110283255092501</v>
      </c>
      <c r="I751">
        <v>0.245296726227134</v>
      </c>
      <c r="J751">
        <v>6.2832170018163394E-2</v>
      </c>
      <c r="K751">
        <v>5.6365063681851901E-2</v>
      </c>
      <c r="L751">
        <v>922.65128817118205</v>
      </c>
      <c r="M751">
        <v>15.549820223313899</v>
      </c>
      <c r="N751">
        <v>59.3351743092174</v>
      </c>
      <c r="O751">
        <v>58.379835358666398</v>
      </c>
      <c r="P751">
        <v>-6.6594845281179899E-2</v>
      </c>
      <c r="Q751">
        <v>0</v>
      </c>
      <c r="R751">
        <v>0.98333398302119301</v>
      </c>
      <c r="S751" t="s">
        <v>4583</v>
      </c>
      <c r="T751" t="s">
        <v>7662</v>
      </c>
      <c r="U751" t="s">
        <v>7662</v>
      </c>
      <c r="V751" t="s">
        <v>7662</v>
      </c>
      <c r="W751">
        <v>15</v>
      </c>
      <c r="X751" t="s">
        <v>8413</v>
      </c>
      <c r="Y751">
        <v>0.65409187388093903</v>
      </c>
      <c r="Z751" t="str">
        <f>HYPERLINK("Melting_Curves/meltCurve_sp_P22392_2_NDKB_HUMAN_.pdf", "Melting_Curves/meltCurve_sp_P22392_2_NDKB_HUMAN_.pdf")</f>
        <v>Melting_Curves/meltCurve_sp_P22392_2_NDKB_HUMAN_.pdf</v>
      </c>
      <c r="AA751" t="s">
        <v>12229</v>
      </c>
      <c r="AB751" t="s">
        <v>15992</v>
      </c>
    </row>
    <row r="752" spans="1:28" x14ac:dyDescent="0.25">
      <c r="A752" t="s">
        <v>756</v>
      </c>
      <c r="B752">
        <v>0.98876768158843997</v>
      </c>
      <c r="C752">
        <v>0.84745712014799801</v>
      </c>
      <c r="D752">
        <v>0.43501855742118101</v>
      </c>
      <c r="E752">
        <v>0.213410990330654</v>
      </c>
      <c r="F752">
        <v>0.11191744176860501</v>
      </c>
      <c r="G752">
        <v>6.4172449865219694E-2</v>
      </c>
      <c r="H752">
        <v>4.6850740039062297E-2</v>
      </c>
      <c r="I752">
        <v>3.9348824951596202E-2</v>
      </c>
      <c r="J752">
        <v>4.0840360752786402E-2</v>
      </c>
      <c r="K752">
        <v>3.6092473833163399E-2</v>
      </c>
      <c r="L752">
        <v>1027.34122514976</v>
      </c>
      <c r="M752">
        <v>22.516685622386699</v>
      </c>
      <c r="N752">
        <v>45.843726142290301</v>
      </c>
      <c r="O752">
        <v>45.270471454389202</v>
      </c>
      <c r="P752">
        <v>-0.118036685853438</v>
      </c>
      <c r="Q752">
        <v>5.0754145051047903E-2</v>
      </c>
      <c r="R752">
        <v>0.99388423577235496</v>
      </c>
      <c r="S752" t="s">
        <v>4584</v>
      </c>
      <c r="T752" t="s">
        <v>7662</v>
      </c>
      <c r="U752" t="s">
        <v>7662</v>
      </c>
      <c r="V752" t="s">
        <v>7662</v>
      </c>
      <c r="W752">
        <v>24</v>
      </c>
      <c r="X752" t="s">
        <v>8414</v>
      </c>
      <c r="Y752">
        <v>0.24022359637920829</v>
      </c>
      <c r="Z752" t="str">
        <f>HYPERLINK("Melting_Curves/meltCurve_sp_P22570_ADRO_HUMAN_.pdf", "Melting_Curves/meltCurve_sp_P22570_ADRO_HUMAN_.pdf")</f>
        <v>Melting_Curves/meltCurve_sp_P22570_ADRO_HUMAN_.pdf</v>
      </c>
      <c r="AA752" t="s">
        <v>12230</v>
      </c>
      <c r="AB752" t="s">
        <v>15993</v>
      </c>
    </row>
    <row r="753" spans="1:28" x14ac:dyDescent="0.25">
      <c r="A753" t="s">
        <v>757</v>
      </c>
      <c r="B753">
        <v>0.98876768158843997</v>
      </c>
      <c r="C753">
        <v>1.07124516167533</v>
      </c>
      <c r="D753">
        <v>0.78868855737251897</v>
      </c>
      <c r="E753">
        <v>0.64065820354728797</v>
      </c>
      <c r="F753">
        <v>0.67937824695829896</v>
      </c>
      <c r="G753">
        <v>0.38639594451273301</v>
      </c>
      <c r="H753">
        <v>0.23372064988423399</v>
      </c>
      <c r="I753">
        <v>0.24320283026869</v>
      </c>
      <c r="J753">
        <v>0.32008732020299302</v>
      </c>
      <c r="K753">
        <v>0.387280774678748</v>
      </c>
      <c r="L753">
        <v>741.01803963578402</v>
      </c>
      <c r="M753">
        <v>14.493928457123699</v>
      </c>
      <c r="N753">
        <v>54.0733106321252</v>
      </c>
      <c r="O753">
        <v>50.182401704671598</v>
      </c>
      <c r="P753">
        <v>-5.2494752953407699E-2</v>
      </c>
      <c r="Q753">
        <v>0.27307235611717401</v>
      </c>
      <c r="R753">
        <v>0.91889338051879399</v>
      </c>
      <c r="S753" t="s">
        <v>4585</v>
      </c>
      <c r="T753" t="s">
        <v>7662</v>
      </c>
      <c r="U753" t="s">
        <v>7662</v>
      </c>
      <c r="V753" t="s">
        <v>7662</v>
      </c>
      <c r="W753">
        <v>17</v>
      </c>
      <c r="X753" t="s">
        <v>8415</v>
      </c>
      <c r="Y753">
        <v>0.56035428957237954</v>
      </c>
      <c r="Z753" t="str">
        <f>HYPERLINK("Melting_Curves/meltCurve_sp_P22626_ROA2_HUMAN_.pdf", "Melting_Curves/meltCurve_sp_P22626_ROA2_HUMAN_.pdf")</f>
        <v>Melting_Curves/meltCurve_sp_P22626_ROA2_HUMAN_.pdf</v>
      </c>
      <c r="AA753" t="s">
        <v>12231</v>
      </c>
      <c r="AB753" t="s">
        <v>15994</v>
      </c>
    </row>
    <row r="754" spans="1:28" x14ac:dyDescent="0.25">
      <c r="A754" t="s">
        <v>758</v>
      </c>
      <c r="B754">
        <v>0.98876768158843997</v>
      </c>
      <c r="C754">
        <v>1.0648209625085301</v>
      </c>
      <c r="D754">
        <v>0.84708554512462197</v>
      </c>
      <c r="E754">
        <v>0.61929466148741297</v>
      </c>
      <c r="F754">
        <v>0.56024193562813196</v>
      </c>
      <c r="G754">
        <v>0.33387974948203802</v>
      </c>
      <c r="H754">
        <v>0.24714958784187999</v>
      </c>
      <c r="I754">
        <v>0.24456766008463501</v>
      </c>
      <c r="J754">
        <v>0.340018568429243</v>
      </c>
      <c r="K754">
        <v>0.32515032575630398</v>
      </c>
      <c r="L754">
        <v>906.61302929603505</v>
      </c>
      <c r="M754">
        <v>18.032967006799499</v>
      </c>
      <c r="N754">
        <v>52.666193837369399</v>
      </c>
      <c r="O754">
        <v>49.669298500597201</v>
      </c>
      <c r="P754">
        <v>-6.5400919437377206E-2</v>
      </c>
      <c r="Q754">
        <v>0.27948460686006799</v>
      </c>
      <c r="R754">
        <v>0.96660296844877303</v>
      </c>
      <c r="S754" t="s">
        <v>4586</v>
      </c>
      <c r="T754" t="s">
        <v>7662</v>
      </c>
      <c r="U754" t="s">
        <v>7662</v>
      </c>
      <c r="V754" t="s">
        <v>7662</v>
      </c>
      <c r="W754">
        <v>1</v>
      </c>
      <c r="X754" t="s">
        <v>8416</v>
      </c>
      <c r="Y754">
        <v>0.53847131349783117</v>
      </c>
      <c r="Z754" t="str">
        <f>HYPERLINK("Melting_Curves/meltCurve_sp_P22670_RFX1_HUMAN_.pdf", "Melting_Curves/meltCurve_sp_P22670_RFX1_HUMAN_.pdf")</f>
        <v>Melting_Curves/meltCurve_sp_P22670_RFX1_HUMAN_.pdf</v>
      </c>
      <c r="AA754" t="s">
        <v>12232</v>
      </c>
      <c r="AB754" t="s">
        <v>15995</v>
      </c>
    </row>
    <row r="755" spans="1:28" x14ac:dyDescent="0.25">
      <c r="A755" t="s">
        <v>759</v>
      </c>
      <c r="B755">
        <v>0.98876768158843997</v>
      </c>
      <c r="C755">
        <v>0.8564550737437</v>
      </c>
      <c r="D755">
        <v>0.871958066088933</v>
      </c>
      <c r="E755">
        <v>0.470676078916407</v>
      </c>
      <c r="F755">
        <v>0.20702490433558099</v>
      </c>
      <c r="G755">
        <v>0.10405000730196801</v>
      </c>
      <c r="H755">
        <v>8.4901133474481902E-2</v>
      </c>
      <c r="I755">
        <v>7.3939882783647604E-2</v>
      </c>
      <c r="J755">
        <v>5.9899656848181597E-2</v>
      </c>
      <c r="K755">
        <v>7.3938954338391094E-2</v>
      </c>
      <c r="L755">
        <v>1067.16975139291</v>
      </c>
      <c r="M755">
        <v>21.648383393145799</v>
      </c>
      <c r="N755">
        <v>49.6006711743712</v>
      </c>
      <c r="O755">
        <v>48.880731465297202</v>
      </c>
      <c r="P755">
        <v>-0.103821110599414</v>
      </c>
      <c r="Q755">
        <v>6.2335321002770401E-2</v>
      </c>
      <c r="R755">
        <v>0.98954904167589597</v>
      </c>
      <c r="S755" t="s">
        <v>4587</v>
      </c>
      <c r="T755" t="s">
        <v>7662</v>
      </c>
      <c r="U755" t="s">
        <v>7662</v>
      </c>
      <c r="V755" t="s">
        <v>7662</v>
      </c>
      <c r="W755">
        <v>10</v>
      </c>
      <c r="X755" t="s">
        <v>8417</v>
      </c>
      <c r="Y755">
        <v>0.36403982915400451</v>
      </c>
      <c r="Z755" t="str">
        <f>HYPERLINK("Melting_Curves/meltCurve_sp_P22694_4_KAPCB_HUMAN_.pdf", "Melting_Curves/meltCurve_sp_P22694_4_KAPCB_HUMAN_.pdf")</f>
        <v>Melting_Curves/meltCurve_sp_P22694_4_KAPCB_HUMAN_.pdf</v>
      </c>
      <c r="AA755" t="s">
        <v>12233</v>
      </c>
      <c r="AB755" t="s">
        <v>15996</v>
      </c>
    </row>
    <row r="756" spans="1:28" x14ac:dyDescent="0.25">
      <c r="A756" t="s">
        <v>760</v>
      </c>
      <c r="B756">
        <v>0.98876768158843997</v>
      </c>
      <c r="C756">
        <v>0.88831678465559605</v>
      </c>
      <c r="D756">
        <v>0.93821380753186101</v>
      </c>
      <c r="E756">
        <v>0.53454878030741504</v>
      </c>
      <c r="F756">
        <v>0.209433047472214</v>
      </c>
      <c r="G756">
        <v>0.125804347663484</v>
      </c>
      <c r="H756">
        <v>7.53553095527663E-2</v>
      </c>
      <c r="I756">
        <v>5.6552110777995997E-2</v>
      </c>
      <c r="J756">
        <v>7.1375664550949597E-2</v>
      </c>
      <c r="K756">
        <v>5.9187598068796497E-2</v>
      </c>
      <c r="L756">
        <v>1360.0010332792699</v>
      </c>
      <c r="M756">
        <v>27.2195301185575</v>
      </c>
      <c r="N756">
        <v>50.228027047291498</v>
      </c>
      <c r="O756">
        <v>49.696819444257898</v>
      </c>
      <c r="P756">
        <v>-0.12780706704318101</v>
      </c>
      <c r="Q756">
        <v>6.6619658166942194E-2</v>
      </c>
      <c r="R756">
        <v>0.99161924436871896</v>
      </c>
      <c r="S756" t="s">
        <v>4588</v>
      </c>
      <c r="T756" t="s">
        <v>7662</v>
      </c>
      <c r="U756" t="s">
        <v>7662</v>
      </c>
      <c r="V756" t="s">
        <v>7662</v>
      </c>
      <c r="W756">
        <v>14</v>
      </c>
      <c r="X756" t="s">
        <v>8418</v>
      </c>
      <c r="Y756">
        <v>0.3836559264776197</v>
      </c>
      <c r="Z756" t="str">
        <f>HYPERLINK("Melting_Curves/meltCurve_sp_P22830_HEMH_HUMAN_.pdf", "Melting_Curves/meltCurve_sp_P22830_HEMH_HUMAN_.pdf")</f>
        <v>Melting_Curves/meltCurve_sp_P22830_HEMH_HUMAN_.pdf</v>
      </c>
      <c r="AA756" t="s">
        <v>12234</v>
      </c>
      <c r="AB756" t="s">
        <v>15997</v>
      </c>
    </row>
    <row r="757" spans="1:28" x14ac:dyDescent="0.25">
      <c r="A757" t="s">
        <v>761</v>
      </c>
      <c r="B757">
        <v>0.98876768158843997</v>
      </c>
      <c r="C757">
        <v>0.78964464643221299</v>
      </c>
      <c r="D757">
        <v>1.0079865486220101</v>
      </c>
      <c r="E757">
        <v>0.94602510383521998</v>
      </c>
      <c r="F757">
        <v>0.458691546744248</v>
      </c>
      <c r="G757">
        <v>0.14374129859571599</v>
      </c>
      <c r="H757">
        <v>6.3447662832524607E-2</v>
      </c>
      <c r="I757">
        <v>5.2368682931651797E-2</v>
      </c>
      <c r="J757">
        <v>5.0474852901994702E-2</v>
      </c>
      <c r="K757">
        <v>4.0484640419552902E-2</v>
      </c>
      <c r="L757">
        <v>2326.51237468094</v>
      </c>
      <c r="M757">
        <v>44.142650623154701</v>
      </c>
      <c r="N757">
        <v>52.861516535339199</v>
      </c>
      <c r="O757">
        <v>52.596564801446299</v>
      </c>
      <c r="P757">
        <v>-0.19691798906365399</v>
      </c>
      <c r="Q757">
        <v>6.1479110302892402E-2</v>
      </c>
      <c r="R757">
        <v>0.97138008390179098</v>
      </c>
      <c r="S757" t="s">
        <v>4589</v>
      </c>
      <c r="T757" t="s">
        <v>7662</v>
      </c>
      <c r="U757" t="s">
        <v>7662</v>
      </c>
      <c r="V757" t="s">
        <v>7662</v>
      </c>
      <c r="W757">
        <v>32</v>
      </c>
      <c r="X757" t="s">
        <v>8419</v>
      </c>
      <c r="Y757">
        <v>0.4617268135773363</v>
      </c>
      <c r="Z757" t="str">
        <f>HYPERLINK("Melting_Curves/meltCurve_sp_P23141_3_EST1_HUMAN_.pdf", "Melting_Curves/meltCurve_sp_P23141_3_EST1_HUMAN_.pdf")</f>
        <v>Melting_Curves/meltCurve_sp_P23141_3_EST1_HUMAN_.pdf</v>
      </c>
      <c r="AA757" t="s">
        <v>12235</v>
      </c>
      <c r="AB757" t="s">
        <v>15998</v>
      </c>
    </row>
    <row r="758" spans="1:28" x14ac:dyDescent="0.25">
      <c r="A758" t="s">
        <v>762</v>
      </c>
      <c r="B758">
        <v>0.98876768158843997</v>
      </c>
      <c r="C758">
        <v>0.97160877435619997</v>
      </c>
      <c r="D758">
        <v>0.92635310127762704</v>
      </c>
      <c r="E758">
        <v>0.78255643508445505</v>
      </c>
      <c r="F758">
        <v>0.63697277278587605</v>
      </c>
      <c r="G758">
        <v>0.390511948951351</v>
      </c>
      <c r="H758">
        <v>0.27446669587804201</v>
      </c>
      <c r="I758">
        <v>0.23121762894509101</v>
      </c>
      <c r="J758">
        <v>0.24574012288041699</v>
      </c>
      <c r="K758">
        <v>0.21391461576395501</v>
      </c>
      <c r="L758">
        <v>853.14983153195203</v>
      </c>
      <c r="M758">
        <v>16.021829544964401</v>
      </c>
      <c r="N758">
        <v>54.934124094405298</v>
      </c>
      <c r="O758">
        <v>52.440363759021899</v>
      </c>
      <c r="P758">
        <v>-6.1558877952616602E-2</v>
      </c>
      <c r="Q758">
        <v>0.19411963507591101</v>
      </c>
      <c r="R758">
        <v>0.99788682441651</v>
      </c>
      <c r="S758" t="s">
        <v>4590</v>
      </c>
      <c r="T758" t="s">
        <v>7662</v>
      </c>
      <c r="U758" t="s">
        <v>7662</v>
      </c>
      <c r="V758" t="s">
        <v>7662</v>
      </c>
      <c r="W758">
        <v>5</v>
      </c>
      <c r="X758" t="s">
        <v>8420</v>
      </c>
      <c r="Y758">
        <v>0.56567553026627437</v>
      </c>
      <c r="Z758" t="str">
        <f>HYPERLINK("Melting_Curves/meltCurve_sp_P23142_3_FBLN1_HUMAN_.pdf", "Melting_Curves/meltCurve_sp_P23142_3_FBLN1_HUMAN_.pdf")</f>
        <v>Melting_Curves/meltCurve_sp_P23142_3_FBLN1_HUMAN_.pdf</v>
      </c>
      <c r="AA758" t="s">
        <v>12236</v>
      </c>
      <c r="AB758" t="s">
        <v>15999</v>
      </c>
    </row>
    <row r="759" spans="1:28" x14ac:dyDescent="0.25">
      <c r="A759" t="s">
        <v>763</v>
      </c>
      <c r="B759">
        <v>0.98876768158843997</v>
      </c>
      <c r="C759">
        <v>1.10579763998561</v>
      </c>
      <c r="D759">
        <v>0.88801654104420502</v>
      </c>
      <c r="E759">
        <v>0.786843036926964</v>
      </c>
      <c r="F759">
        <v>0.89858127768769602</v>
      </c>
      <c r="G759">
        <v>0.57714849669324397</v>
      </c>
      <c r="H759">
        <v>0.434250809400132</v>
      </c>
      <c r="I759">
        <v>0.487704825046406</v>
      </c>
      <c r="J759">
        <v>0.62562485939744805</v>
      </c>
      <c r="K759">
        <v>0.749968193109248</v>
      </c>
      <c r="L759">
        <v>1044.33428511732</v>
      </c>
      <c r="M759">
        <v>20.048405577481599</v>
      </c>
      <c r="O759">
        <v>51.580683543260697</v>
      </c>
      <c r="P759">
        <v>-4.1854853158334503E-2</v>
      </c>
      <c r="Q759">
        <v>0.56927600575912796</v>
      </c>
      <c r="R759">
        <v>0.72750732610040503</v>
      </c>
      <c r="S759" t="s">
        <v>4591</v>
      </c>
      <c r="T759" t="s">
        <v>7662</v>
      </c>
      <c r="U759" t="s">
        <v>7662</v>
      </c>
      <c r="V759" t="s">
        <v>7662</v>
      </c>
      <c r="W759">
        <v>18</v>
      </c>
      <c r="X759" t="s">
        <v>8421</v>
      </c>
      <c r="Y759">
        <v>0.74879965234149226</v>
      </c>
      <c r="Z759" t="str">
        <f>HYPERLINK("Melting_Curves/meltCurve_sp_P23193_TCEA1_HUMAN_.pdf", "Melting_Curves/meltCurve_sp_P23193_TCEA1_HUMAN_.pdf")</f>
        <v>Melting_Curves/meltCurve_sp_P23193_TCEA1_HUMAN_.pdf</v>
      </c>
      <c r="AA759" t="s">
        <v>12237</v>
      </c>
      <c r="AB759" t="s">
        <v>16000</v>
      </c>
    </row>
    <row r="760" spans="1:28" x14ac:dyDescent="0.25">
      <c r="A760" t="s">
        <v>764</v>
      </c>
      <c r="B760">
        <v>0.98876768158843997</v>
      </c>
      <c r="C760">
        <v>1.1319769102216799</v>
      </c>
      <c r="D760">
        <v>0.97320508731681199</v>
      </c>
      <c r="E760">
        <v>0.827819139333278</v>
      </c>
      <c r="F760">
        <v>0.61050726829728397</v>
      </c>
      <c r="G760">
        <v>0.36694002944149001</v>
      </c>
      <c r="H760">
        <v>0.21380625795351199</v>
      </c>
      <c r="I760">
        <v>0.22030298962100001</v>
      </c>
      <c r="J760">
        <v>0.25867782924281502</v>
      </c>
      <c r="K760">
        <v>0.23285145339223401</v>
      </c>
      <c r="L760">
        <v>1234.3613589602801</v>
      </c>
      <c r="M760">
        <v>23.313285351359799</v>
      </c>
      <c r="N760">
        <v>54.313841395004602</v>
      </c>
      <c r="O760">
        <v>52.561735751809998</v>
      </c>
      <c r="P760">
        <v>-8.6275241298250802E-2</v>
      </c>
      <c r="Q760">
        <v>0.22195497904071601</v>
      </c>
      <c r="R760">
        <v>0.98186154144346605</v>
      </c>
      <c r="S760" t="s">
        <v>4592</v>
      </c>
      <c r="T760" t="s">
        <v>7662</v>
      </c>
      <c r="U760" t="s">
        <v>7662</v>
      </c>
      <c r="V760" t="s">
        <v>7662</v>
      </c>
      <c r="W760">
        <v>17</v>
      </c>
      <c r="X760" t="s">
        <v>8422</v>
      </c>
      <c r="Y760">
        <v>0.56587893095291664</v>
      </c>
      <c r="Z760" t="str">
        <f>HYPERLINK("Melting_Curves/meltCurve_sp_P23246_SFPQ_HUMAN_.pdf", "Melting_Curves/meltCurve_sp_P23246_SFPQ_HUMAN_.pdf")</f>
        <v>Melting_Curves/meltCurve_sp_P23246_SFPQ_HUMAN_.pdf</v>
      </c>
      <c r="AA760" t="s">
        <v>12238</v>
      </c>
      <c r="AB760" t="s">
        <v>16001</v>
      </c>
    </row>
    <row r="761" spans="1:28" x14ac:dyDescent="0.25">
      <c r="A761" t="s">
        <v>765</v>
      </c>
      <c r="B761">
        <v>0.98876768158843997</v>
      </c>
      <c r="C761">
        <v>1.14398165801603</v>
      </c>
      <c r="D761">
        <v>0.84832908697100096</v>
      </c>
      <c r="E761">
        <v>0.73192060134442505</v>
      </c>
      <c r="F761">
        <v>0.20363409130518101</v>
      </c>
      <c r="G761">
        <v>7.8433296190014906E-2</v>
      </c>
      <c r="H761">
        <v>4.5326236861853803E-2</v>
      </c>
      <c r="I761">
        <v>3.7723745976185698E-2</v>
      </c>
      <c r="J761">
        <v>4.1830450684211103E-2</v>
      </c>
      <c r="K761">
        <v>3.6072149990375599E-2</v>
      </c>
      <c r="L761">
        <v>2016.5203074875501</v>
      </c>
      <c r="M761">
        <v>39.494411100108998</v>
      </c>
      <c r="N761">
        <v>51.171888649425497</v>
      </c>
      <c r="O761">
        <v>50.9279932822826</v>
      </c>
      <c r="P761">
        <v>-0.18574270943387799</v>
      </c>
      <c r="Q761">
        <v>4.1942130296862799E-2</v>
      </c>
      <c r="R761">
        <v>0.97760954694733904</v>
      </c>
      <c r="S761" t="s">
        <v>4593</v>
      </c>
      <c r="T761" t="s">
        <v>7662</v>
      </c>
      <c r="U761" t="s">
        <v>7662</v>
      </c>
      <c r="V761" t="s">
        <v>7662</v>
      </c>
      <c r="W761">
        <v>20</v>
      </c>
      <c r="X761" t="s">
        <v>8423</v>
      </c>
      <c r="Y761">
        <v>0.39856284817505749</v>
      </c>
      <c r="Z761" t="str">
        <f>HYPERLINK("Melting_Curves/meltCurve_sp_P23284_PPIB_HUMAN_.pdf", "Melting_Curves/meltCurve_sp_P23284_PPIB_HUMAN_.pdf")</f>
        <v>Melting_Curves/meltCurve_sp_P23284_PPIB_HUMAN_.pdf</v>
      </c>
      <c r="AA761" t="s">
        <v>12239</v>
      </c>
      <c r="AB761" t="s">
        <v>16002</v>
      </c>
    </row>
    <row r="762" spans="1:28" x14ac:dyDescent="0.25">
      <c r="A762" t="s">
        <v>766</v>
      </c>
      <c r="B762">
        <v>0.98876768158843997</v>
      </c>
      <c r="C762">
        <v>0.89843118941253297</v>
      </c>
      <c r="D762">
        <v>0.92706244211544497</v>
      </c>
      <c r="E762">
        <v>0.818415073509835</v>
      </c>
      <c r="F762">
        <v>0.36246073310584098</v>
      </c>
      <c r="G762">
        <v>0.15524414992011401</v>
      </c>
      <c r="H762">
        <v>0.10268930495499699</v>
      </c>
      <c r="I762">
        <v>8.3207945052556798E-2</v>
      </c>
      <c r="J762">
        <v>0.11634880206574499</v>
      </c>
      <c r="K762">
        <v>7.0331923275969599E-2</v>
      </c>
      <c r="L762">
        <v>1808.27676105202</v>
      </c>
      <c r="M762">
        <v>34.9080536415496</v>
      </c>
      <c r="N762">
        <v>52.1174611234552</v>
      </c>
      <c r="O762">
        <v>51.632009978144403</v>
      </c>
      <c r="P762">
        <v>-0.152887686103023</v>
      </c>
      <c r="Q762">
        <v>9.5466971589509494E-2</v>
      </c>
      <c r="R762">
        <v>0.98866004936067498</v>
      </c>
      <c r="S762" t="s">
        <v>4594</v>
      </c>
      <c r="T762" t="s">
        <v>7662</v>
      </c>
      <c r="U762" t="s">
        <v>7662</v>
      </c>
      <c r="V762" t="s">
        <v>7662</v>
      </c>
      <c r="W762">
        <v>5</v>
      </c>
      <c r="X762" t="s">
        <v>8424</v>
      </c>
      <c r="Y762">
        <v>0.45554060927090229</v>
      </c>
      <c r="Z762" t="str">
        <f>HYPERLINK("Melting_Curves/meltCurve_sp_P23368_MAOM_HUMAN_.pdf", "Melting_Curves/meltCurve_sp_P23368_MAOM_HUMAN_.pdf")</f>
        <v>Melting_Curves/meltCurve_sp_P23368_MAOM_HUMAN_.pdf</v>
      </c>
      <c r="AA762" t="s">
        <v>12240</v>
      </c>
      <c r="AB762" t="s">
        <v>16003</v>
      </c>
    </row>
    <row r="763" spans="1:28" x14ac:dyDescent="0.25">
      <c r="A763" t="s">
        <v>767</v>
      </c>
      <c r="B763">
        <v>0.98876768158843997</v>
      </c>
      <c r="C763">
        <v>0.900664012312689</v>
      </c>
      <c r="D763">
        <v>1.0461941948139399</v>
      </c>
      <c r="E763">
        <v>0.95473609649818902</v>
      </c>
      <c r="F763">
        <v>0.54870069380629605</v>
      </c>
      <c r="G763">
        <v>0.41344534301797697</v>
      </c>
      <c r="H763">
        <v>0.27578327469984798</v>
      </c>
      <c r="I763">
        <v>0.21769270378439501</v>
      </c>
      <c r="J763">
        <v>0.14258788376989701</v>
      </c>
      <c r="K763">
        <v>9.3575814928438597E-2</v>
      </c>
      <c r="L763">
        <v>1024.13767098939</v>
      </c>
      <c r="M763">
        <v>18.882986358722</v>
      </c>
      <c r="N763">
        <v>55.163983019588201</v>
      </c>
      <c r="O763">
        <v>53.638713376861098</v>
      </c>
      <c r="P763">
        <v>-7.6037284334797395E-2</v>
      </c>
      <c r="Q763">
        <v>0.136074044394318</v>
      </c>
      <c r="R763">
        <v>0.96576355137472902</v>
      </c>
      <c r="S763" t="s">
        <v>4595</v>
      </c>
      <c r="T763" t="s">
        <v>7662</v>
      </c>
      <c r="U763" t="s">
        <v>7662</v>
      </c>
      <c r="V763" t="s">
        <v>7662</v>
      </c>
      <c r="W763">
        <v>40</v>
      </c>
      <c r="X763" t="s">
        <v>8425</v>
      </c>
      <c r="Y763">
        <v>0.55882169686687744</v>
      </c>
      <c r="Z763" t="str">
        <f>HYPERLINK("Melting_Curves/meltCurve_sp_P23378_GCSP_HUMAN_.pdf", "Melting_Curves/meltCurve_sp_P23378_GCSP_HUMAN_.pdf")</f>
        <v>Melting_Curves/meltCurve_sp_P23378_GCSP_HUMAN_.pdf</v>
      </c>
      <c r="AA763" t="s">
        <v>12241</v>
      </c>
      <c r="AB763" t="s">
        <v>16004</v>
      </c>
    </row>
    <row r="764" spans="1:28" x14ac:dyDescent="0.25">
      <c r="A764" t="s">
        <v>768</v>
      </c>
      <c r="B764">
        <v>0.98876768158843997</v>
      </c>
      <c r="C764">
        <v>0.97864853770709004</v>
      </c>
      <c r="D764">
        <v>0.95264769402495897</v>
      </c>
      <c r="E764">
        <v>0.89568102507917102</v>
      </c>
      <c r="F764">
        <v>0.76726893299648902</v>
      </c>
      <c r="G764">
        <v>0.59950651960330303</v>
      </c>
      <c r="H764">
        <v>0.49254528022780097</v>
      </c>
      <c r="I764">
        <v>0.585003399214584</v>
      </c>
      <c r="J764">
        <v>0.53884313449478705</v>
      </c>
      <c r="K764">
        <v>0.62668631491523596</v>
      </c>
      <c r="L764">
        <v>1380.63859079042</v>
      </c>
      <c r="M764">
        <v>26.324420405913099</v>
      </c>
      <c r="O764">
        <v>52.147211333208702</v>
      </c>
      <c r="P764">
        <v>-5.5835195986470902E-2</v>
      </c>
      <c r="Q764">
        <v>0.55757919826307301</v>
      </c>
      <c r="R764">
        <v>0.96045641079785804</v>
      </c>
      <c r="S764" t="s">
        <v>4596</v>
      </c>
      <c r="T764" t="s">
        <v>7662</v>
      </c>
      <c r="U764" t="s">
        <v>7662</v>
      </c>
      <c r="V764" t="s">
        <v>7662</v>
      </c>
      <c r="W764">
        <v>14</v>
      </c>
      <c r="X764" t="s">
        <v>8426</v>
      </c>
      <c r="Y764">
        <v>0.74481410934387737</v>
      </c>
      <c r="Z764" t="str">
        <f>HYPERLINK("Melting_Curves/meltCurve_sp_P23381_SYWC_HUMAN_.pdf", "Melting_Curves/meltCurve_sp_P23381_SYWC_HUMAN_.pdf")</f>
        <v>Melting_Curves/meltCurve_sp_P23381_SYWC_HUMAN_.pdf</v>
      </c>
      <c r="AA764" t="s">
        <v>12242</v>
      </c>
      <c r="AB764" t="s">
        <v>16005</v>
      </c>
    </row>
    <row r="765" spans="1:28" x14ac:dyDescent="0.25">
      <c r="A765" t="s">
        <v>769</v>
      </c>
      <c r="B765">
        <v>0.98876768158843997</v>
      </c>
      <c r="C765">
        <v>0.575385290394964</v>
      </c>
      <c r="D765">
        <v>0.483104211572978</v>
      </c>
      <c r="E765">
        <v>0.183135198757546</v>
      </c>
      <c r="F765">
        <v>0.101566705114763</v>
      </c>
      <c r="G765">
        <v>5.8565276568336301E-2</v>
      </c>
      <c r="H765">
        <v>3.6262977198350997E-2</v>
      </c>
      <c r="I765">
        <v>2.87251344571832E-2</v>
      </c>
      <c r="J765">
        <v>4.0935164996286702E-2</v>
      </c>
      <c r="K765">
        <v>2.80116422731615E-2</v>
      </c>
      <c r="L765">
        <v>722.19751056818598</v>
      </c>
      <c r="M765">
        <v>16.074564620831399</v>
      </c>
      <c r="N765">
        <v>45.086244655026803</v>
      </c>
      <c r="O765">
        <v>44.249902325398502</v>
      </c>
      <c r="P765">
        <v>-8.8332507572158395E-2</v>
      </c>
      <c r="Q765">
        <v>2.7431704486025901E-2</v>
      </c>
      <c r="R765">
        <v>0.97047456731375803</v>
      </c>
      <c r="S765" t="s">
        <v>4597</v>
      </c>
      <c r="T765" t="s">
        <v>7662</v>
      </c>
      <c r="U765" t="s">
        <v>7662</v>
      </c>
      <c r="V765" t="s">
        <v>7662</v>
      </c>
      <c r="W765">
        <v>6</v>
      </c>
      <c r="X765" t="s">
        <v>8427</v>
      </c>
      <c r="Y765">
        <v>0.21436080347189171</v>
      </c>
      <c r="Z765" t="str">
        <f>HYPERLINK("Melting_Curves/meltCurve_sp_P23396_RS3_HUMAN_.pdf", "Melting_Curves/meltCurve_sp_P23396_RS3_HUMAN_.pdf")</f>
        <v>Melting_Curves/meltCurve_sp_P23396_RS3_HUMAN_.pdf</v>
      </c>
      <c r="AA765" t="s">
        <v>12243</v>
      </c>
      <c r="AB765" t="s">
        <v>16006</v>
      </c>
    </row>
    <row r="766" spans="1:28" x14ac:dyDescent="0.25">
      <c r="A766" t="s">
        <v>770</v>
      </c>
      <c r="B766">
        <v>0.98876768158843997</v>
      </c>
      <c r="C766">
        <v>0.94874215230036296</v>
      </c>
      <c r="D766">
        <v>0.8737539882391</v>
      </c>
      <c r="E766">
        <v>0.63731374286110698</v>
      </c>
      <c r="F766">
        <v>0.53575411920532801</v>
      </c>
      <c r="G766">
        <v>0.25815542947256298</v>
      </c>
      <c r="H766">
        <v>0.115323672038491</v>
      </c>
      <c r="I766">
        <v>5.5669878335384199E-2</v>
      </c>
      <c r="J766">
        <v>0</v>
      </c>
      <c r="K766">
        <v>0</v>
      </c>
      <c r="L766">
        <v>749.44110698471604</v>
      </c>
      <c r="M766">
        <v>14.235982465433</v>
      </c>
      <c r="N766">
        <v>52.644157970263599</v>
      </c>
      <c r="O766">
        <v>51.638031671563503</v>
      </c>
      <c r="P766">
        <v>-6.8930528339278901E-2</v>
      </c>
      <c r="Q766">
        <v>0</v>
      </c>
      <c r="R766">
        <v>0.99386325699823796</v>
      </c>
      <c r="S766" t="s">
        <v>4598</v>
      </c>
      <c r="T766" t="s">
        <v>7662</v>
      </c>
      <c r="U766" t="s">
        <v>7662</v>
      </c>
      <c r="V766" t="s">
        <v>7662</v>
      </c>
      <c r="W766">
        <v>1</v>
      </c>
      <c r="X766" t="s">
        <v>8428</v>
      </c>
      <c r="Y766">
        <v>0.44497535243641873</v>
      </c>
      <c r="Z766" t="str">
        <f>HYPERLINK("Melting_Curves/meltCurve_sp_P23409_MYF6_HUMAN_.pdf", "Melting_Curves/meltCurve_sp_P23409_MYF6_HUMAN_.pdf")</f>
        <v>Melting_Curves/meltCurve_sp_P23409_MYF6_HUMAN_.pdf</v>
      </c>
      <c r="AA766" t="s">
        <v>12244</v>
      </c>
      <c r="AB766" t="s">
        <v>16007</v>
      </c>
    </row>
    <row r="767" spans="1:28" x14ac:dyDescent="0.25">
      <c r="A767" t="s">
        <v>771</v>
      </c>
      <c r="B767">
        <v>0.98876768158843997</v>
      </c>
      <c r="C767">
        <v>1.19934423216848</v>
      </c>
      <c r="D767">
        <v>0.84088750212789998</v>
      </c>
      <c r="E767">
        <v>0.78369618673505104</v>
      </c>
      <c r="F767">
        <v>0.95513066536188596</v>
      </c>
      <c r="G767">
        <v>0.67183457938206603</v>
      </c>
      <c r="H767">
        <v>0.53989480765365405</v>
      </c>
      <c r="I767">
        <v>0.63683308415685003</v>
      </c>
      <c r="J767">
        <v>0.80912128856155496</v>
      </c>
      <c r="K767">
        <v>0.89302181431917804</v>
      </c>
      <c r="L767">
        <v>968.39018890423301</v>
      </c>
      <c r="M767">
        <v>19.736271620587999</v>
      </c>
      <c r="O767">
        <v>48.571116664125</v>
      </c>
      <c r="P767">
        <v>-2.7756242496694901E-2</v>
      </c>
      <c r="Q767">
        <v>0.72677608967699903</v>
      </c>
      <c r="R767">
        <v>0.46922438877016598</v>
      </c>
      <c r="S767" t="s">
        <v>4599</v>
      </c>
      <c r="T767" t="s">
        <v>7662</v>
      </c>
      <c r="U767" t="s">
        <v>7662</v>
      </c>
      <c r="V767" t="s">
        <v>7662</v>
      </c>
      <c r="W767">
        <v>2</v>
      </c>
      <c r="X767" t="s">
        <v>8429</v>
      </c>
      <c r="Y767">
        <v>0.81327825803831899</v>
      </c>
      <c r="Z767" t="str">
        <f>HYPERLINK("Melting_Curves/meltCurve_sp_P23434_GCSH_HUMAN_.pdf", "Melting_Curves/meltCurve_sp_P23434_GCSH_HUMAN_.pdf")</f>
        <v>Melting_Curves/meltCurve_sp_P23434_GCSH_HUMAN_.pdf</v>
      </c>
      <c r="AA767" t="s">
        <v>12245</v>
      </c>
      <c r="AB767" t="s">
        <v>16008</v>
      </c>
    </row>
    <row r="768" spans="1:28" x14ac:dyDescent="0.25">
      <c r="A768" t="s">
        <v>772</v>
      </c>
      <c r="B768">
        <v>0.98876768158843997</v>
      </c>
      <c r="C768">
        <v>1.3283960739385401</v>
      </c>
      <c r="D768">
        <v>0.88429259252290204</v>
      </c>
      <c r="E768">
        <v>0.89473352887461599</v>
      </c>
      <c r="F768">
        <v>0.87594516215696605</v>
      </c>
      <c r="G768">
        <v>0.65392310573870605</v>
      </c>
      <c r="H768">
        <v>0.51043964195456004</v>
      </c>
      <c r="I768">
        <v>0.54338499001372698</v>
      </c>
      <c r="J768">
        <v>0.59101973787825601</v>
      </c>
      <c r="K768">
        <v>0.74196207456418395</v>
      </c>
      <c r="L768">
        <v>1569.0398124547401</v>
      </c>
      <c r="M768">
        <v>29.234056790966999</v>
      </c>
      <c r="O768">
        <v>53.422379483536702</v>
      </c>
      <c r="P768">
        <v>-5.5410226775806697E-2</v>
      </c>
      <c r="Q768">
        <v>0.59497584546323701</v>
      </c>
      <c r="R768">
        <v>0.71099951273175799</v>
      </c>
      <c r="S768" t="s">
        <v>4600</v>
      </c>
      <c r="T768" t="s">
        <v>7662</v>
      </c>
      <c r="U768" t="s">
        <v>7662</v>
      </c>
      <c r="V768" t="s">
        <v>7662</v>
      </c>
      <c r="W768">
        <v>10</v>
      </c>
      <c r="X768" t="s">
        <v>8430</v>
      </c>
      <c r="Y768">
        <v>0.78234001324838831</v>
      </c>
      <c r="Z768" t="str">
        <f>HYPERLINK("Melting_Curves/meltCurve_sp_P23497_SP100_HUMAN_.pdf", "Melting_Curves/meltCurve_sp_P23497_SP100_HUMAN_.pdf")</f>
        <v>Melting_Curves/meltCurve_sp_P23497_SP100_HUMAN_.pdf</v>
      </c>
      <c r="AA768" t="s">
        <v>12246</v>
      </c>
      <c r="AB768" t="s">
        <v>16009</v>
      </c>
    </row>
    <row r="769" spans="1:28" x14ac:dyDescent="0.25">
      <c r="A769" t="s">
        <v>773</v>
      </c>
      <c r="B769">
        <v>0.98876768158843997</v>
      </c>
      <c r="C769">
        <v>1.0447555460061799</v>
      </c>
      <c r="D769">
        <v>0.89002858331615797</v>
      </c>
      <c r="E769">
        <v>0.66182207863493103</v>
      </c>
      <c r="F769">
        <v>0.66748147875521202</v>
      </c>
      <c r="G769">
        <v>0.47122188547459098</v>
      </c>
      <c r="H769">
        <v>0.34028008924748099</v>
      </c>
      <c r="I769">
        <v>0.356572873054672</v>
      </c>
      <c r="J769">
        <v>0.47906877805539799</v>
      </c>
      <c r="K769">
        <v>0.46230294273828998</v>
      </c>
      <c r="L769">
        <v>888.65073264436603</v>
      </c>
      <c r="M769">
        <v>17.651662555018198</v>
      </c>
      <c r="N769">
        <v>55.616188371080199</v>
      </c>
      <c r="O769">
        <v>49.710948822896</v>
      </c>
      <c r="P769">
        <v>-5.2715787259135997E-2</v>
      </c>
      <c r="Q769">
        <v>0.40619495777245801</v>
      </c>
      <c r="R769">
        <v>0.94051946370015904</v>
      </c>
      <c r="S769" t="s">
        <v>4601</v>
      </c>
      <c r="T769" t="s">
        <v>7662</v>
      </c>
      <c r="U769" t="s">
        <v>7662</v>
      </c>
      <c r="V769" t="s">
        <v>7662</v>
      </c>
      <c r="W769">
        <v>7</v>
      </c>
      <c r="X769" t="s">
        <v>8431</v>
      </c>
      <c r="Y769">
        <v>0.62138989134860756</v>
      </c>
      <c r="Z769" t="str">
        <f>HYPERLINK("Melting_Curves/meltCurve_sp_P23508_CRCM_HUMAN_.pdf", "Melting_Curves/meltCurve_sp_P23508_CRCM_HUMAN_.pdf")</f>
        <v>Melting_Curves/meltCurve_sp_P23508_CRCM_HUMAN_.pdf</v>
      </c>
      <c r="AA769" t="s">
        <v>12247</v>
      </c>
      <c r="AB769" t="s">
        <v>16010</v>
      </c>
    </row>
    <row r="770" spans="1:28" x14ac:dyDescent="0.25">
      <c r="A770" t="s">
        <v>774</v>
      </c>
      <c r="B770">
        <v>0.98876768158843997</v>
      </c>
      <c r="C770">
        <v>0.83862479215031305</v>
      </c>
      <c r="D770">
        <v>1.03959208219392</v>
      </c>
      <c r="E770">
        <v>1.0410656424670199</v>
      </c>
      <c r="F770">
        <v>0.61281301237502195</v>
      </c>
      <c r="G770">
        <v>0.24850403800655099</v>
      </c>
      <c r="H770">
        <v>9.5233948851529304E-2</v>
      </c>
      <c r="I770">
        <v>4.8889785519831003E-2</v>
      </c>
      <c r="J770">
        <v>3.4907313799772702E-2</v>
      </c>
      <c r="K770">
        <v>3.5504410286837297E-2</v>
      </c>
      <c r="L770">
        <v>1705.3262571119301</v>
      </c>
      <c r="M770">
        <v>31.535926224589399</v>
      </c>
      <c r="N770">
        <v>54.257117628560898</v>
      </c>
      <c r="O770">
        <v>53.859639966647599</v>
      </c>
      <c r="P770">
        <v>-0.139055051104228</v>
      </c>
      <c r="Q770">
        <v>5.0046991212409103E-2</v>
      </c>
      <c r="R770">
        <v>0.97466124429880896</v>
      </c>
      <c r="S770" t="s">
        <v>4602</v>
      </c>
      <c r="T770" t="s">
        <v>7662</v>
      </c>
      <c r="U770" t="s">
        <v>7662</v>
      </c>
      <c r="V770" t="s">
        <v>7662</v>
      </c>
      <c r="W770">
        <v>26</v>
      </c>
      <c r="X770" t="s">
        <v>8432</v>
      </c>
      <c r="Y770">
        <v>0.50142425901454168</v>
      </c>
      <c r="Z770" t="str">
        <f>HYPERLINK("Melting_Curves/meltCurve_sp_P23526_SAHH_HUMAN_.pdf", "Melting_Curves/meltCurve_sp_P23526_SAHH_HUMAN_.pdf")</f>
        <v>Melting_Curves/meltCurve_sp_P23526_SAHH_HUMAN_.pdf</v>
      </c>
      <c r="AA770" t="s">
        <v>12248</v>
      </c>
      <c r="AB770" t="s">
        <v>16011</v>
      </c>
    </row>
    <row r="771" spans="1:28" x14ac:dyDescent="0.25">
      <c r="A771" t="s">
        <v>775</v>
      </c>
      <c r="B771">
        <v>0.98876768158843997</v>
      </c>
      <c r="C771">
        <v>1.21996019782015</v>
      </c>
      <c r="D771">
        <v>0.905828678238494</v>
      </c>
      <c r="E771">
        <v>0.85764130840969999</v>
      </c>
      <c r="F771">
        <v>1.08002129755589</v>
      </c>
      <c r="G771">
        <v>0.68373505264287904</v>
      </c>
      <c r="H771">
        <v>0.41415198120285501</v>
      </c>
      <c r="I771">
        <v>0.43736998873820598</v>
      </c>
      <c r="J771">
        <v>0.43277495530086701</v>
      </c>
      <c r="K771">
        <v>0.57792297927552405</v>
      </c>
      <c r="S771" t="s">
        <v>4603</v>
      </c>
      <c r="T771" t="s">
        <v>7662</v>
      </c>
      <c r="U771" t="s">
        <v>7663</v>
      </c>
      <c r="V771" t="s">
        <v>7662</v>
      </c>
      <c r="W771">
        <v>17</v>
      </c>
      <c r="X771" t="s">
        <v>8433</v>
      </c>
      <c r="Z771" t="str">
        <f>HYPERLINK("Melting_Curves/meltCurve_sp_P23528_COF1_HUMAN_.pdf", "Melting_Curves/meltCurve_sp_P23528_COF1_HUMAN_.pdf")</f>
        <v>Melting_Curves/meltCurve_sp_P23528_COF1_HUMAN_.pdf</v>
      </c>
      <c r="AA771" t="s">
        <v>12249</v>
      </c>
      <c r="AB771" t="s">
        <v>16012</v>
      </c>
    </row>
    <row r="772" spans="1:28" x14ac:dyDescent="0.25">
      <c r="A772" t="s">
        <v>776</v>
      </c>
      <c r="B772">
        <v>0.98876768158843997</v>
      </c>
      <c r="C772">
        <v>1.1580203770617901</v>
      </c>
      <c r="D772">
        <v>0.90369318021094602</v>
      </c>
      <c r="E772">
        <v>0.83977702624998496</v>
      </c>
      <c r="F772">
        <v>1.0608205174913901</v>
      </c>
      <c r="G772">
        <v>0.75544311778732598</v>
      </c>
      <c r="H772">
        <v>0.62185062022059301</v>
      </c>
      <c r="I772">
        <v>0.72498129485701501</v>
      </c>
      <c r="J772">
        <v>0.93064260538295396</v>
      </c>
      <c r="K772">
        <v>1.1513714273757301</v>
      </c>
      <c r="L772">
        <v>11452.675507256799</v>
      </c>
      <c r="M772">
        <v>250</v>
      </c>
      <c r="O772">
        <v>45.807770245861001</v>
      </c>
      <c r="P772">
        <v>-0.17836832898656699</v>
      </c>
      <c r="Q772">
        <v>0.86926951264276497</v>
      </c>
      <c r="R772">
        <v>0.18346546318771001</v>
      </c>
      <c r="S772" t="s">
        <v>4604</v>
      </c>
      <c r="T772" t="s">
        <v>7662</v>
      </c>
      <c r="U772" t="s">
        <v>7662</v>
      </c>
      <c r="V772" t="s">
        <v>7662</v>
      </c>
      <c r="W772">
        <v>29</v>
      </c>
      <c r="X772" t="s">
        <v>8434</v>
      </c>
      <c r="Y772">
        <v>0.8946012199288691</v>
      </c>
      <c r="Z772" t="str">
        <f>HYPERLINK("Melting_Curves/meltCurve_sp_P23588_IF4B_HUMAN_.pdf", "Melting_Curves/meltCurve_sp_P23588_IF4B_HUMAN_.pdf")</f>
        <v>Melting_Curves/meltCurve_sp_P23588_IF4B_HUMAN_.pdf</v>
      </c>
      <c r="AA772" t="s">
        <v>12250</v>
      </c>
      <c r="AB772" t="s">
        <v>16013</v>
      </c>
    </row>
    <row r="773" spans="1:28" x14ac:dyDescent="0.25">
      <c r="A773" t="s">
        <v>777</v>
      </c>
      <c r="B773">
        <v>0.98876768158843997</v>
      </c>
      <c r="C773">
        <v>0.48696691047243201</v>
      </c>
      <c r="D773">
        <v>0.37131999678729</v>
      </c>
      <c r="E773">
        <v>0.15507222184712299</v>
      </c>
      <c r="F773">
        <v>8.2025857737742194E-2</v>
      </c>
      <c r="G773">
        <v>3.5784160718908699E-2</v>
      </c>
      <c r="H773">
        <v>2.3581408563853101E-2</v>
      </c>
      <c r="I773">
        <v>2.1385720451985699E-2</v>
      </c>
      <c r="J773">
        <v>2.27978367900942E-2</v>
      </c>
      <c r="K773">
        <v>2.1802569615128799E-2</v>
      </c>
      <c r="L773">
        <v>805.13323162685799</v>
      </c>
      <c r="M773">
        <v>18.357832339265599</v>
      </c>
      <c r="N773">
        <v>44.004421289234003</v>
      </c>
      <c r="O773">
        <v>43.347267650670901</v>
      </c>
      <c r="P773">
        <v>-0.102739155346076</v>
      </c>
      <c r="Q773">
        <v>2.96766499361036E-2</v>
      </c>
      <c r="R773">
        <v>0.95858853662867904</v>
      </c>
      <c r="S773" t="s">
        <v>4605</v>
      </c>
      <c r="T773" t="s">
        <v>7662</v>
      </c>
      <c r="U773" t="s">
        <v>7662</v>
      </c>
      <c r="V773" t="s">
        <v>7662</v>
      </c>
      <c r="W773">
        <v>18</v>
      </c>
      <c r="X773" t="s">
        <v>8435</v>
      </c>
      <c r="Y773">
        <v>0.17786795498418509</v>
      </c>
      <c r="Z773" t="str">
        <f>HYPERLINK("Melting_Curves/meltCurve_sp_P23786_CPT2_HUMAN_.pdf", "Melting_Curves/meltCurve_sp_P23786_CPT2_HUMAN_.pdf")</f>
        <v>Melting_Curves/meltCurve_sp_P23786_CPT2_HUMAN_.pdf</v>
      </c>
      <c r="AA773" t="s">
        <v>12251</v>
      </c>
      <c r="AB773" t="s">
        <v>16014</v>
      </c>
    </row>
    <row r="774" spans="1:28" x14ac:dyDescent="0.25">
      <c r="A774" t="s">
        <v>778</v>
      </c>
      <c r="B774">
        <v>0.98876768158843997</v>
      </c>
      <c r="C774">
        <v>1.03048557678202</v>
      </c>
      <c r="D774">
        <v>0.74857682074788301</v>
      </c>
      <c r="E774">
        <v>0.45945724853183001</v>
      </c>
      <c r="F774">
        <v>0.33257499365885601</v>
      </c>
      <c r="G774">
        <v>0.16089848551255401</v>
      </c>
      <c r="H774">
        <v>9.66133058087702E-2</v>
      </c>
      <c r="I774">
        <v>8.9391236016401102E-2</v>
      </c>
      <c r="J774">
        <v>0.106579389410729</v>
      </c>
      <c r="K774">
        <v>8.93003208947451E-2</v>
      </c>
      <c r="L774">
        <v>870.21026873841799</v>
      </c>
      <c r="M774">
        <v>17.6807967369027</v>
      </c>
      <c r="N774">
        <v>49.749490569686799</v>
      </c>
      <c r="O774">
        <v>48.601163383737799</v>
      </c>
      <c r="P774">
        <v>-8.3123292775632504E-2</v>
      </c>
      <c r="Q774">
        <v>8.6087600162481903E-2</v>
      </c>
      <c r="R774">
        <v>0.98929867390731496</v>
      </c>
      <c r="S774" t="s">
        <v>4606</v>
      </c>
      <c r="T774" t="s">
        <v>7662</v>
      </c>
      <c r="U774" t="s">
        <v>7662</v>
      </c>
      <c r="V774" t="s">
        <v>7662</v>
      </c>
      <c r="W774">
        <v>8</v>
      </c>
      <c r="X774" t="s">
        <v>8436</v>
      </c>
      <c r="Y774">
        <v>0.38323007913406337</v>
      </c>
      <c r="Z774" t="str">
        <f>HYPERLINK("Melting_Curves/meltCurve_sp_P23919_KTHY_HUMAN_.pdf", "Melting_Curves/meltCurve_sp_P23919_KTHY_HUMAN_.pdf")</f>
        <v>Melting_Curves/meltCurve_sp_P23919_KTHY_HUMAN_.pdf</v>
      </c>
      <c r="AA774" t="s">
        <v>12252</v>
      </c>
      <c r="AB774" t="s">
        <v>16015</v>
      </c>
    </row>
    <row r="775" spans="1:28" x14ac:dyDescent="0.25">
      <c r="A775" t="s">
        <v>779</v>
      </c>
      <c r="B775">
        <v>0.98876768158843997</v>
      </c>
      <c r="C775">
        <v>0.86765184335313605</v>
      </c>
      <c r="D775">
        <v>0.80489606346282905</v>
      </c>
      <c r="E775">
        <v>0.53274471283743596</v>
      </c>
      <c r="F775">
        <v>0.23239664616952199</v>
      </c>
      <c r="G775">
        <v>0.116825825747512</v>
      </c>
      <c r="H775">
        <v>7.6947960498089898E-2</v>
      </c>
      <c r="I775">
        <v>6.3898597189052497E-2</v>
      </c>
      <c r="J775">
        <v>6.7013038485575993E-2</v>
      </c>
      <c r="K775">
        <v>4.7322398760221998E-2</v>
      </c>
      <c r="L775">
        <v>844.28843673320296</v>
      </c>
      <c r="M775">
        <v>17.036658448290101</v>
      </c>
      <c r="N775">
        <v>49.792667535226002</v>
      </c>
      <c r="O775">
        <v>48.889500024491703</v>
      </c>
      <c r="P775">
        <v>-8.3751102980343994E-2</v>
      </c>
      <c r="Q775">
        <v>3.8708887086463403E-2</v>
      </c>
      <c r="R775">
        <v>0.992443722988677</v>
      </c>
      <c r="S775" t="s">
        <v>4607</v>
      </c>
      <c r="T775" t="s">
        <v>7662</v>
      </c>
      <c r="U775" t="s">
        <v>7662</v>
      </c>
      <c r="V775" t="s">
        <v>7662</v>
      </c>
      <c r="W775">
        <v>5</v>
      </c>
      <c r="X775" t="s">
        <v>8437</v>
      </c>
      <c r="Y775">
        <v>0.36328784682404441</v>
      </c>
      <c r="Z775" t="str">
        <f>HYPERLINK("Melting_Curves/meltCurve_sp_P23921_RIR1_HUMAN_.pdf", "Melting_Curves/meltCurve_sp_P23921_RIR1_HUMAN_.pdf")</f>
        <v>Melting_Curves/meltCurve_sp_P23921_RIR1_HUMAN_.pdf</v>
      </c>
      <c r="AA775" t="s">
        <v>12253</v>
      </c>
      <c r="AB775" t="s">
        <v>16016</v>
      </c>
    </row>
    <row r="776" spans="1:28" x14ac:dyDescent="0.25">
      <c r="A776" t="s">
        <v>780</v>
      </c>
      <c r="B776">
        <v>0.98876768158843997</v>
      </c>
      <c r="C776">
        <v>0.92991244285480501</v>
      </c>
      <c r="D776">
        <v>0.87749745504599996</v>
      </c>
      <c r="E776">
        <v>0.63451160578665899</v>
      </c>
      <c r="F776">
        <v>0.40956575267447498</v>
      </c>
      <c r="G776">
        <v>0.32552586858625798</v>
      </c>
      <c r="H776">
        <v>0.202970229428763</v>
      </c>
      <c r="I776">
        <v>0.220574736553727</v>
      </c>
      <c r="J776">
        <v>0.37824386432940799</v>
      </c>
      <c r="K776">
        <v>0.32711849241180402</v>
      </c>
      <c r="L776">
        <v>1063.9827548318499</v>
      </c>
      <c r="M776">
        <v>21.447565047990999</v>
      </c>
      <c r="N776">
        <v>51.560782516498001</v>
      </c>
      <c r="O776">
        <v>49.183330408421803</v>
      </c>
      <c r="P776">
        <v>-7.8710140912309698E-2</v>
      </c>
      <c r="Q776">
        <v>0.27802882516864202</v>
      </c>
      <c r="R776">
        <v>0.96772273196994796</v>
      </c>
      <c r="S776" t="s">
        <v>4608</v>
      </c>
      <c r="T776" t="s">
        <v>7662</v>
      </c>
      <c r="U776" t="s">
        <v>7662</v>
      </c>
      <c r="V776" t="s">
        <v>7662</v>
      </c>
      <c r="W776">
        <v>1</v>
      </c>
      <c r="X776" t="s">
        <v>8438</v>
      </c>
      <c r="Y776">
        <v>0.51802496386311792</v>
      </c>
      <c r="Z776" t="str">
        <f>HYPERLINK("Melting_Curves/meltCurve_sp_P24158_PRTN3_HUMAN_.pdf", "Melting_Curves/meltCurve_sp_P24158_PRTN3_HUMAN_.pdf")</f>
        <v>Melting_Curves/meltCurve_sp_P24158_PRTN3_HUMAN_.pdf</v>
      </c>
      <c r="AA776" t="s">
        <v>12254</v>
      </c>
      <c r="AB776" t="s">
        <v>16017</v>
      </c>
    </row>
    <row r="777" spans="1:28" x14ac:dyDescent="0.25">
      <c r="A777" t="s">
        <v>781</v>
      </c>
      <c r="B777">
        <v>0.98876768158843997</v>
      </c>
      <c r="C777">
        <v>0.923731923942816</v>
      </c>
      <c r="D777">
        <v>0.95701388842492197</v>
      </c>
      <c r="E777">
        <v>0.95779867959191201</v>
      </c>
      <c r="F777">
        <v>0.82227291383009504</v>
      </c>
      <c r="G777">
        <v>0.623477593377461</v>
      </c>
      <c r="H777">
        <v>0.44625453074946902</v>
      </c>
      <c r="I777">
        <v>0.26716176062874197</v>
      </c>
      <c r="J777">
        <v>0.17759588862669801</v>
      </c>
      <c r="K777">
        <v>0.110622823814644</v>
      </c>
      <c r="L777">
        <v>789.05239791475401</v>
      </c>
      <c r="M777">
        <v>13.276705415884299</v>
      </c>
      <c r="N777">
        <v>59.4313404480014</v>
      </c>
      <c r="O777">
        <v>58.131586961078099</v>
      </c>
      <c r="P777">
        <v>-5.7106932148766699E-2</v>
      </c>
      <c r="Q777">
        <v>0</v>
      </c>
      <c r="R777">
        <v>0.99260117694245897</v>
      </c>
      <c r="S777" t="s">
        <v>4609</v>
      </c>
      <c r="T777" t="s">
        <v>7662</v>
      </c>
      <c r="U777" t="s">
        <v>7662</v>
      </c>
      <c r="V777" t="s">
        <v>7662</v>
      </c>
      <c r="W777">
        <v>20</v>
      </c>
      <c r="X777" t="s">
        <v>8439</v>
      </c>
      <c r="Y777">
        <v>0.65527232475640551</v>
      </c>
      <c r="Z777" t="str">
        <f>HYPERLINK("Melting_Curves/meltCurve_sp_P24298_ALAT1_HUMAN_.pdf", "Melting_Curves/meltCurve_sp_P24298_ALAT1_HUMAN_.pdf")</f>
        <v>Melting_Curves/meltCurve_sp_P24298_ALAT1_HUMAN_.pdf</v>
      </c>
      <c r="AA777" t="s">
        <v>12255</v>
      </c>
      <c r="AB777" t="s">
        <v>16018</v>
      </c>
    </row>
    <row r="778" spans="1:28" x14ac:dyDescent="0.25">
      <c r="A778" t="s">
        <v>782</v>
      </c>
      <c r="B778">
        <v>0.98876768158843997</v>
      </c>
      <c r="C778">
        <v>0.94442802330264497</v>
      </c>
      <c r="D778">
        <v>1.0926459242847699</v>
      </c>
      <c r="E778">
        <v>0.91322457788355205</v>
      </c>
      <c r="F778">
        <v>0.76106875323765699</v>
      </c>
      <c r="G778">
        <v>0.61799647909852395</v>
      </c>
      <c r="H778">
        <v>0.52792771166069097</v>
      </c>
      <c r="I778">
        <v>0.67265341524420097</v>
      </c>
      <c r="J778">
        <v>0.77205468977528002</v>
      </c>
      <c r="K778">
        <v>0.95979410696217105</v>
      </c>
      <c r="L778">
        <v>2622.6339440994502</v>
      </c>
      <c r="M778">
        <v>51.487739152594997</v>
      </c>
      <c r="O778">
        <v>50.860393346170603</v>
      </c>
      <c r="P778">
        <v>-7.2843171196034603E-2</v>
      </c>
      <c r="Q778">
        <v>0.71217772816417202</v>
      </c>
      <c r="R778">
        <v>0.59380150886689798</v>
      </c>
      <c r="S778" t="s">
        <v>4610</v>
      </c>
      <c r="T778" t="s">
        <v>7662</v>
      </c>
      <c r="U778" t="s">
        <v>7662</v>
      </c>
      <c r="V778" t="s">
        <v>7662</v>
      </c>
      <c r="W778">
        <v>10</v>
      </c>
      <c r="X778" t="s">
        <v>8440</v>
      </c>
      <c r="Y778">
        <v>0.8177183446753159</v>
      </c>
      <c r="Z778" t="str">
        <f>HYPERLINK("Melting_Curves/meltCurve_sp_P24534_EF1B_HUMAN_.pdf", "Melting_Curves/meltCurve_sp_P24534_EF1B_HUMAN_.pdf")</f>
        <v>Melting_Curves/meltCurve_sp_P24534_EF1B_HUMAN_.pdf</v>
      </c>
      <c r="AA778" t="s">
        <v>12256</v>
      </c>
      <c r="AB778" t="s">
        <v>16019</v>
      </c>
    </row>
    <row r="779" spans="1:28" x14ac:dyDescent="0.25">
      <c r="A779" t="s">
        <v>783</v>
      </c>
      <c r="B779">
        <v>0.98876768158843997</v>
      </c>
      <c r="C779">
        <v>1.06967724605322</v>
      </c>
      <c r="D779">
        <v>0.85783524757476404</v>
      </c>
      <c r="E779">
        <v>0.70343846063381898</v>
      </c>
      <c r="F779">
        <v>0.440563595795395</v>
      </c>
      <c r="G779">
        <v>0.21882233940211601</v>
      </c>
      <c r="H779">
        <v>9.6679246502068897E-2</v>
      </c>
      <c r="I779">
        <v>9.4349654789619597E-2</v>
      </c>
      <c r="J779">
        <v>0.104315338364616</v>
      </c>
      <c r="K779">
        <v>9.7015413354178098E-2</v>
      </c>
      <c r="L779">
        <v>976.90576180078494</v>
      </c>
      <c r="M779">
        <v>18.8712355349967</v>
      </c>
      <c r="N779">
        <v>52.226917703288102</v>
      </c>
      <c r="O779">
        <v>51.196127378184698</v>
      </c>
      <c r="P779">
        <v>-8.5099494297723496E-2</v>
      </c>
      <c r="Q779">
        <v>7.6565780709804507E-2</v>
      </c>
      <c r="R779">
        <v>0.99074740245855797</v>
      </c>
      <c r="S779" t="s">
        <v>4611</v>
      </c>
      <c r="T779" t="s">
        <v>7662</v>
      </c>
      <c r="U779" t="s">
        <v>7662</v>
      </c>
      <c r="V779" t="s">
        <v>7662</v>
      </c>
      <c r="W779">
        <v>9</v>
      </c>
      <c r="X779" t="s">
        <v>8441</v>
      </c>
      <c r="Y779">
        <v>0.45295703783653718</v>
      </c>
      <c r="Z779" t="str">
        <f>HYPERLINK("Melting_Curves/meltCurve_sp_P24666_PPAC_HUMAN_.pdf", "Melting_Curves/meltCurve_sp_P24666_PPAC_HUMAN_.pdf")</f>
        <v>Melting_Curves/meltCurve_sp_P24666_PPAC_HUMAN_.pdf</v>
      </c>
      <c r="AA779" t="s">
        <v>12257</v>
      </c>
      <c r="AB779" t="s">
        <v>16020</v>
      </c>
    </row>
    <row r="780" spans="1:28" x14ac:dyDescent="0.25">
      <c r="A780" t="s">
        <v>784</v>
      </c>
      <c r="B780">
        <v>0.98876768158843997</v>
      </c>
      <c r="C780">
        <v>0.85933490083179098</v>
      </c>
      <c r="D780">
        <v>1.01658905162838</v>
      </c>
      <c r="E780">
        <v>0.84082045045979803</v>
      </c>
      <c r="F780">
        <v>0.17558184260620699</v>
      </c>
      <c r="G780">
        <v>8.7324498135597395E-2</v>
      </c>
      <c r="H780">
        <v>4.2848777410072203E-2</v>
      </c>
      <c r="I780">
        <v>3.0907110123353902E-2</v>
      </c>
      <c r="J780">
        <v>3.0825773114344202E-2</v>
      </c>
      <c r="K780">
        <v>2.93201834140383E-2</v>
      </c>
      <c r="L780">
        <v>3019.6405311205799</v>
      </c>
      <c r="M780">
        <v>58.786815105447701</v>
      </c>
      <c r="N780">
        <v>51.445245554833299</v>
      </c>
      <c r="O780">
        <v>51.3066100260829</v>
      </c>
      <c r="P780">
        <v>-0.27404132375712498</v>
      </c>
      <c r="Q780">
        <v>4.3314388091918302E-2</v>
      </c>
      <c r="R780">
        <v>0.987656602230646</v>
      </c>
      <c r="S780" t="s">
        <v>4612</v>
      </c>
      <c r="T780" t="s">
        <v>7662</v>
      </c>
      <c r="U780" t="s">
        <v>7662</v>
      </c>
      <c r="V780" t="s">
        <v>7662</v>
      </c>
      <c r="W780">
        <v>33</v>
      </c>
      <c r="X780" t="s">
        <v>8442</v>
      </c>
      <c r="Y780">
        <v>0.40733467027416481</v>
      </c>
      <c r="Z780" t="str">
        <f>HYPERLINK("Melting_Curves/meltCurve_sp_P24752_THIL_HUMAN_.pdf", "Melting_Curves/meltCurve_sp_P24752_THIL_HUMAN_.pdf")</f>
        <v>Melting_Curves/meltCurve_sp_P24752_THIL_HUMAN_.pdf</v>
      </c>
      <c r="AA780" t="s">
        <v>12258</v>
      </c>
      <c r="AB780" t="s">
        <v>16021</v>
      </c>
    </row>
    <row r="781" spans="1:28" x14ac:dyDescent="0.25">
      <c r="A781" t="s">
        <v>785</v>
      </c>
      <c r="B781">
        <v>0.98876768158843997</v>
      </c>
      <c r="C781">
        <v>1.0633130793796399</v>
      </c>
      <c r="D781">
        <v>0.80803065850609601</v>
      </c>
      <c r="E781">
        <v>0.582142735554809</v>
      </c>
      <c r="F781">
        <v>0.24624628968785101</v>
      </c>
      <c r="G781">
        <v>0.150880066258849</v>
      </c>
      <c r="H781">
        <v>0.10578126066247701</v>
      </c>
      <c r="I781">
        <v>8.8036922597438505E-2</v>
      </c>
      <c r="J781">
        <v>0.14533325532173999</v>
      </c>
      <c r="K781">
        <v>0.101528890045263</v>
      </c>
      <c r="L781">
        <v>1125.5485348331999</v>
      </c>
      <c r="M781">
        <v>22.596368846661399</v>
      </c>
      <c r="N781">
        <v>50.3153848991101</v>
      </c>
      <c r="O781">
        <v>49.425836489923</v>
      </c>
      <c r="P781">
        <v>-0.102713861341249</v>
      </c>
      <c r="Q781">
        <v>0.101339405219131</v>
      </c>
      <c r="R781">
        <v>0.986486033197437</v>
      </c>
      <c r="S781" t="s">
        <v>4613</v>
      </c>
      <c r="T781" t="s">
        <v>7662</v>
      </c>
      <c r="U781" t="s">
        <v>7662</v>
      </c>
      <c r="V781" t="s">
        <v>7662</v>
      </c>
      <c r="W781">
        <v>7</v>
      </c>
      <c r="X781" t="s">
        <v>8443</v>
      </c>
      <c r="Y781">
        <v>0.4050576677282795</v>
      </c>
      <c r="Z781" t="str">
        <f>HYPERLINK("Melting_Curves/meltCurve_sp_P24941_CDK2_HUMAN_.pdf", "Melting_Curves/meltCurve_sp_P24941_CDK2_HUMAN_.pdf")</f>
        <v>Melting_Curves/meltCurve_sp_P24941_CDK2_HUMAN_.pdf</v>
      </c>
      <c r="AA781" t="s">
        <v>12259</v>
      </c>
      <c r="AB781" t="s">
        <v>16022</v>
      </c>
    </row>
    <row r="782" spans="1:28" x14ac:dyDescent="0.25">
      <c r="A782" t="s">
        <v>786</v>
      </c>
      <c r="B782">
        <v>0.98876768158843997</v>
      </c>
      <c r="C782">
        <v>1.03194650357194</v>
      </c>
      <c r="D782">
        <v>0.92082502288339296</v>
      </c>
      <c r="E782">
        <v>0.740937000488747</v>
      </c>
      <c r="F782">
        <v>0.74667216932521896</v>
      </c>
      <c r="G782">
        <v>0.52683170501655496</v>
      </c>
      <c r="H782">
        <v>0.41143852528347402</v>
      </c>
      <c r="I782">
        <v>0.53277070169157204</v>
      </c>
      <c r="J782">
        <v>0.78445482617811602</v>
      </c>
      <c r="K782">
        <v>0.69073409459902202</v>
      </c>
      <c r="L782">
        <v>1184.2549938198799</v>
      </c>
      <c r="M782">
        <v>24.039231689595699</v>
      </c>
      <c r="O782">
        <v>48.926320243669203</v>
      </c>
      <c r="P782">
        <v>-4.9425863803769197E-2</v>
      </c>
      <c r="Q782">
        <v>0.59762646596273405</v>
      </c>
      <c r="R782">
        <v>0.73354950527998697</v>
      </c>
      <c r="S782" t="s">
        <v>4614</v>
      </c>
      <c r="T782" t="s">
        <v>7662</v>
      </c>
      <c r="U782" t="s">
        <v>7662</v>
      </c>
      <c r="V782" t="s">
        <v>7662</v>
      </c>
      <c r="W782">
        <v>4</v>
      </c>
      <c r="X782" t="s">
        <v>8444</v>
      </c>
      <c r="Y782">
        <v>0.7257422007152935</v>
      </c>
      <c r="Z782" t="str">
        <f>HYPERLINK("Melting_Curves/meltCurve_sp_P25054_2_APC_HUMAN_.pdf", "Melting_Curves/meltCurve_sp_P25054_2_APC_HUMAN_.pdf")</f>
        <v>Melting_Curves/meltCurve_sp_P25054_2_APC_HUMAN_.pdf</v>
      </c>
      <c r="AA782" t="s">
        <v>12260</v>
      </c>
      <c r="AB782" t="s">
        <v>16023</v>
      </c>
    </row>
    <row r="783" spans="1:28" x14ac:dyDescent="0.25">
      <c r="A783" t="s">
        <v>787</v>
      </c>
      <c r="B783">
        <v>0.98876768158843997</v>
      </c>
      <c r="C783">
        <v>0.99170410451982605</v>
      </c>
      <c r="D783">
        <v>0.86633967738293305</v>
      </c>
      <c r="E783">
        <v>0.76254884404086598</v>
      </c>
      <c r="F783">
        <v>0.78103928866316197</v>
      </c>
      <c r="G783">
        <v>0.52414445029934797</v>
      </c>
      <c r="H783">
        <v>0.40852621019556101</v>
      </c>
      <c r="I783">
        <v>0.49463769645838501</v>
      </c>
      <c r="J783">
        <v>0.56094358058543203</v>
      </c>
      <c r="K783">
        <v>0.80154947749244099</v>
      </c>
      <c r="L783">
        <v>891.91302316941506</v>
      </c>
      <c r="M783">
        <v>17.940105065770101</v>
      </c>
      <c r="O783">
        <v>49.110769865831998</v>
      </c>
      <c r="P783">
        <v>-4.0107907385291103E-2</v>
      </c>
      <c r="Q783">
        <v>0.56084276343378303</v>
      </c>
      <c r="R783">
        <v>0.71465994436415803</v>
      </c>
      <c r="S783" t="s">
        <v>4615</v>
      </c>
      <c r="T783" t="s">
        <v>7662</v>
      </c>
      <c r="U783" t="s">
        <v>7662</v>
      </c>
      <c r="V783" t="s">
        <v>7662</v>
      </c>
      <c r="W783">
        <v>12</v>
      </c>
      <c r="X783" t="s">
        <v>8445</v>
      </c>
      <c r="Y783">
        <v>0.71063998275712115</v>
      </c>
      <c r="Z783" t="str">
        <f>HYPERLINK("Melting_Curves/meltCurve_sp_P25311_ZA2G_HUMAN_.pdf", "Melting_Curves/meltCurve_sp_P25311_ZA2G_HUMAN_.pdf")</f>
        <v>Melting_Curves/meltCurve_sp_P25311_ZA2G_HUMAN_.pdf</v>
      </c>
      <c r="AA783" t="s">
        <v>12261</v>
      </c>
      <c r="AB783" t="s">
        <v>16024</v>
      </c>
    </row>
    <row r="784" spans="1:28" x14ac:dyDescent="0.25">
      <c r="A784" t="s">
        <v>788</v>
      </c>
      <c r="B784">
        <v>0.98876768158843997</v>
      </c>
      <c r="C784">
        <v>1.1553321933882501</v>
      </c>
      <c r="D784">
        <v>0.94529143335688504</v>
      </c>
      <c r="E784">
        <v>0.72422860053654003</v>
      </c>
      <c r="F784">
        <v>0.80026907933472002</v>
      </c>
      <c r="G784">
        <v>0.46294072072018599</v>
      </c>
      <c r="H784">
        <v>0.35448382329232098</v>
      </c>
      <c r="I784">
        <v>0.40542351856118602</v>
      </c>
      <c r="J784">
        <v>0.50183231404097495</v>
      </c>
      <c r="K784">
        <v>0.50381071326490501</v>
      </c>
      <c r="L784">
        <v>1055.65669185558</v>
      </c>
      <c r="M784">
        <v>20.264418325412599</v>
      </c>
      <c r="N784">
        <v>57.7269844488305</v>
      </c>
      <c r="O784">
        <v>51.594754890897804</v>
      </c>
      <c r="P784">
        <v>-5.5893322755998301E-2</v>
      </c>
      <c r="Q784">
        <v>0.43078293680581098</v>
      </c>
      <c r="R784">
        <v>0.88555104478070501</v>
      </c>
      <c r="S784" t="s">
        <v>4616</v>
      </c>
      <c r="T784" t="s">
        <v>7662</v>
      </c>
      <c r="U784" t="s">
        <v>7662</v>
      </c>
      <c r="V784" t="s">
        <v>7662</v>
      </c>
      <c r="W784">
        <v>6</v>
      </c>
      <c r="X784" t="s">
        <v>8446</v>
      </c>
      <c r="Y784">
        <v>0.66794640319041421</v>
      </c>
      <c r="Z784" t="str">
        <f>HYPERLINK("Melting_Curves/meltCurve_sp_P25398_RS12_HUMAN_.pdf", "Melting_Curves/meltCurve_sp_P25398_RS12_HUMAN_.pdf")</f>
        <v>Melting_Curves/meltCurve_sp_P25398_RS12_HUMAN_.pdf</v>
      </c>
      <c r="AA784" t="s">
        <v>12262</v>
      </c>
      <c r="AB784" t="s">
        <v>16025</v>
      </c>
    </row>
    <row r="785" spans="1:28" x14ac:dyDescent="0.25">
      <c r="A785" t="s">
        <v>789</v>
      </c>
      <c r="B785">
        <v>0.98876768158843997</v>
      </c>
      <c r="C785">
        <v>0.93528691608973602</v>
      </c>
      <c r="D785">
        <v>0.77901387948564405</v>
      </c>
      <c r="E785">
        <v>0.40854155915797002</v>
      </c>
      <c r="F785">
        <v>0.28328567218081302</v>
      </c>
      <c r="G785">
        <v>0.156163575012089</v>
      </c>
      <c r="H785">
        <v>0.11168750788031601</v>
      </c>
      <c r="I785">
        <v>0.15470585515118301</v>
      </c>
      <c r="J785">
        <v>0.13188810437044801</v>
      </c>
      <c r="K785">
        <v>0.165940521958272</v>
      </c>
      <c r="L785">
        <v>995.75168515823304</v>
      </c>
      <c r="M785">
        <v>20.6144790092387</v>
      </c>
      <c r="N785">
        <v>49.0587991606928</v>
      </c>
      <c r="O785">
        <v>47.855871022710701</v>
      </c>
      <c r="P785">
        <v>-9.3050484673201594E-2</v>
      </c>
      <c r="Q785">
        <v>0.135970152670225</v>
      </c>
      <c r="R785">
        <v>0.99679295837039705</v>
      </c>
      <c r="S785" t="s">
        <v>4617</v>
      </c>
      <c r="T785" t="s">
        <v>7662</v>
      </c>
      <c r="U785" t="s">
        <v>7662</v>
      </c>
      <c r="V785" t="s">
        <v>7662</v>
      </c>
      <c r="W785">
        <v>7</v>
      </c>
      <c r="X785" t="s">
        <v>8447</v>
      </c>
      <c r="Y785">
        <v>0.38657914337961452</v>
      </c>
      <c r="Z785" t="str">
        <f>HYPERLINK("Melting_Curves/meltCurve_sp_P25685_DNJB1_HUMAN_.pdf", "Melting_Curves/meltCurve_sp_P25685_DNJB1_HUMAN_.pdf")</f>
        <v>Melting_Curves/meltCurve_sp_P25685_DNJB1_HUMAN_.pdf</v>
      </c>
      <c r="AA785" t="s">
        <v>12263</v>
      </c>
      <c r="AB785" t="s">
        <v>16026</v>
      </c>
    </row>
    <row r="786" spans="1:28" x14ac:dyDescent="0.25">
      <c r="A786" t="s">
        <v>790</v>
      </c>
      <c r="B786">
        <v>0.98876768158843997</v>
      </c>
      <c r="C786">
        <v>0.56667273562795994</v>
      </c>
      <c r="D786">
        <v>0.43890919946635298</v>
      </c>
      <c r="E786">
        <v>0.180189096313008</v>
      </c>
      <c r="F786">
        <v>0.11487188676734</v>
      </c>
      <c r="G786">
        <v>6.3537318558659503E-2</v>
      </c>
      <c r="H786">
        <v>3.8218799266835697E-2</v>
      </c>
      <c r="I786">
        <v>3.04760110931474E-2</v>
      </c>
      <c r="J786">
        <v>3.7649132533082899E-2</v>
      </c>
      <c r="K786">
        <v>3.2430243537809801E-2</v>
      </c>
      <c r="L786">
        <v>743.95390047257501</v>
      </c>
      <c r="M786">
        <v>16.678077535337302</v>
      </c>
      <c r="N786">
        <v>44.8058897269648</v>
      </c>
      <c r="O786">
        <v>43.980192136645201</v>
      </c>
      <c r="P786">
        <v>-9.1423148663450998E-2</v>
      </c>
      <c r="Q786">
        <v>3.5730520115284603E-2</v>
      </c>
      <c r="R786">
        <v>0.972090495718546</v>
      </c>
      <c r="S786" t="s">
        <v>4618</v>
      </c>
      <c r="T786" t="s">
        <v>7662</v>
      </c>
      <c r="U786" t="s">
        <v>7662</v>
      </c>
      <c r="V786" t="s">
        <v>7662</v>
      </c>
      <c r="W786">
        <v>16</v>
      </c>
      <c r="X786" t="s">
        <v>8448</v>
      </c>
      <c r="Y786">
        <v>0.20962693503442531</v>
      </c>
      <c r="Z786" t="str">
        <f>HYPERLINK("Melting_Curves/meltCurve_sp_P25705_ATPA_HUMAN_.pdf", "Melting_Curves/meltCurve_sp_P25705_ATPA_HUMAN_.pdf")</f>
        <v>Melting_Curves/meltCurve_sp_P25705_ATPA_HUMAN_.pdf</v>
      </c>
      <c r="AA786" t="s">
        <v>12264</v>
      </c>
      <c r="AB786" t="s">
        <v>16027</v>
      </c>
    </row>
    <row r="787" spans="1:28" x14ac:dyDescent="0.25">
      <c r="A787" t="s">
        <v>791</v>
      </c>
      <c r="B787">
        <v>0.98876768158843997</v>
      </c>
      <c r="C787">
        <v>0.84991180826522505</v>
      </c>
      <c r="D787">
        <v>0.85712197659424005</v>
      </c>
      <c r="E787">
        <v>0.79361430679099398</v>
      </c>
      <c r="F787">
        <v>0.98138647978914095</v>
      </c>
      <c r="G787">
        <v>0.66908807755917299</v>
      </c>
      <c r="H787">
        <v>0.46080693232105302</v>
      </c>
      <c r="I787">
        <v>0.50178409889350495</v>
      </c>
      <c r="J787">
        <v>0.42257873367264598</v>
      </c>
      <c r="K787">
        <v>0.53893331487195595</v>
      </c>
      <c r="L787">
        <v>438.72995139904702</v>
      </c>
      <c r="M787">
        <v>7.5487320318000704</v>
      </c>
      <c r="N787">
        <v>65.427088808274306</v>
      </c>
      <c r="O787">
        <v>54.460963641681097</v>
      </c>
      <c r="P787">
        <v>-2.4817471364721299E-2</v>
      </c>
      <c r="Q787">
        <v>0.28481296591509198</v>
      </c>
      <c r="R787">
        <v>0.78685617142600195</v>
      </c>
      <c r="S787" t="s">
        <v>4619</v>
      </c>
      <c r="T787" t="s">
        <v>7662</v>
      </c>
      <c r="U787" t="s">
        <v>7662</v>
      </c>
      <c r="V787" t="s">
        <v>7662</v>
      </c>
      <c r="W787">
        <v>6</v>
      </c>
      <c r="X787" t="s">
        <v>8449</v>
      </c>
      <c r="Y787">
        <v>0.71701430797574828</v>
      </c>
      <c r="Z787" t="str">
        <f>HYPERLINK("Melting_Curves/meltCurve_sp_P25774_CATS_HUMAN_.pdf", "Melting_Curves/meltCurve_sp_P25774_CATS_HUMAN_.pdf")</f>
        <v>Melting_Curves/meltCurve_sp_P25774_CATS_HUMAN_.pdf</v>
      </c>
      <c r="AA787" t="s">
        <v>12265</v>
      </c>
      <c r="AB787" t="s">
        <v>16028</v>
      </c>
    </row>
    <row r="788" spans="1:28" x14ac:dyDescent="0.25">
      <c r="A788" t="s">
        <v>792</v>
      </c>
      <c r="B788">
        <v>0.98876768158843997</v>
      </c>
      <c r="C788">
        <v>0.93405681266646501</v>
      </c>
      <c r="D788">
        <v>1.03415999395569</v>
      </c>
      <c r="E788">
        <v>0.89341252373069502</v>
      </c>
      <c r="F788">
        <v>0.534876622979227</v>
      </c>
      <c r="G788">
        <v>0.44042454514262303</v>
      </c>
      <c r="H788">
        <v>0.41834917193166199</v>
      </c>
      <c r="I788">
        <v>0.48079733337031699</v>
      </c>
      <c r="J788">
        <v>0.56298737131625798</v>
      </c>
      <c r="K788">
        <v>0.57939023169978998</v>
      </c>
      <c r="L788">
        <v>3430.5422700177101</v>
      </c>
      <c r="M788">
        <v>67.288218709509195</v>
      </c>
      <c r="N788">
        <v>55.088800835854101</v>
      </c>
      <c r="O788">
        <v>50.937830137058803</v>
      </c>
      <c r="P788">
        <v>-0.16621914655629899</v>
      </c>
      <c r="Q788">
        <v>0.49668212313895599</v>
      </c>
      <c r="R788">
        <v>0.95098510483532095</v>
      </c>
      <c r="S788" t="s">
        <v>4620</v>
      </c>
      <c r="T788" t="s">
        <v>7662</v>
      </c>
      <c r="U788" t="s">
        <v>7662</v>
      </c>
      <c r="V788" t="s">
        <v>7662</v>
      </c>
      <c r="W788">
        <v>18</v>
      </c>
      <c r="X788" t="s">
        <v>8450</v>
      </c>
      <c r="Y788">
        <v>0.6815669760262274</v>
      </c>
      <c r="Z788" t="str">
        <f>HYPERLINK("Melting_Curves/meltCurve_sp_P25786_PSA1_HUMAN_.pdf", "Melting_Curves/meltCurve_sp_P25786_PSA1_HUMAN_.pdf")</f>
        <v>Melting_Curves/meltCurve_sp_P25786_PSA1_HUMAN_.pdf</v>
      </c>
      <c r="AA788" t="s">
        <v>12266</v>
      </c>
      <c r="AB788" t="s">
        <v>16029</v>
      </c>
    </row>
    <row r="789" spans="1:28" x14ac:dyDescent="0.25">
      <c r="A789" t="s">
        <v>793</v>
      </c>
      <c r="B789">
        <v>0.98876768158843997</v>
      </c>
      <c r="C789">
        <v>0.92909365768722596</v>
      </c>
      <c r="D789">
        <v>1.1215600026656001</v>
      </c>
      <c r="E789">
        <v>1.0078324614072001</v>
      </c>
      <c r="F789">
        <v>0.598682920256561</v>
      </c>
      <c r="G789">
        <v>0.52847024154510602</v>
      </c>
      <c r="H789">
        <v>0.52936523634724097</v>
      </c>
      <c r="I789">
        <v>0.64147889112201495</v>
      </c>
      <c r="J789">
        <v>0.73018781858915904</v>
      </c>
      <c r="K789">
        <v>0.72890837393217101</v>
      </c>
      <c r="L789">
        <v>12834.573487425099</v>
      </c>
      <c r="M789">
        <v>250</v>
      </c>
      <c r="O789">
        <v>51.334987140556102</v>
      </c>
      <c r="P789">
        <v>-0.455146003998394</v>
      </c>
      <c r="Q789">
        <v>0.62616121465343599</v>
      </c>
      <c r="R789">
        <v>0.85324341657996605</v>
      </c>
      <c r="S789" t="s">
        <v>4621</v>
      </c>
      <c r="T789" t="s">
        <v>7662</v>
      </c>
      <c r="U789" t="s">
        <v>7662</v>
      </c>
      <c r="V789" t="s">
        <v>7662</v>
      </c>
      <c r="W789">
        <v>11</v>
      </c>
      <c r="X789" t="s">
        <v>8451</v>
      </c>
      <c r="Y789">
        <v>0.76748469801411667</v>
      </c>
      <c r="Z789" t="str">
        <f>HYPERLINK("Melting_Curves/meltCurve_sp_P25787_PSA2_HUMAN_.pdf", "Melting_Curves/meltCurve_sp_P25787_PSA2_HUMAN_.pdf")</f>
        <v>Melting_Curves/meltCurve_sp_P25787_PSA2_HUMAN_.pdf</v>
      </c>
      <c r="AA789" t="s">
        <v>12267</v>
      </c>
      <c r="AB789" t="s">
        <v>16030</v>
      </c>
    </row>
    <row r="790" spans="1:28" x14ac:dyDescent="0.25">
      <c r="A790" t="s">
        <v>794</v>
      </c>
      <c r="B790">
        <v>0.98876768158843997</v>
      </c>
      <c r="C790">
        <v>1.01074534390058</v>
      </c>
      <c r="D790">
        <v>1.1078600603881401</v>
      </c>
      <c r="E790">
        <v>0.96348020298217996</v>
      </c>
      <c r="F790">
        <v>0.62719882177008102</v>
      </c>
      <c r="G790">
        <v>0.47187706496529802</v>
      </c>
      <c r="H790">
        <v>0.42467341173557199</v>
      </c>
      <c r="I790">
        <v>0.50451884015284998</v>
      </c>
      <c r="J790">
        <v>0.508170927804108</v>
      </c>
      <c r="K790">
        <v>0.55533004840552502</v>
      </c>
      <c r="L790">
        <v>3265.10884975827</v>
      </c>
      <c r="M790">
        <v>62.640446110126597</v>
      </c>
      <c r="N790">
        <v>55.888015208598198</v>
      </c>
      <c r="O790">
        <v>52.071564751150902</v>
      </c>
      <c r="P790">
        <v>-0.15258555213285199</v>
      </c>
      <c r="Q790">
        <v>0.49263671696304501</v>
      </c>
      <c r="R790">
        <v>0.96669010252412901</v>
      </c>
      <c r="S790" t="s">
        <v>4622</v>
      </c>
      <c r="T790" t="s">
        <v>7662</v>
      </c>
      <c r="U790" t="s">
        <v>7662</v>
      </c>
      <c r="V790" t="s">
        <v>7662</v>
      </c>
      <c r="W790">
        <v>15</v>
      </c>
      <c r="X790" t="s">
        <v>8452</v>
      </c>
      <c r="Y790">
        <v>0.69843118650989466</v>
      </c>
      <c r="Z790" t="str">
        <f>HYPERLINK("Melting_Curves/meltCurve_sp_P25788_2_PSA3_HUMAN_.pdf", "Melting_Curves/meltCurve_sp_P25788_2_PSA3_HUMAN_.pdf")</f>
        <v>Melting_Curves/meltCurve_sp_P25788_2_PSA3_HUMAN_.pdf</v>
      </c>
      <c r="AA790" t="s">
        <v>12268</v>
      </c>
      <c r="AB790" t="s">
        <v>16031</v>
      </c>
    </row>
    <row r="791" spans="1:28" x14ac:dyDescent="0.25">
      <c r="A791" t="s">
        <v>795</v>
      </c>
      <c r="B791">
        <v>0.98876768158843997</v>
      </c>
      <c r="C791">
        <v>0.94629413684569397</v>
      </c>
      <c r="D791">
        <v>1.23074941059989</v>
      </c>
      <c r="E791">
        <v>1.1137468391043099</v>
      </c>
      <c r="F791">
        <v>0.55721898005986403</v>
      </c>
      <c r="G791">
        <v>0.51751867391433903</v>
      </c>
      <c r="H791">
        <v>0.51861881178283797</v>
      </c>
      <c r="I791">
        <v>0.60952951651005804</v>
      </c>
      <c r="J791">
        <v>0.64086976133297702</v>
      </c>
      <c r="K791">
        <v>0.614466058892155</v>
      </c>
      <c r="L791">
        <v>9548.1020132813192</v>
      </c>
      <c r="M791">
        <v>184.72680205643999</v>
      </c>
      <c r="O791">
        <v>51.681630096541703</v>
      </c>
      <c r="P791">
        <v>-0.37914133682361401</v>
      </c>
      <c r="Q791">
        <v>0.57570545116521099</v>
      </c>
      <c r="R791">
        <v>0.87124772855158705</v>
      </c>
      <c r="S791" t="s">
        <v>4623</v>
      </c>
      <c r="T791" t="s">
        <v>7662</v>
      </c>
      <c r="U791" t="s">
        <v>7662</v>
      </c>
      <c r="V791" t="s">
        <v>7662</v>
      </c>
      <c r="W791">
        <v>10</v>
      </c>
      <c r="X791" t="s">
        <v>8453</v>
      </c>
      <c r="Y791">
        <v>0.74107675488759572</v>
      </c>
      <c r="Z791" t="str">
        <f>HYPERLINK("Melting_Curves/meltCurve_sp_P25789_PSA4_HUMAN_.pdf", "Melting_Curves/meltCurve_sp_P25789_PSA4_HUMAN_.pdf")</f>
        <v>Melting_Curves/meltCurve_sp_P25789_PSA4_HUMAN_.pdf</v>
      </c>
      <c r="AA791" t="s">
        <v>12269</v>
      </c>
      <c r="AB791" t="s">
        <v>16032</v>
      </c>
    </row>
    <row r="792" spans="1:28" x14ac:dyDescent="0.25">
      <c r="A792" t="s">
        <v>796</v>
      </c>
      <c r="B792">
        <v>0.98876768158843997</v>
      </c>
      <c r="C792">
        <v>1.0874230544269301</v>
      </c>
      <c r="D792">
        <v>0.90823128863473102</v>
      </c>
      <c r="E792">
        <v>0.84994886059990205</v>
      </c>
      <c r="F792">
        <v>0.90289752007250401</v>
      </c>
      <c r="G792">
        <v>0.19042336253148201</v>
      </c>
      <c r="H792">
        <v>0.114956603831583</v>
      </c>
      <c r="I792">
        <v>6.0799083575782203E-2</v>
      </c>
      <c r="J792">
        <v>6.4017277111434595E-2</v>
      </c>
      <c r="K792">
        <v>6.3828246528242802E-2</v>
      </c>
      <c r="L792">
        <v>2897.1224689169198</v>
      </c>
      <c r="M792">
        <v>52.6750901468492</v>
      </c>
      <c r="N792">
        <v>55.164667930354597</v>
      </c>
      <c r="O792">
        <v>54.9207593796406</v>
      </c>
      <c r="P792">
        <v>-0.222321282750369</v>
      </c>
      <c r="Q792">
        <v>7.2803090570986495E-2</v>
      </c>
      <c r="R792">
        <v>0.97874483458396599</v>
      </c>
      <c r="S792" t="s">
        <v>4624</v>
      </c>
      <c r="T792" t="s">
        <v>7662</v>
      </c>
      <c r="U792" t="s">
        <v>7662</v>
      </c>
      <c r="V792" t="s">
        <v>7662</v>
      </c>
      <c r="W792">
        <v>49</v>
      </c>
      <c r="X792" t="s">
        <v>8454</v>
      </c>
      <c r="Y792">
        <v>0.5384221022317931</v>
      </c>
      <c r="Z792" t="str">
        <f>HYPERLINK("Melting_Curves/meltCurve_sp_P26038_MOES_HUMAN_.pdf", "Melting_Curves/meltCurve_sp_P26038_MOES_HUMAN_.pdf")</f>
        <v>Melting_Curves/meltCurve_sp_P26038_MOES_HUMAN_.pdf</v>
      </c>
      <c r="AA792" t="s">
        <v>12270</v>
      </c>
      <c r="AB792" t="s">
        <v>16033</v>
      </c>
    </row>
    <row r="793" spans="1:28" x14ac:dyDescent="0.25">
      <c r="A793" t="s">
        <v>797</v>
      </c>
      <c r="B793">
        <v>0.98876768158843997</v>
      </c>
      <c r="C793">
        <v>1.2097295743718399</v>
      </c>
      <c r="D793">
        <v>1.1760227869086799</v>
      </c>
      <c r="E793">
        <v>0.85752862038359501</v>
      </c>
      <c r="F793">
        <v>0.28252610479673401</v>
      </c>
      <c r="G793">
        <v>0.14300814779377</v>
      </c>
      <c r="H793">
        <v>7.9858485045060407E-2</v>
      </c>
      <c r="I793">
        <v>7.6677031269392806E-2</v>
      </c>
      <c r="J793">
        <v>7.5685042076303402E-2</v>
      </c>
      <c r="K793">
        <v>0.105714173404996</v>
      </c>
      <c r="L793">
        <v>2683.9405745375798</v>
      </c>
      <c r="M793">
        <v>51.972396069153703</v>
      </c>
      <c r="N793">
        <v>51.850641085648803</v>
      </c>
      <c r="O793">
        <v>51.565376198711903</v>
      </c>
      <c r="P793">
        <v>-0.22816490282700899</v>
      </c>
      <c r="Q793">
        <v>9.4488623943857694E-2</v>
      </c>
      <c r="R793">
        <v>0.96424426489567305</v>
      </c>
      <c r="S793" t="s">
        <v>4625</v>
      </c>
      <c r="T793" t="s">
        <v>7662</v>
      </c>
      <c r="U793" t="s">
        <v>7662</v>
      </c>
      <c r="V793" t="s">
        <v>7662</v>
      </c>
      <c r="W793">
        <v>12</v>
      </c>
      <c r="X793" t="s">
        <v>8455</v>
      </c>
      <c r="Y793">
        <v>0.44778524768024769</v>
      </c>
      <c r="Z793" t="str">
        <f>HYPERLINK("Melting_Curves/meltCurve_sp_P26196_DDX6_HUMAN_.pdf", "Melting_Curves/meltCurve_sp_P26196_DDX6_HUMAN_.pdf")</f>
        <v>Melting_Curves/meltCurve_sp_P26196_DDX6_HUMAN_.pdf</v>
      </c>
      <c r="AA793" t="s">
        <v>12271</v>
      </c>
      <c r="AB793" t="s">
        <v>16034</v>
      </c>
    </row>
    <row r="794" spans="1:28" x14ac:dyDescent="0.25">
      <c r="A794" t="s">
        <v>798</v>
      </c>
      <c r="B794">
        <v>0.98876768158843997</v>
      </c>
      <c r="C794">
        <v>0.92130497973299597</v>
      </c>
      <c r="D794">
        <v>0.71501295331693004</v>
      </c>
      <c r="E794">
        <v>0.44234944219252598</v>
      </c>
      <c r="F794">
        <v>0.25264560931038499</v>
      </c>
      <c r="G794">
        <v>0.10953662545489699</v>
      </c>
      <c r="H794">
        <v>5.2573141414172499E-2</v>
      </c>
      <c r="I794">
        <v>5.3902335421234002E-2</v>
      </c>
      <c r="J794">
        <v>5.4886019003957599E-2</v>
      </c>
      <c r="K794">
        <v>1.4608141121699799E-2</v>
      </c>
      <c r="L794">
        <v>770.69782889683995</v>
      </c>
      <c r="M794">
        <v>15.7428414490465</v>
      </c>
      <c r="N794">
        <v>49.094090404882699</v>
      </c>
      <c r="O794">
        <v>48.185939418586997</v>
      </c>
      <c r="P794">
        <v>-7.9908382312616599E-2</v>
      </c>
      <c r="Q794">
        <v>2.17423771989496E-2</v>
      </c>
      <c r="R794">
        <v>0.99835429866216796</v>
      </c>
      <c r="S794" t="s">
        <v>4626</v>
      </c>
      <c r="T794" t="s">
        <v>7662</v>
      </c>
      <c r="U794" t="s">
        <v>7662</v>
      </c>
      <c r="V794" t="s">
        <v>7662</v>
      </c>
      <c r="W794">
        <v>1</v>
      </c>
      <c r="X794" t="s">
        <v>8456</v>
      </c>
      <c r="Y794">
        <v>0.33582506345908619</v>
      </c>
      <c r="Z794" t="str">
        <f>HYPERLINK("Melting_Curves/meltCurve_sp_P26358_DNMT1_HUMAN_.pdf", "Melting_Curves/meltCurve_sp_P26358_DNMT1_HUMAN_.pdf")</f>
        <v>Melting_Curves/meltCurve_sp_P26358_DNMT1_HUMAN_.pdf</v>
      </c>
      <c r="AA794" t="s">
        <v>12272</v>
      </c>
      <c r="AB794" t="s">
        <v>16035</v>
      </c>
    </row>
    <row r="795" spans="1:28" x14ac:dyDescent="0.25">
      <c r="A795" t="s">
        <v>799</v>
      </c>
      <c r="B795">
        <v>0.98876768158843997</v>
      </c>
      <c r="C795">
        <v>1.0839045279242401</v>
      </c>
      <c r="D795">
        <v>0.88179469025776103</v>
      </c>
      <c r="E795">
        <v>0.70619936495574498</v>
      </c>
      <c r="F795">
        <v>0.72975168093543197</v>
      </c>
      <c r="G795">
        <v>0.40627653082604298</v>
      </c>
      <c r="H795">
        <v>0.197473248051452</v>
      </c>
      <c r="I795">
        <v>0.15644987666474799</v>
      </c>
      <c r="J795">
        <v>0.14282351395426501</v>
      </c>
      <c r="K795">
        <v>0.15855377715792099</v>
      </c>
      <c r="L795">
        <v>757.83180659749803</v>
      </c>
      <c r="M795">
        <v>13.8975505049393</v>
      </c>
      <c r="N795">
        <v>55.184902711030198</v>
      </c>
      <c r="O795">
        <v>53.438066118699403</v>
      </c>
      <c r="P795">
        <v>-6.0081726037171802E-2</v>
      </c>
      <c r="Q795">
        <v>7.6034766411178997E-2</v>
      </c>
      <c r="R795">
        <v>0.97087359202235801</v>
      </c>
      <c r="S795" t="s">
        <v>4627</v>
      </c>
      <c r="T795" t="s">
        <v>7662</v>
      </c>
      <c r="U795" t="s">
        <v>7662</v>
      </c>
      <c r="V795" t="s">
        <v>7662</v>
      </c>
      <c r="W795">
        <v>2</v>
      </c>
      <c r="X795" t="s">
        <v>8457</v>
      </c>
      <c r="Y795">
        <v>0.54351941554115712</v>
      </c>
      <c r="Z795" t="str">
        <f>HYPERLINK("Melting_Curves/meltCurve_sp_P26368_2_U2AF2_HUMAN_.pdf", "Melting_Curves/meltCurve_sp_P26368_2_U2AF2_HUMAN_.pdf")</f>
        <v>Melting_Curves/meltCurve_sp_P26368_2_U2AF2_HUMAN_.pdf</v>
      </c>
      <c r="AA795" t="s">
        <v>12273</v>
      </c>
      <c r="AB795" t="s">
        <v>16036</v>
      </c>
    </row>
    <row r="796" spans="1:28" x14ac:dyDescent="0.25">
      <c r="A796" t="s">
        <v>800</v>
      </c>
      <c r="B796">
        <v>0.98876768158843997</v>
      </c>
      <c r="C796">
        <v>0.74158624884926805</v>
      </c>
      <c r="D796">
        <v>0.89871894939800301</v>
      </c>
      <c r="E796">
        <v>0.78737781761428804</v>
      </c>
      <c r="F796">
        <v>0.50797328034557698</v>
      </c>
      <c r="G796">
        <v>0.375631695781176</v>
      </c>
      <c r="H796">
        <v>0.26347017042534099</v>
      </c>
      <c r="I796">
        <v>0.25422929972069203</v>
      </c>
      <c r="J796">
        <v>0.18559554331661199</v>
      </c>
      <c r="K796">
        <v>0.218728477997024</v>
      </c>
      <c r="L796">
        <v>541.58223848541195</v>
      </c>
      <c r="M796">
        <v>10.240003704852301</v>
      </c>
      <c r="N796">
        <v>54.2415447152148</v>
      </c>
      <c r="O796">
        <v>50.9908802410378</v>
      </c>
      <c r="P796">
        <v>-4.4567601318796002E-2</v>
      </c>
      <c r="Q796">
        <v>0.112683039382212</v>
      </c>
      <c r="R796">
        <v>0.93669288519793603</v>
      </c>
      <c r="S796" t="s">
        <v>4628</v>
      </c>
      <c r="T796" t="s">
        <v>7662</v>
      </c>
      <c r="U796" t="s">
        <v>7662</v>
      </c>
      <c r="V796" t="s">
        <v>7662</v>
      </c>
      <c r="W796">
        <v>25</v>
      </c>
      <c r="X796" t="s">
        <v>8458</v>
      </c>
      <c r="Y796">
        <v>0.52395963155797642</v>
      </c>
      <c r="Z796" t="str">
        <f>HYPERLINK("Melting_Curves/meltCurve_sp_P26440_IVD_HUMAN_.pdf", "Melting_Curves/meltCurve_sp_P26440_IVD_HUMAN_.pdf")</f>
        <v>Melting_Curves/meltCurve_sp_P26440_IVD_HUMAN_.pdf</v>
      </c>
      <c r="AA796" t="s">
        <v>12274</v>
      </c>
      <c r="AB796" t="s">
        <v>16037</v>
      </c>
    </row>
    <row r="797" spans="1:28" x14ac:dyDescent="0.25">
      <c r="A797" t="s">
        <v>801</v>
      </c>
      <c r="B797">
        <v>0.98876768158843997</v>
      </c>
      <c r="C797">
        <v>1.08044222387611</v>
      </c>
      <c r="D797">
        <v>0.87442110797364203</v>
      </c>
      <c r="E797">
        <v>0.76656250731184505</v>
      </c>
      <c r="F797">
        <v>0.85144167580819996</v>
      </c>
      <c r="G797">
        <v>0.559552247144116</v>
      </c>
      <c r="H797">
        <v>0.388308992700028</v>
      </c>
      <c r="I797">
        <v>0.40062158379164398</v>
      </c>
      <c r="J797">
        <v>0.452052428759814</v>
      </c>
      <c r="K797">
        <v>0.46335722098696203</v>
      </c>
      <c r="L797">
        <v>816.72449668219099</v>
      </c>
      <c r="M797">
        <v>15.215362086550201</v>
      </c>
      <c r="N797">
        <v>59.655183939140002</v>
      </c>
      <c r="O797">
        <v>52.7760325649717</v>
      </c>
      <c r="P797">
        <v>-4.3887399129651901E-2</v>
      </c>
      <c r="Q797">
        <v>0.39114654505216201</v>
      </c>
      <c r="R797">
        <v>0.91492328729222006</v>
      </c>
      <c r="S797" t="s">
        <v>4629</v>
      </c>
      <c r="T797" t="s">
        <v>7662</v>
      </c>
      <c r="U797" t="s">
        <v>7662</v>
      </c>
      <c r="V797" t="s">
        <v>7662</v>
      </c>
      <c r="W797">
        <v>2</v>
      </c>
      <c r="X797" t="s">
        <v>8459</v>
      </c>
      <c r="Y797">
        <v>0.68120439915578435</v>
      </c>
      <c r="Z797" t="str">
        <f>HYPERLINK("Melting_Curves/meltCurve_sp_P26447_S10A4_HUMAN_.pdf", "Melting_Curves/meltCurve_sp_P26447_S10A4_HUMAN_.pdf")</f>
        <v>Melting_Curves/meltCurve_sp_P26447_S10A4_HUMAN_.pdf</v>
      </c>
      <c r="AA797" t="s">
        <v>12275</v>
      </c>
      <c r="AB797" t="s">
        <v>16038</v>
      </c>
    </row>
    <row r="798" spans="1:28" x14ac:dyDescent="0.25">
      <c r="A798" t="s">
        <v>802</v>
      </c>
      <c r="B798">
        <v>0.98876768158843997</v>
      </c>
      <c r="C798">
        <v>1.02052450163522</v>
      </c>
      <c r="D798">
        <v>0.89957349785424001</v>
      </c>
      <c r="E798">
        <v>0.76675160584962299</v>
      </c>
      <c r="F798">
        <v>0.64026340692843497</v>
      </c>
      <c r="G798">
        <v>0.444473250742424</v>
      </c>
      <c r="H798">
        <v>0.28989902693662101</v>
      </c>
      <c r="I798">
        <v>0.34029706044787</v>
      </c>
      <c r="J798">
        <v>0.41359819870598002</v>
      </c>
      <c r="K798">
        <v>0.48659192009422603</v>
      </c>
      <c r="L798">
        <v>1048.27607273075</v>
      </c>
      <c r="M798">
        <v>20.392487205948701</v>
      </c>
      <c r="N798">
        <v>55.200076405903999</v>
      </c>
      <c r="O798">
        <v>50.918341129797199</v>
      </c>
      <c r="P798">
        <v>-6.2383911448004502E-2</v>
      </c>
      <c r="Q798">
        <v>0.37694904282890901</v>
      </c>
      <c r="R798">
        <v>0.95168342595070299</v>
      </c>
      <c r="S798" t="s">
        <v>4630</v>
      </c>
      <c r="T798" t="s">
        <v>7662</v>
      </c>
      <c r="U798" t="s">
        <v>7662</v>
      </c>
      <c r="V798" t="s">
        <v>7662</v>
      </c>
      <c r="W798">
        <v>6</v>
      </c>
      <c r="X798" t="s">
        <v>8460</v>
      </c>
      <c r="Y798">
        <v>0.62214784999246631</v>
      </c>
      <c r="Z798" t="str">
        <f>HYPERLINK("Melting_Curves/meltCurve_sp_P26583_HMGB2_HUMAN_.pdf", "Melting_Curves/meltCurve_sp_P26583_HMGB2_HUMAN_.pdf")</f>
        <v>Melting_Curves/meltCurve_sp_P26583_HMGB2_HUMAN_.pdf</v>
      </c>
      <c r="AA798" t="s">
        <v>12276</v>
      </c>
      <c r="AB798" t="s">
        <v>16039</v>
      </c>
    </row>
    <row r="799" spans="1:28" x14ac:dyDescent="0.25">
      <c r="A799" t="s">
        <v>803</v>
      </c>
      <c r="B799">
        <v>0.98876768158843997</v>
      </c>
      <c r="C799">
        <v>1.03096558762153</v>
      </c>
      <c r="D799">
        <v>0.91621949370460398</v>
      </c>
      <c r="E799">
        <v>0.55404252295234502</v>
      </c>
      <c r="F799">
        <v>0.40323391943993298</v>
      </c>
      <c r="G799">
        <v>0.217377093135454</v>
      </c>
      <c r="H799">
        <v>0.14715032122011801</v>
      </c>
      <c r="I799">
        <v>0.10798396441881999</v>
      </c>
      <c r="J799">
        <v>9.19601152849953E-2</v>
      </c>
      <c r="K799">
        <v>7.9641956980031195E-2</v>
      </c>
      <c r="L799">
        <v>944.054293840215</v>
      </c>
      <c r="M799">
        <v>18.602213750705499</v>
      </c>
      <c r="N799">
        <v>51.318075672615599</v>
      </c>
      <c r="O799">
        <v>50.173995301233198</v>
      </c>
      <c r="P799">
        <v>-8.4061470218646198E-2</v>
      </c>
      <c r="Q799">
        <v>9.3115023140196401E-2</v>
      </c>
      <c r="R799">
        <v>0.99306877954135797</v>
      </c>
      <c r="S799" t="s">
        <v>4631</v>
      </c>
      <c r="T799" t="s">
        <v>7662</v>
      </c>
      <c r="U799" t="s">
        <v>7662</v>
      </c>
      <c r="V799" t="s">
        <v>7662</v>
      </c>
      <c r="W799">
        <v>7</v>
      </c>
      <c r="X799" t="s">
        <v>8461</v>
      </c>
      <c r="Y799">
        <v>0.43249439651594301</v>
      </c>
      <c r="Z799" t="str">
        <f>HYPERLINK("Melting_Curves/meltCurve_sp_P26599_PTBP1_HUMAN_.pdf", "Melting_Curves/meltCurve_sp_P26599_PTBP1_HUMAN_.pdf")</f>
        <v>Melting_Curves/meltCurve_sp_P26599_PTBP1_HUMAN_.pdf</v>
      </c>
      <c r="AA799" t="s">
        <v>12277</v>
      </c>
      <c r="AB799" t="s">
        <v>16040</v>
      </c>
    </row>
    <row r="800" spans="1:28" x14ac:dyDescent="0.25">
      <c r="A800" t="s">
        <v>804</v>
      </c>
      <c r="B800">
        <v>0.98876768158843997</v>
      </c>
      <c r="C800">
        <v>0.856876989355008</v>
      </c>
      <c r="D800">
        <v>1.0125403587326101</v>
      </c>
      <c r="E800">
        <v>0.85609365634489099</v>
      </c>
      <c r="F800">
        <v>0.28659568916355799</v>
      </c>
      <c r="G800">
        <v>0.115219557390704</v>
      </c>
      <c r="H800">
        <v>6.4430750217044502E-2</v>
      </c>
      <c r="I800">
        <v>5.6850058217137601E-2</v>
      </c>
      <c r="J800">
        <v>5.8832340580715799E-2</v>
      </c>
      <c r="K800">
        <v>5.5967908814192703E-2</v>
      </c>
      <c r="L800">
        <v>2497.1069656690802</v>
      </c>
      <c r="M800">
        <v>48.266590474567899</v>
      </c>
      <c r="N800">
        <v>51.891085851847897</v>
      </c>
      <c r="O800">
        <v>51.6471483341385</v>
      </c>
      <c r="P800">
        <v>-0.217918107502067</v>
      </c>
      <c r="Q800">
        <v>6.7277185056930797E-2</v>
      </c>
      <c r="R800">
        <v>0.98661377195396005</v>
      </c>
      <c r="S800" t="s">
        <v>4632</v>
      </c>
      <c r="T800" t="s">
        <v>7662</v>
      </c>
      <c r="U800" t="s">
        <v>7662</v>
      </c>
      <c r="V800" t="s">
        <v>7662</v>
      </c>
      <c r="W800">
        <v>34</v>
      </c>
      <c r="X800" t="s">
        <v>8462</v>
      </c>
      <c r="Y800">
        <v>0.43443466694591898</v>
      </c>
      <c r="Z800" t="str">
        <f>HYPERLINK("Melting_Curves/meltCurve_sp_P26639_SYTC_HUMAN_.pdf", "Melting_Curves/meltCurve_sp_P26639_SYTC_HUMAN_.pdf")</f>
        <v>Melting_Curves/meltCurve_sp_P26639_SYTC_HUMAN_.pdf</v>
      </c>
      <c r="AA800" t="s">
        <v>12278</v>
      </c>
      <c r="AB800" t="s">
        <v>16041</v>
      </c>
    </row>
    <row r="801" spans="1:28" x14ac:dyDescent="0.25">
      <c r="A801" t="s">
        <v>805</v>
      </c>
      <c r="B801">
        <v>0.98876768158843997</v>
      </c>
      <c r="C801">
        <v>0.83036894319845</v>
      </c>
      <c r="D801">
        <v>0.62587890585094996</v>
      </c>
      <c r="E801">
        <v>0.22512464932110901</v>
      </c>
      <c r="F801">
        <v>0.140365714990344</v>
      </c>
      <c r="G801">
        <v>9.2155025657438203E-2</v>
      </c>
      <c r="H801">
        <v>6.3903380175406005E-2</v>
      </c>
      <c r="I801">
        <v>6.0932671164259301E-2</v>
      </c>
      <c r="J801">
        <v>6.6896694345221996E-2</v>
      </c>
      <c r="K801">
        <v>6.8626597225117297E-2</v>
      </c>
      <c r="L801">
        <v>961.561970157573</v>
      </c>
      <c r="M801">
        <v>20.621374316268799</v>
      </c>
      <c r="N801">
        <v>46.9319878835393</v>
      </c>
      <c r="O801">
        <v>46.197521750593701</v>
      </c>
      <c r="P801">
        <v>-0.104649790597244</v>
      </c>
      <c r="Q801">
        <v>6.2250363399716603E-2</v>
      </c>
      <c r="R801">
        <v>0.99719259507547897</v>
      </c>
      <c r="S801" t="s">
        <v>4633</v>
      </c>
      <c r="T801" t="s">
        <v>7662</v>
      </c>
      <c r="U801" t="s">
        <v>7662</v>
      </c>
      <c r="V801" t="s">
        <v>7662</v>
      </c>
      <c r="W801">
        <v>31</v>
      </c>
      <c r="X801" t="s">
        <v>8463</v>
      </c>
      <c r="Y801">
        <v>0.2825062634348095</v>
      </c>
      <c r="Z801" t="str">
        <f>HYPERLINK("Melting_Curves/meltCurve_sp_P26640_SYVC_HUMAN_.pdf", "Melting_Curves/meltCurve_sp_P26640_SYVC_HUMAN_.pdf")</f>
        <v>Melting_Curves/meltCurve_sp_P26640_SYVC_HUMAN_.pdf</v>
      </c>
      <c r="AA801" t="s">
        <v>12279</v>
      </c>
      <c r="AB801" t="s">
        <v>16042</v>
      </c>
    </row>
    <row r="802" spans="1:28" x14ac:dyDescent="0.25">
      <c r="A802" t="s">
        <v>806</v>
      </c>
      <c r="B802">
        <v>0.98876768158843997</v>
      </c>
      <c r="C802">
        <v>0.75319619846331598</v>
      </c>
      <c r="D802">
        <v>1.12172653663306</v>
      </c>
      <c r="E802">
        <v>0.61612445009935901</v>
      </c>
      <c r="F802">
        <v>0.16417516288967801</v>
      </c>
      <c r="G802">
        <v>7.3252700609201096E-2</v>
      </c>
      <c r="H802">
        <v>4.1803868296288002E-2</v>
      </c>
      <c r="I802">
        <v>4.0781826197406702E-2</v>
      </c>
      <c r="J802">
        <v>4.6713848500203298E-2</v>
      </c>
      <c r="K802">
        <v>4.4057806669501702E-2</v>
      </c>
      <c r="L802">
        <v>2352.2461335784101</v>
      </c>
      <c r="M802">
        <v>46.600028897931097</v>
      </c>
      <c r="N802">
        <v>50.594500419038802</v>
      </c>
      <c r="O802">
        <v>50.384674118005201</v>
      </c>
      <c r="P802">
        <v>-0.219396800881038</v>
      </c>
      <c r="Q802">
        <v>5.1140452956178202E-2</v>
      </c>
      <c r="R802">
        <v>0.95352091655683002</v>
      </c>
      <c r="S802" t="s">
        <v>4634</v>
      </c>
      <c r="T802" t="s">
        <v>7662</v>
      </c>
      <c r="U802" t="s">
        <v>7662</v>
      </c>
      <c r="V802" t="s">
        <v>7662</v>
      </c>
      <c r="W802">
        <v>18</v>
      </c>
      <c r="X802" t="s">
        <v>8464</v>
      </c>
      <c r="Y802">
        <v>0.38495928712105199</v>
      </c>
      <c r="Z802" t="str">
        <f>HYPERLINK("Melting_Curves/meltCurve_sp_P26641_EF1G_HUMAN_.pdf", "Melting_Curves/meltCurve_sp_P26641_EF1G_HUMAN_.pdf")</f>
        <v>Melting_Curves/meltCurve_sp_P26641_EF1G_HUMAN_.pdf</v>
      </c>
      <c r="AA802" t="s">
        <v>12280</v>
      </c>
      <c r="AB802" t="s">
        <v>16043</v>
      </c>
    </row>
    <row r="803" spans="1:28" x14ac:dyDescent="0.25">
      <c r="A803" t="s">
        <v>807</v>
      </c>
      <c r="B803">
        <v>0.98876768158843997</v>
      </c>
      <c r="C803">
        <v>1.14398400253204</v>
      </c>
      <c r="D803">
        <v>0.88483740102393604</v>
      </c>
      <c r="E803">
        <v>0.77016978096435196</v>
      </c>
      <c r="F803">
        <v>0.87951518105183302</v>
      </c>
      <c r="G803">
        <v>0.59154629668207803</v>
      </c>
      <c r="H803">
        <v>0.39446196979269099</v>
      </c>
      <c r="I803">
        <v>0.37535032532106299</v>
      </c>
      <c r="J803">
        <v>0.31554685805796201</v>
      </c>
      <c r="K803">
        <v>0.27091182131848601</v>
      </c>
      <c r="L803">
        <v>697.15970949035705</v>
      </c>
      <c r="M803">
        <v>12.236701002537201</v>
      </c>
      <c r="N803">
        <v>59.358738369448702</v>
      </c>
      <c r="O803">
        <v>55.515354530545899</v>
      </c>
      <c r="P803">
        <v>-4.4410675131373603E-2</v>
      </c>
      <c r="Q803">
        <v>0.19425208089288801</v>
      </c>
      <c r="R803">
        <v>0.93579284250439598</v>
      </c>
      <c r="S803" t="s">
        <v>4635</v>
      </c>
      <c r="T803" t="s">
        <v>7662</v>
      </c>
      <c r="U803" t="s">
        <v>7662</v>
      </c>
      <c r="V803" t="s">
        <v>7662</v>
      </c>
      <c r="W803">
        <v>7</v>
      </c>
      <c r="X803" t="s">
        <v>8465</v>
      </c>
      <c r="Y803">
        <v>0.66375676057604405</v>
      </c>
      <c r="Z803" t="str">
        <f>HYPERLINK("Melting_Curves/meltCurve_sp_P26885_FKBP2_HUMAN_.pdf", "Melting_Curves/meltCurve_sp_P26885_FKBP2_HUMAN_.pdf")</f>
        <v>Melting_Curves/meltCurve_sp_P26885_FKBP2_HUMAN_.pdf</v>
      </c>
      <c r="AA803" t="s">
        <v>12281</v>
      </c>
      <c r="AB803" t="s">
        <v>16044</v>
      </c>
    </row>
    <row r="804" spans="1:28" x14ac:dyDescent="0.25">
      <c r="A804" t="s">
        <v>808</v>
      </c>
      <c r="B804">
        <v>0.98876768158843997</v>
      </c>
      <c r="C804">
        <v>1.00562621285916</v>
      </c>
      <c r="D804">
        <v>0.79073656419051397</v>
      </c>
      <c r="E804">
        <v>0.44516575281024001</v>
      </c>
      <c r="F804">
        <v>0.29158733574502899</v>
      </c>
      <c r="G804">
        <v>0.123522226647424</v>
      </c>
      <c r="H804">
        <v>9.5100764981133595E-2</v>
      </c>
      <c r="I804">
        <v>9.7335555899516896E-2</v>
      </c>
      <c r="J804">
        <v>0.104728700080867</v>
      </c>
      <c r="K804">
        <v>0.123061253444777</v>
      </c>
      <c r="L804">
        <v>1006.69589585535</v>
      </c>
      <c r="M804">
        <v>20.549406342300301</v>
      </c>
      <c r="N804">
        <v>49.515458216892299</v>
      </c>
      <c r="O804">
        <v>48.532207351722398</v>
      </c>
      <c r="P804">
        <v>-9.5470435143329396E-2</v>
      </c>
      <c r="Q804">
        <v>9.8123870371146393E-2</v>
      </c>
      <c r="R804">
        <v>0.99536522445460995</v>
      </c>
      <c r="S804" t="s">
        <v>4636</v>
      </c>
      <c r="T804" t="s">
        <v>7662</v>
      </c>
      <c r="U804" t="s">
        <v>7662</v>
      </c>
      <c r="V804" t="s">
        <v>7662</v>
      </c>
      <c r="W804">
        <v>1</v>
      </c>
      <c r="X804" t="s">
        <v>8466</v>
      </c>
      <c r="Y804">
        <v>0.38031336676835109</v>
      </c>
      <c r="Z804" t="str">
        <f>HYPERLINK("Melting_Curves/meltCurve_sp_P26927_HGFL_HUMAN_.pdf", "Melting_Curves/meltCurve_sp_P26927_HGFL_HUMAN_.pdf")</f>
        <v>Melting_Curves/meltCurve_sp_P26927_HGFL_HUMAN_.pdf</v>
      </c>
      <c r="AA804" t="s">
        <v>12282</v>
      </c>
      <c r="AB804" t="s">
        <v>16045</v>
      </c>
    </row>
    <row r="805" spans="1:28" x14ac:dyDescent="0.25">
      <c r="A805" t="s">
        <v>809</v>
      </c>
      <c r="B805">
        <v>0.98876768158843997</v>
      </c>
      <c r="C805">
        <v>1.0885383567807401</v>
      </c>
      <c r="D805">
        <v>0.749750338297826</v>
      </c>
      <c r="E805">
        <v>0.405695312760538</v>
      </c>
      <c r="F805">
        <v>0.14937571498538199</v>
      </c>
      <c r="G805">
        <v>9.1342744163196002E-2</v>
      </c>
      <c r="H805">
        <v>6.6951599011727897E-2</v>
      </c>
      <c r="I805">
        <v>6.1560858422824501E-2</v>
      </c>
      <c r="J805">
        <v>6.8740208628148003E-2</v>
      </c>
      <c r="K805">
        <v>5.38545888062422E-2</v>
      </c>
      <c r="L805">
        <v>1185.0436842494501</v>
      </c>
      <c r="M805">
        <v>24.392372549630899</v>
      </c>
      <c r="N805">
        <v>48.840877124523502</v>
      </c>
      <c r="O805">
        <v>48.2595755722908</v>
      </c>
      <c r="P805">
        <v>-0.118714846151003</v>
      </c>
      <c r="Q805">
        <v>6.0519375489740297E-2</v>
      </c>
      <c r="R805">
        <v>0.98670188300108097</v>
      </c>
      <c r="S805" t="s">
        <v>4637</v>
      </c>
      <c r="T805" t="s">
        <v>7662</v>
      </c>
      <c r="U805" t="s">
        <v>7662</v>
      </c>
      <c r="V805" t="s">
        <v>7662</v>
      </c>
      <c r="W805">
        <v>14</v>
      </c>
      <c r="X805" t="s">
        <v>8467</v>
      </c>
      <c r="Y805">
        <v>0.33803576785725448</v>
      </c>
      <c r="Z805" t="str">
        <f>HYPERLINK("Melting_Curves/meltCurve_sp_P27144_KAD4_HUMAN_.pdf", "Melting_Curves/meltCurve_sp_P27144_KAD4_HUMAN_.pdf")</f>
        <v>Melting_Curves/meltCurve_sp_P27144_KAD4_HUMAN_.pdf</v>
      </c>
      <c r="AA805" t="s">
        <v>12283</v>
      </c>
      <c r="AB805" t="s">
        <v>16046</v>
      </c>
    </row>
    <row r="806" spans="1:28" x14ac:dyDescent="0.25">
      <c r="A806" t="s">
        <v>810</v>
      </c>
      <c r="B806">
        <v>0.98876768158843997</v>
      </c>
      <c r="C806">
        <v>1.1415853305330499</v>
      </c>
      <c r="D806">
        <v>0.87878989783257</v>
      </c>
      <c r="E806">
        <v>0.87613902391700504</v>
      </c>
      <c r="F806">
        <v>0.80908410403197295</v>
      </c>
      <c r="G806">
        <v>0.31127872366261</v>
      </c>
      <c r="H806">
        <v>9.7044411837951594E-2</v>
      </c>
      <c r="I806">
        <v>5.9785553177758903E-2</v>
      </c>
      <c r="J806">
        <v>5.4818581708196097E-2</v>
      </c>
      <c r="K806">
        <v>5.1705212692226103E-2</v>
      </c>
      <c r="L806">
        <v>1509.0060018142001</v>
      </c>
      <c r="M806">
        <v>27.333466260340099</v>
      </c>
      <c r="N806">
        <v>55.376712390637998</v>
      </c>
      <c r="O806">
        <v>54.914304386781403</v>
      </c>
      <c r="P806">
        <v>-0.119445392753336</v>
      </c>
      <c r="Q806">
        <v>4.01219195590986E-2</v>
      </c>
      <c r="R806">
        <v>0.97725742738853705</v>
      </c>
      <c r="S806" t="s">
        <v>4638</v>
      </c>
      <c r="T806" t="s">
        <v>7662</v>
      </c>
      <c r="U806" t="s">
        <v>7662</v>
      </c>
      <c r="V806" t="s">
        <v>7662</v>
      </c>
      <c r="W806">
        <v>19</v>
      </c>
      <c r="X806" t="s">
        <v>8468</v>
      </c>
      <c r="Y806">
        <v>0.5342656315420744</v>
      </c>
      <c r="Z806" t="str">
        <f>HYPERLINK("Melting_Curves/meltCurve_sp_P27348_1433T_HUMAN_.pdf", "Melting_Curves/meltCurve_sp_P27348_1433T_HUMAN_.pdf")</f>
        <v>Melting_Curves/meltCurve_sp_P27348_1433T_HUMAN_.pdf</v>
      </c>
      <c r="AA806" t="s">
        <v>12284</v>
      </c>
      <c r="AB806" t="s">
        <v>16047</v>
      </c>
    </row>
    <row r="807" spans="1:28" x14ac:dyDescent="0.25">
      <c r="A807" t="s">
        <v>811</v>
      </c>
      <c r="B807">
        <v>0.98876768158843997</v>
      </c>
      <c r="C807">
        <v>1.0651808757536601</v>
      </c>
      <c r="D807">
        <v>0.75513784402721895</v>
      </c>
      <c r="E807">
        <v>0.56893167201662997</v>
      </c>
      <c r="F807">
        <v>0.549156080651935</v>
      </c>
      <c r="G807">
        <v>0.162286069192531</v>
      </c>
      <c r="H807">
        <v>4.9604383879813897E-2</v>
      </c>
      <c r="I807">
        <v>5.2448946966723697E-2</v>
      </c>
      <c r="J807">
        <v>8.8118474422184498E-2</v>
      </c>
      <c r="K807">
        <v>6.9222103552376998E-2</v>
      </c>
      <c r="L807">
        <v>729.76195047770898</v>
      </c>
      <c r="M807">
        <v>14.1350850175939</v>
      </c>
      <c r="N807">
        <v>51.719254722114798</v>
      </c>
      <c r="O807">
        <v>50.627331000535797</v>
      </c>
      <c r="P807">
        <v>-6.89460379780968E-2</v>
      </c>
      <c r="Q807">
        <v>1.2355699103947199E-2</v>
      </c>
      <c r="R807">
        <v>0.96350764321067495</v>
      </c>
      <c r="S807" t="s">
        <v>4639</v>
      </c>
      <c r="T807" t="s">
        <v>7662</v>
      </c>
      <c r="U807" t="s">
        <v>7662</v>
      </c>
      <c r="V807" t="s">
        <v>7662</v>
      </c>
      <c r="W807">
        <v>1</v>
      </c>
      <c r="X807" t="s">
        <v>8469</v>
      </c>
      <c r="Y807">
        <v>0.41966875979553558</v>
      </c>
      <c r="Z807" t="str">
        <f>HYPERLINK("Melting_Curves/meltCurve_sp_P27540_2_ARNT_HUMAN_.pdf", "Melting_Curves/meltCurve_sp_P27540_2_ARNT_HUMAN_.pdf")</f>
        <v>Melting_Curves/meltCurve_sp_P27540_2_ARNT_HUMAN_.pdf</v>
      </c>
      <c r="AA807" t="s">
        <v>12285</v>
      </c>
      <c r="AB807" t="s">
        <v>16048</v>
      </c>
    </row>
    <row r="808" spans="1:28" x14ac:dyDescent="0.25">
      <c r="A808" t="s">
        <v>812</v>
      </c>
      <c r="B808">
        <v>0.98876768158843997</v>
      </c>
      <c r="C808">
        <v>0.93507699381403298</v>
      </c>
      <c r="D808">
        <v>0.94026410451801001</v>
      </c>
      <c r="E808">
        <v>0.79109824847896604</v>
      </c>
      <c r="F808">
        <v>0.39181007073912899</v>
      </c>
      <c r="G808">
        <v>0.13446049552676101</v>
      </c>
      <c r="H808">
        <v>6.5620891467125103E-2</v>
      </c>
      <c r="I808">
        <v>5.5107398906717397E-2</v>
      </c>
      <c r="J808">
        <v>6.7664655529702106E-2</v>
      </c>
      <c r="K808">
        <v>5.2098225507406302E-2</v>
      </c>
      <c r="L808">
        <v>1494.64555239335</v>
      </c>
      <c r="M808">
        <v>28.740817247796901</v>
      </c>
      <c r="N808">
        <v>52.220130036632597</v>
      </c>
      <c r="O808">
        <v>51.754469591090803</v>
      </c>
      <c r="P808">
        <v>-0.1310580597912</v>
      </c>
      <c r="Q808">
        <v>5.6006259185503698E-2</v>
      </c>
      <c r="R808">
        <v>0.99610676296221301</v>
      </c>
      <c r="S808" t="s">
        <v>4640</v>
      </c>
      <c r="T808" t="s">
        <v>7662</v>
      </c>
      <c r="U808" t="s">
        <v>7662</v>
      </c>
      <c r="V808" t="s">
        <v>7662</v>
      </c>
      <c r="W808">
        <v>12</v>
      </c>
      <c r="X808" t="s">
        <v>8470</v>
      </c>
      <c r="Y808">
        <v>0.44030420517664648</v>
      </c>
      <c r="Z808" t="str">
        <f>HYPERLINK("Melting_Curves/meltCurve_sp_P27694_RFA1_HUMAN_.pdf", "Melting_Curves/meltCurve_sp_P27694_RFA1_HUMAN_.pdf")</f>
        <v>Melting_Curves/meltCurve_sp_P27694_RFA1_HUMAN_.pdf</v>
      </c>
      <c r="AA808" t="s">
        <v>12286</v>
      </c>
      <c r="AB808" t="s">
        <v>16049</v>
      </c>
    </row>
    <row r="809" spans="1:28" x14ac:dyDescent="0.25">
      <c r="A809" t="s">
        <v>813</v>
      </c>
      <c r="B809">
        <v>0.98876768158843997</v>
      </c>
      <c r="C809">
        <v>1.065220390458</v>
      </c>
      <c r="D809">
        <v>0.77520625580842895</v>
      </c>
      <c r="E809">
        <v>0.33802202180735202</v>
      </c>
      <c r="F809">
        <v>0.13379633869276</v>
      </c>
      <c r="G809">
        <v>8.1464048622288995E-2</v>
      </c>
      <c r="H809">
        <v>5.3255785550045003E-2</v>
      </c>
      <c r="I809">
        <v>4.61966501295486E-2</v>
      </c>
      <c r="J809">
        <v>5.6948283900283399E-2</v>
      </c>
      <c r="K809">
        <v>4.9995635170434698E-2</v>
      </c>
      <c r="L809">
        <v>1305.5986146441801</v>
      </c>
      <c r="M809">
        <v>27.0151149006597</v>
      </c>
      <c r="N809">
        <v>48.534449668923003</v>
      </c>
      <c r="O809">
        <v>48.065949784359802</v>
      </c>
      <c r="P809">
        <v>-0.13290092242524101</v>
      </c>
      <c r="Q809">
        <v>5.4166851043120398E-2</v>
      </c>
      <c r="R809">
        <v>0.99326972308987205</v>
      </c>
      <c r="S809" t="s">
        <v>4641</v>
      </c>
      <c r="T809" t="s">
        <v>7662</v>
      </c>
      <c r="U809" t="s">
        <v>7662</v>
      </c>
      <c r="V809" t="s">
        <v>7662</v>
      </c>
      <c r="W809">
        <v>11</v>
      </c>
      <c r="X809" t="s">
        <v>8471</v>
      </c>
      <c r="Y809">
        <v>0.3238490083729631</v>
      </c>
      <c r="Z809" t="str">
        <f>HYPERLINK("Melting_Curves/meltCurve_sp_P27695_APEX1_HUMAN_.pdf", "Melting_Curves/meltCurve_sp_P27695_APEX1_HUMAN_.pdf")</f>
        <v>Melting_Curves/meltCurve_sp_P27695_APEX1_HUMAN_.pdf</v>
      </c>
      <c r="AA809" t="s">
        <v>12287</v>
      </c>
      <c r="AB809" t="s">
        <v>16050</v>
      </c>
    </row>
    <row r="810" spans="1:28" x14ac:dyDescent="0.25">
      <c r="A810" t="s">
        <v>814</v>
      </c>
      <c r="B810">
        <v>0.98876768158843997</v>
      </c>
      <c r="C810">
        <v>1.01631338653312</v>
      </c>
      <c r="D810">
        <v>0.77758126552604701</v>
      </c>
      <c r="E810">
        <v>0.58466290690955103</v>
      </c>
      <c r="F810">
        <v>0.42796303280890302</v>
      </c>
      <c r="G810">
        <v>0.24596139079211299</v>
      </c>
      <c r="H810">
        <v>0.15664224112681999</v>
      </c>
      <c r="I810">
        <v>0.162468403755366</v>
      </c>
      <c r="J810">
        <v>0.16006873109262901</v>
      </c>
      <c r="K810">
        <v>0.21398876808908501</v>
      </c>
      <c r="L810">
        <v>813.60846891256904</v>
      </c>
      <c r="M810">
        <v>16.265450507750099</v>
      </c>
      <c r="N810">
        <v>51.1821143357948</v>
      </c>
      <c r="O810">
        <v>49.282903694089804</v>
      </c>
      <c r="P810">
        <v>-6.9782426291950403E-2</v>
      </c>
      <c r="Q810">
        <v>0.15432338979723101</v>
      </c>
      <c r="R810">
        <v>0.98708617155561795</v>
      </c>
      <c r="S810" t="s">
        <v>4642</v>
      </c>
      <c r="T810" t="s">
        <v>7662</v>
      </c>
      <c r="U810" t="s">
        <v>7662</v>
      </c>
      <c r="V810" t="s">
        <v>7662</v>
      </c>
      <c r="W810">
        <v>21</v>
      </c>
      <c r="X810" t="s">
        <v>8472</v>
      </c>
      <c r="Y810">
        <v>0.4542154985392346</v>
      </c>
      <c r="Z810" t="str">
        <f>HYPERLINK("Melting_Curves/meltCurve_sp_P27797_CALR_HUMAN_.pdf", "Melting_Curves/meltCurve_sp_P27797_CALR_HUMAN_.pdf")</f>
        <v>Melting_Curves/meltCurve_sp_P27797_CALR_HUMAN_.pdf</v>
      </c>
      <c r="AA810" t="s">
        <v>12288</v>
      </c>
      <c r="AB810" t="s">
        <v>16051</v>
      </c>
    </row>
    <row r="811" spans="1:28" x14ac:dyDescent="0.25">
      <c r="A811" t="s">
        <v>815</v>
      </c>
      <c r="B811">
        <v>0.98876768158843997</v>
      </c>
      <c r="C811">
        <v>1.0845863786822201</v>
      </c>
      <c r="D811">
        <v>0.911827291308691</v>
      </c>
      <c r="E811">
        <v>0.79611537681355105</v>
      </c>
      <c r="F811">
        <v>0.93183274342621303</v>
      </c>
      <c r="G811">
        <v>0.66801222038669605</v>
      </c>
      <c r="H811">
        <v>0.53932006995542103</v>
      </c>
      <c r="I811">
        <v>0.61798964437047799</v>
      </c>
      <c r="J811">
        <v>0.78704621184068602</v>
      </c>
      <c r="K811">
        <v>0.90403840002333102</v>
      </c>
      <c r="L811">
        <v>981.22502861267799</v>
      </c>
      <c r="M811">
        <v>19.640805273669798</v>
      </c>
      <c r="O811">
        <v>49.4492648770023</v>
      </c>
      <c r="P811">
        <v>-2.8441231280206099E-2</v>
      </c>
      <c r="Q811">
        <v>0.71358643679535105</v>
      </c>
      <c r="R811">
        <v>0.53680886859361099</v>
      </c>
      <c r="S811" t="s">
        <v>4643</v>
      </c>
      <c r="T811" t="s">
        <v>7662</v>
      </c>
      <c r="U811" t="s">
        <v>7662</v>
      </c>
      <c r="V811" t="s">
        <v>7662</v>
      </c>
      <c r="W811">
        <v>43</v>
      </c>
      <c r="X811" t="s">
        <v>8473</v>
      </c>
      <c r="Y811">
        <v>0.81279271977475476</v>
      </c>
      <c r="Z811" t="str">
        <f>HYPERLINK("Melting_Curves/meltCurve_sp_P27816_6_MAP4_HUMAN_.pdf", "Melting_Curves/meltCurve_sp_P27816_6_MAP4_HUMAN_.pdf")</f>
        <v>Melting_Curves/meltCurve_sp_P27816_6_MAP4_HUMAN_.pdf</v>
      </c>
      <c r="AA811" t="s">
        <v>12289</v>
      </c>
      <c r="AB811" t="s">
        <v>16052</v>
      </c>
    </row>
    <row r="812" spans="1:28" x14ac:dyDescent="0.25">
      <c r="A812" t="s">
        <v>816</v>
      </c>
      <c r="B812">
        <v>0.98876768158843997</v>
      </c>
      <c r="C812">
        <v>0.91678633627093098</v>
      </c>
      <c r="D812">
        <v>0.96006184487485302</v>
      </c>
      <c r="E812">
        <v>0.68414721371533505</v>
      </c>
      <c r="F812">
        <v>0.29481823125448298</v>
      </c>
      <c r="G812">
        <v>0.16274832766477301</v>
      </c>
      <c r="H812">
        <v>0.108335871093939</v>
      </c>
      <c r="I812">
        <v>9.4567173344871594E-2</v>
      </c>
      <c r="J812">
        <v>9.6611815718651406E-2</v>
      </c>
      <c r="K812">
        <v>7.4496605248204797E-2</v>
      </c>
      <c r="L812">
        <v>1495.39688699269</v>
      </c>
      <c r="M812">
        <v>29.3477646501319</v>
      </c>
      <c r="N812">
        <v>51.322933166420498</v>
      </c>
      <c r="O812">
        <v>50.719546588983299</v>
      </c>
      <c r="P812">
        <v>-0.13091371945788999</v>
      </c>
      <c r="Q812">
        <v>9.50129093524648E-2</v>
      </c>
      <c r="R812">
        <v>0.99416035806194003</v>
      </c>
      <c r="S812" t="s">
        <v>4644</v>
      </c>
      <c r="T812" t="s">
        <v>7662</v>
      </c>
      <c r="U812" t="s">
        <v>7662</v>
      </c>
      <c r="V812" t="s">
        <v>7662</v>
      </c>
      <c r="W812">
        <v>7</v>
      </c>
      <c r="X812" t="s">
        <v>8474</v>
      </c>
      <c r="Y812">
        <v>0.43140671923664098</v>
      </c>
      <c r="Z812" t="str">
        <f>HYPERLINK("Melting_Curves/meltCurve_sp_P27986_P85A_HUMAN_.pdf", "Melting_Curves/meltCurve_sp_P27986_P85A_HUMAN_.pdf")</f>
        <v>Melting_Curves/meltCurve_sp_P27986_P85A_HUMAN_.pdf</v>
      </c>
      <c r="AA812" t="s">
        <v>12290</v>
      </c>
      <c r="AB812" t="s">
        <v>16053</v>
      </c>
    </row>
    <row r="813" spans="1:28" x14ac:dyDescent="0.25">
      <c r="A813" t="s">
        <v>817</v>
      </c>
      <c r="B813">
        <v>0.98876768158843997</v>
      </c>
      <c r="C813">
        <v>1.10043513228265</v>
      </c>
      <c r="D813">
        <v>1.12850413814725</v>
      </c>
      <c r="E813">
        <v>1.0008548795687799</v>
      </c>
      <c r="F813">
        <v>0.78863201945457095</v>
      </c>
      <c r="G813">
        <v>0.57494080256261404</v>
      </c>
      <c r="H813">
        <v>0.65712136811214905</v>
      </c>
      <c r="I813">
        <v>0.77853584703654299</v>
      </c>
      <c r="J813">
        <v>1.0564405709860001</v>
      </c>
      <c r="K813">
        <v>0.91251731741880504</v>
      </c>
      <c r="L813">
        <v>12698.7376697483</v>
      </c>
      <c r="M813">
        <v>247.594427274315</v>
      </c>
      <c r="O813">
        <v>51.285117012483802</v>
      </c>
      <c r="P813">
        <v>-0.24779983163927999</v>
      </c>
      <c r="Q813">
        <v>0.79468934773247202</v>
      </c>
      <c r="R813">
        <v>0.45959496169314901</v>
      </c>
      <c r="S813" t="s">
        <v>4645</v>
      </c>
      <c r="T813" t="s">
        <v>7662</v>
      </c>
      <c r="U813" t="s">
        <v>7662</v>
      </c>
      <c r="V813" t="s">
        <v>7662</v>
      </c>
      <c r="W813">
        <v>8</v>
      </c>
      <c r="X813" t="s">
        <v>8475</v>
      </c>
      <c r="Y813">
        <v>0.87196291346078802</v>
      </c>
      <c r="Z813" t="str">
        <f>HYPERLINK("Melting_Curves/meltCurve_sp_P28062_2_PSB8_HUMAN_.pdf", "Melting_Curves/meltCurve_sp_P28062_2_PSB8_HUMAN_.pdf")</f>
        <v>Melting_Curves/meltCurve_sp_P28062_2_PSB8_HUMAN_.pdf</v>
      </c>
      <c r="AA813" t="s">
        <v>12291</v>
      </c>
      <c r="AB813" t="s">
        <v>16054</v>
      </c>
    </row>
    <row r="814" spans="1:28" x14ac:dyDescent="0.25">
      <c r="A814" t="s">
        <v>818</v>
      </c>
      <c r="B814">
        <v>0.98876768158843997</v>
      </c>
      <c r="C814">
        <v>0.98766725527749999</v>
      </c>
      <c r="D814">
        <v>1.06824346260681</v>
      </c>
      <c r="E814">
        <v>0.98201923278707604</v>
      </c>
      <c r="F814">
        <v>0.53815563167284197</v>
      </c>
      <c r="G814">
        <v>0.441403161376486</v>
      </c>
      <c r="H814">
        <v>0.41771434565499299</v>
      </c>
      <c r="I814">
        <v>0.49145001402138599</v>
      </c>
      <c r="J814">
        <v>0.57087673839508601</v>
      </c>
      <c r="K814">
        <v>0.58067464393442003</v>
      </c>
      <c r="L814">
        <v>5132.4108420675202</v>
      </c>
      <c r="M814">
        <v>99.348334469326204</v>
      </c>
      <c r="O814">
        <v>51.639841703241501</v>
      </c>
      <c r="P814">
        <v>-0.24026880848426299</v>
      </c>
      <c r="Q814">
        <v>0.500446882670875</v>
      </c>
      <c r="R814">
        <v>0.957403622215239</v>
      </c>
      <c r="S814" t="s">
        <v>4646</v>
      </c>
      <c r="T814" t="s">
        <v>7662</v>
      </c>
      <c r="U814" t="s">
        <v>7662</v>
      </c>
      <c r="V814" t="s">
        <v>7662</v>
      </c>
      <c r="W814">
        <v>10</v>
      </c>
      <c r="X814" t="s">
        <v>8476</v>
      </c>
      <c r="Y814">
        <v>0.69490638267695648</v>
      </c>
      <c r="Z814" t="str">
        <f>HYPERLINK("Melting_Curves/meltCurve_sp_P28066_PSA5_HUMAN_.pdf", "Melting_Curves/meltCurve_sp_P28066_PSA5_HUMAN_.pdf")</f>
        <v>Melting_Curves/meltCurve_sp_P28066_PSA5_HUMAN_.pdf</v>
      </c>
      <c r="AA814" t="s">
        <v>12292</v>
      </c>
      <c r="AB814" t="s">
        <v>16055</v>
      </c>
    </row>
    <row r="815" spans="1:28" x14ac:dyDescent="0.25">
      <c r="A815" t="s">
        <v>819</v>
      </c>
      <c r="B815">
        <v>0.98876768158843997</v>
      </c>
      <c r="C815">
        <v>0.98878883234849901</v>
      </c>
      <c r="D815">
        <v>1.1220646411833901</v>
      </c>
      <c r="E815">
        <v>1.06984275927109</v>
      </c>
      <c r="F815">
        <v>0.60400185690294705</v>
      </c>
      <c r="G815">
        <v>0.54863248269210796</v>
      </c>
      <c r="H815">
        <v>0.49392557908897899</v>
      </c>
      <c r="I815">
        <v>0.58891588315047405</v>
      </c>
      <c r="J815">
        <v>0.67158835523007399</v>
      </c>
      <c r="K815">
        <v>0.66187617432593404</v>
      </c>
      <c r="L815">
        <v>13060.3642204159</v>
      </c>
      <c r="M815">
        <v>250</v>
      </c>
      <c r="O815">
        <v>52.238119966858797</v>
      </c>
      <c r="P815">
        <v>-0.48697622787119599</v>
      </c>
      <c r="Q815">
        <v>0.59298048683243498</v>
      </c>
      <c r="R815">
        <v>0.91720926444449502</v>
      </c>
      <c r="S815" t="s">
        <v>4647</v>
      </c>
      <c r="T815" t="s">
        <v>7662</v>
      </c>
      <c r="U815" t="s">
        <v>7662</v>
      </c>
      <c r="V815" t="s">
        <v>7662</v>
      </c>
      <c r="W815">
        <v>6</v>
      </c>
      <c r="X815" t="s">
        <v>8477</v>
      </c>
      <c r="Y815">
        <v>0.75910153092745625</v>
      </c>
      <c r="Z815" t="str">
        <f>HYPERLINK("Melting_Curves/meltCurve_sp_P28070_PSB4_HUMAN_.pdf", "Melting_Curves/meltCurve_sp_P28070_PSB4_HUMAN_.pdf")</f>
        <v>Melting_Curves/meltCurve_sp_P28070_PSB4_HUMAN_.pdf</v>
      </c>
      <c r="AA815" t="s">
        <v>12293</v>
      </c>
      <c r="AB815" t="s">
        <v>16056</v>
      </c>
    </row>
    <row r="816" spans="1:28" x14ac:dyDescent="0.25">
      <c r="A816" t="s">
        <v>820</v>
      </c>
      <c r="B816">
        <v>0.98876768158843997</v>
      </c>
      <c r="C816">
        <v>0.98608785910048102</v>
      </c>
      <c r="D816">
        <v>1.15877186936968</v>
      </c>
      <c r="E816">
        <v>1.09271142156943</v>
      </c>
      <c r="F816">
        <v>0.70381584668881803</v>
      </c>
      <c r="G816">
        <v>0.62411792781039799</v>
      </c>
      <c r="H816">
        <v>0.60231853727354101</v>
      </c>
      <c r="I816">
        <v>0.71689527807426001</v>
      </c>
      <c r="J816">
        <v>0.83677600850533396</v>
      </c>
      <c r="K816">
        <v>0.942488859312266</v>
      </c>
      <c r="L816">
        <v>7555.4502122034701</v>
      </c>
      <c r="M816">
        <v>146.429183528935</v>
      </c>
      <c r="O816">
        <v>51.5883609219077</v>
      </c>
      <c r="P816">
        <v>-0.18657178391892101</v>
      </c>
      <c r="Q816">
        <v>0.73707613060874999</v>
      </c>
      <c r="R816">
        <v>0.65836593983089797</v>
      </c>
      <c r="S816" t="s">
        <v>4648</v>
      </c>
      <c r="T816" t="s">
        <v>7662</v>
      </c>
      <c r="U816" t="s">
        <v>7662</v>
      </c>
      <c r="V816" t="s">
        <v>7662</v>
      </c>
      <c r="W816">
        <v>7</v>
      </c>
      <c r="X816" t="s">
        <v>8478</v>
      </c>
      <c r="Y816">
        <v>0.83879176058972493</v>
      </c>
      <c r="Z816" t="str">
        <f>HYPERLINK("Melting_Curves/meltCurve_sp_P28072_PSB6_HUMAN_.pdf", "Melting_Curves/meltCurve_sp_P28072_PSB6_HUMAN_.pdf")</f>
        <v>Melting_Curves/meltCurve_sp_P28072_PSB6_HUMAN_.pdf</v>
      </c>
      <c r="AA816" t="s">
        <v>12294</v>
      </c>
      <c r="AB816" t="s">
        <v>16057</v>
      </c>
    </row>
    <row r="817" spans="1:28" x14ac:dyDescent="0.25">
      <c r="A817" t="s">
        <v>821</v>
      </c>
      <c r="B817">
        <v>0.98876768158843997</v>
      </c>
      <c r="C817">
        <v>0.96514033506274499</v>
      </c>
      <c r="D817">
        <v>1.07124694605147</v>
      </c>
      <c r="E817">
        <v>0.96298768047112404</v>
      </c>
      <c r="F817">
        <v>0.56046725137600195</v>
      </c>
      <c r="G817">
        <v>0.44122159072552097</v>
      </c>
      <c r="H817">
        <v>0.41769035082841599</v>
      </c>
      <c r="I817">
        <v>0.53510947038960999</v>
      </c>
      <c r="J817">
        <v>0.51715954849690604</v>
      </c>
      <c r="K817">
        <v>0.59541330695952899</v>
      </c>
      <c r="L817">
        <v>4039.6519831594101</v>
      </c>
      <c r="M817">
        <v>78.244193263221703</v>
      </c>
      <c r="O817">
        <v>51.595081602496201</v>
      </c>
      <c r="P817">
        <v>-0.18902908329425699</v>
      </c>
      <c r="Q817">
        <v>0.50140865071123497</v>
      </c>
      <c r="R817">
        <v>0.954328778409545</v>
      </c>
      <c r="S817" t="s">
        <v>4649</v>
      </c>
      <c r="T817" t="s">
        <v>7662</v>
      </c>
      <c r="U817" t="s">
        <v>7662</v>
      </c>
      <c r="V817" t="s">
        <v>7662</v>
      </c>
      <c r="W817">
        <v>10</v>
      </c>
      <c r="X817" t="s">
        <v>8479</v>
      </c>
      <c r="Y817">
        <v>0.69513770657336049</v>
      </c>
      <c r="Z817" t="str">
        <f>HYPERLINK("Melting_Curves/meltCurve_sp_P28074_PSB5_HUMAN_.pdf", "Melting_Curves/meltCurve_sp_P28074_PSB5_HUMAN_.pdf")</f>
        <v>Melting_Curves/meltCurve_sp_P28074_PSB5_HUMAN_.pdf</v>
      </c>
      <c r="AA817" t="s">
        <v>12295</v>
      </c>
      <c r="AB817" t="s">
        <v>16058</v>
      </c>
    </row>
    <row r="818" spans="1:28" x14ac:dyDescent="0.25">
      <c r="A818" t="s">
        <v>822</v>
      </c>
      <c r="B818">
        <v>0.98876768158843997</v>
      </c>
      <c r="C818">
        <v>1.0667374781858401</v>
      </c>
      <c r="D818">
        <v>0.98134662254946503</v>
      </c>
      <c r="E818">
        <v>0.63423615939730404</v>
      </c>
      <c r="F818">
        <v>0.23273589212572299</v>
      </c>
      <c r="G818">
        <v>0.12987416838242599</v>
      </c>
      <c r="H818">
        <v>7.6382436199210701E-2</v>
      </c>
      <c r="I818">
        <v>9.1107458914802597E-2</v>
      </c>
      <c r="J818">
        <v>3.5068447429758197E-2</v>
      </c>
      <c r="K818">
        <v>4.9183403370162498E-2</v>
      </c>
      <c r="L818">
        <v>1716.9214225415101</v>
      </c>
      <c r="M818">
        <v>33.898051917998202</v>
      </c>
      <c r="N818">
        <v>50.876207498121602</v>
      </c>
      <c r="O818">
        <v>50.474268587368101</v>
      </c>
      <c r="P818">
        <v>-0.15613234190667</v>
      </c>
      <c r="Q818">
        <v>7.0078330068363198E-2</v>
      </c>
      <c r="R818">
        <v>0.99501883482999798</v>
      </c>
      <c r="S818" t="s">
        <v>4650</v>
      </c>
      <c r="T818" t="s">
        <v>7662</v>
      </c>
      <c r="U818" t="s">
        <v>7662</v>
      </c>
      <c r="V818" t="s">
        <v>7662</v>
      </c>
      <c r="W818">
        <v>4</v>
      </c>
      <c r="X818" t="s">
        <v>8480</v>
      </c>
      <c r="Y818">
        <v>0.40473257499559878</v>
      </c>
      <c r="Z818" t="str">
        <f>HYPERLINK("Melting_Curves/meltCurve_sp_P28289_TMOD1_HUMAN_.pdf", "Melting_Curves/meltCurve_sp_P28289_TMOD1_HUMAN_.pdf")</f>
        <v>Melting_Curves/meltCurve_sp_P28289_TMOD1_HUMAN_.pdf</v>
      </c>
      <c r="AA818" t="s">
        <v>12296</v>
      </c>
      <c r="AB818" t="s">
        <v>16059</v>
      </c>
    </row>
    <row r="819" spans="1:28" x14ac:dyDescent="0.25">
      <c r="A819" t="s">
        <v>823</v>
      </c>
      <c r="B819">
        <v>0.98876768158843997</v>
      </c>
      <c r="C819">
        <v>0.89708868826760801</v>
      </c>
      <c r="D819">
        <v>1.00159194067172</v>
      </c>
      <c r="E819">
        <v>0.94535368353369797</v>
      </c>
      <c r="F819">
        <v>0.601538584143538</v>
      </c>
      <c r="G819">
        <v>0.370389767040669</v>
      </c>
      <c r="H819">
        <v>0.16400719005607201</v>
      </c>
      <c r="I819">
        <v>0.120148270362066</v>
      </c>
      <c r="J819">
        <v>9.4562975173833802E-2</v>
      </c>
      <c r="K819">
        <v>8.9810293566482902E-2</v>
      </c>
      <c r="L819">
        <v>1163.2551725400299</v>
      </c>
      <c r="M819">
        <v>21.397349127813399</v>
      </c>
      <c r="N819">
        <v>54.844826112335802</v>
      </c>
      <c r="O819">
        <v>53.896312932468902</v>
      </c>
      <c r="P819">
        <v>-9.0773738965394701E-2</v>
      </c>
      <c r="Q819">
        <v>8.5448123527974207E-2</v>
      </c>
      <c r="R819">
        <v>0.98583644905204704</v>
      </c>
      <c r="S819" t="s">
        <v>4651</v>
      </c>
      <c r="T819" t="s">
        <v>7662</v>
      </c>
      <c r="U819" t="s">
        <v>7662</v>
      </c>
      <c r="V819" t="s">
        <v>7662</v>
      </c>
      <c r="W819">
        <v>14</v>
      </c>
      <c r="X819" t="s">
        <v>8481</v>
      </c>
      <c r="Y819">
        <v>0.53442810507711747</v>
      </c>
      <c r="Z819" t="str">
        <f>HYPERLINK("Melting_Curves/meltCurve_sp_P28330_ACADL_HUMAN_.pdf", "Melting_Curves/meltCurve_sp_P28330_ACADL_HUMAN_.pdf")</f>
        <v>Melting_Curves/meltCurve_sp_P28330_ACADL_HUMAN_.pdf</v>
      </c>
      <c r="AA819" t="s">
        <v>12297</v>
      </c>
      <c r="AB819" t="s">
        <v>16060</v>
      </c>
    </row>
    <row r="820" spans="1:28" x14ac:dyDescent="0.25">
      <c r="A820" t="s">
        <v>824</v>
      </c>
      <c r="B820">
        <v>0.98876768158843997</v>
      </c>
      <c r="C820">
        <v>0.90880713310689698</v>
      </c>
      <c r="D820">
        <v>0.73753870466283</v>
      </c>
      <c r="E820">
        <v>0.28009507381862098</v>
      </c>
      <c r="F820">
        <v>0.11447873210081699</v>
      </c>
      <c r="G820">
        <v>6.1976619588950801E-2</v>
      </c>
      <c r="H820">
        <v>4.1512425443280702E-2</v>
      </c>
      <c r="I820">
        <v>3.2666016462406897E-2</v>
      </c>
      <c r="J820">
        <v>4.2905458303448003E-2</v>
      </c>
      <c r="K820">
        <v>3.8417510177097602E-2</v>
      </c>
      <c r="L820">
        <v>1126.35303086196</v>
      </c>
      <c r="M820">
        <v>23.581643375870701</v>
      </c>
      <c r="N820">
        <v>47.9153750969896</v>
      </c>
      <c r="O820">
        <v>47.424470355103601</v>
      </c>
      <c r="P820">
        <v>-0.119850811301679</v>
      </c>
      <c r="Q820">
        <v>3.59001204368408E-2</v>
      </c>
      <c r="R820">
        <v>0.99910452185148901</v>
      </c>
      <c r="S820" t="s">
        <v>4652</v>
      </c>
      <c r="T820" t="s">
        <v>7662</v>
      </c>
      <c r="U820" t="s">
        <v>7662</v>
      </c>
      <c r="V820" t="s">
        <v>7662</v>
      </c>
      <c r="W820">
        <v>14</v>
      </c>
      <c r="X820" t="s">
        <v>8482</v>
      </c>
      <c r="Y820">
        <v>0.29507593067490462</v>
      </c>
      <c r="Z820" t="str">
        <f>HYPERLINK("Melting_Curves/meltCurve_sp_P28331_NDUS1_HUMAN_.pdf", "Melting_Curves/meltCurve_sp_P28331_NDUS1_HUMAN_.pdf")</f>
        <v>Melting_Curves/meltCurve_sp_P28331_NDUS1_HUMAN_.pdf</v>
      </c>
      <c r="AA820" t="s">
        <v>12298</v>
      </c>
      <c r="AB820" t="s">
        <v>16061</v>
      </c>
    </row>
    <row r="821" spans="1:28" x14ac:dyDescent="0.25">
      <c r="A821" t="s">
        <v>825</v>
      </c>
      <c r="B821">
        <v>0.98876768158843997</v>
      </c>
      <c r="C821">
        <v>0.96592354275916303</v>
      </c>
      <c r="D821">
        <v>0.91109529892105401</v>
      </c>
      <c r="E821">
        <v>0.84556905356251499</v>
      </c>
      <c r="F821">
        <v>0.824837239766817</v>
      </c>
      <c r="G821">
        <v>0.60918563678454496</v>
      </c>
      <c r="H821">
        <v>0.50288803537048898</v>
      </c>
      <c r="I821">
        <v>0.48663515270591601</v>
      </c>
      <c r="J821">
        <v>0.407460067631149</v>
      </c>
      <c r="K821">
        <v>0.34347652463563799</v>
      </c>
      <c r="L821">
        <v>521.80493865593201</v>
      </c>
      <c r="M821">
        <v>8.9589825305398492</v>
      </c>
      <c r="N821">
        <v>62.074373101562699</v>
      </c>
      <c r="O821">
        <v>55.5612966041449</v>
      </c>
      <c r="P821">
        <v>-3.1774691857655302E-2</v>
      </c>
      <c r="Q821">
        <v>0.21234824838904301</v>
      </c>
      <c r="R821">
        <v>0.98772785401532104</v>
      </c>
      <c r="S821" t="s">
        <v>4653</v>
      </c>
      <c r="T821" t="s">
        <v>7662</v>
      </c>
      <c r="U821" t="s">
        <v>7662</v>
      </c>
      <c r="V821" t="s">
        <v>7662</v>
      </c>
      <c r="W821">
        <v>16</v>
      </c>
      <c r="X821" t="s">
        <v>8483</v>
      </c>
      <c r="Y821">
        <v>0.69556488327337029</v>
      </c>
      <c r="Z821" t="str">
        <f>HYPERLINK("Melting_Curves/meltCurve_sp_P28332_ADH6_HUMAN_.pdf", "Melting_Curves/meltCurve_sp_P28332_ADH6_HUMAN_.pdf")</f>
        <v>Melting_Curves/meltCurve_sp_P28332_ADH6_HUMAN_.pdf</v>
      </c>
      <c r="AA821" t="s">
        <v>12299</v>
      </c>
      <c r="AB821" t="s">
        <v>16062</v>
      </c>
    </row>
    <row r="822" spans="1:28" x14ac:dyDescent="0.25">
      <c r="A822" t="s">
        <v>826</v>
      </c>
      <c r="B822">
        <v>0.98876768158843997</v>
      </c>
      <c r="C822">
        <v>0.90527380550406999</v>
      </c>
      <c r="D822">
        <v>0.84091289675070602</v>
      </c>
      <c r="E822">
        <v>0.67340673978677001</v>
      </c>
      <c r="F822">
        <v>0.46758843610513801</v>
      </c>
      <c r="G822">
        <v>0.27894165157422102</v>
      </c>
      <c r="H822">
        <v>0.174581951630492</v>
      </c>
      <c r="I822">
        <v>0.123419031407491</v>
      </c>
      <c r="J822">
        <v>0.13569770264958</v>
      </c>
      <c r="K822">
        <v>0.11697558843335901</v>
      </c>
      <c r="L822">
        <v>679.03715301118098</v>
      </c>
      <c r="M822">
        <v>13.107457527689601</v>
      </c>
      <c r="N822">
        <v>52.440075987848203</v>
      </c>
      <c r="O822">
        <v>50.644069982454297</v>
      </c>
      <c r="P822">
        <v>-5.9968256246207503E-2</v>
      </c>
      <c r="Q822">
        <v>7.3346747530736403E-2</v>
      </c>
      <c r="R822">
        <v>0.99681736386126296</v>
      </c>
      <c r="S822" t="s">
        <v>4654</v>
      </c>
      <c r="T822" t="s">
        <v>7662</v>
      </c>
      <c r="U822" t="s">
        <v>7662</v>
      </c>
      <c r="V822" t="s">
        <v>7662</v>
      </c>
      <c r="W822">
        <v>5</v>
      </c>
      <c r="X822" t="s">
        <v>8484</v>
      </c>
      <c r="Y822">
        <v>0.46346978933092459</v>
      </c>
      <c r="Z822" t="str">
        <f>HYPERLINK("Melting_Curves/meltCurve_sp_P28340_DPOD1_HUMAN_.pdf", "Melting_Curves/meltCurve_sp_P28340_DPOD1_HUMAN_.pdf")</f>
        <v>Melting_Curves/meltCurve_sp_P28340_DPOD1_HUMAN_.pdf</v>
      </c>
      <c r="AA822" t="s">
        <v>12300</v>
      </c>
      <c r="AB822" t="s">
        <v>16063</v>
      </c>
    </row>
    <row r="823" spans="1:28" x14ac:dyDescent="0.25">
      <c r="A823" t="s">
        <v>827</v>
      </c>
      <c r="B823">
        <v>0.98876768158843997</v>
      </c>
      <c r="C823">
        <v>1.0888334632066099</v>
      </c>
      <c r="D823">
        <v>0.90272589802632297</v>
      </c>
      <c r="E823">
        <v>0.73009759489821102</v>
      </c>
      <c r="F823">
        <v>0.57969672697680896</v>
      </c>
      <c r="G823">
        <v>0.16641726202452101</v>
      </c>
      <c r="H823">
        <v>6.47919695518369E-2</v>
      </c>
      <c r="I823">
        <v>4.8562113642935598E-2</v>
      </c>
      <c r="J823">
        <v>6.5256141104981194E-2</v>
      </c>
      <c r="K823">
        <v>6.5299764036166899E-2</v>
      </c>
      <c r="L823">
        <v>1083.6732033932601</v>
      </c>
      <c r="M823">
        <v>20.478740401282501</v>
      </c>
      <c r="N823">
        <v>53.084724299257402</v>
      </c>
      <c r="O823">
        <v>52.420146515192599</v>
      </c>
      <c r="P823">
        <v>-9.4609268379858599E-2</v>
      </c>
      <c r="Q823">
        <v>3.1330129484726098E-2</v>
      </c>
      <c r="R823">
        <v>0.98583587316203802</v>
      </c>
      <c r="S823" t="s">
        <v>4655</v>
      </c>
      <c r="T823" t="s">
        <v>7662</v>
      </c>
      <c r="U823" t="s">
        <v>7662</v>
      </c>
      <c r="V823" t="s">
        <v>7662</v>
      </c>
      <c r="W823">
        <v>10</v>
      </c>
      <c r="X823" t="s">
        <v>8485</v>
      </c>
      <c r="Y823">
        <v>0.46120573404763782</v>
      </c>
      <c r="Z823" t="str">
        <f>HYPERLINK("Melting_Curves/meltCurve_sp_P28482_MK01_HUMAN_.pdf", "Melting_Curves/meltCurve_sp_P28482_MK01_HUMAN_.pdf")</f>
        <v>Melting_Curves/meltCurve_sp_P28482_MK01_HUMAN_.pdf</v>
      </c>
      <c r="AA823" t="s">
        <v>12301</v>
      </c>
      <c r="AB823" t="s">
        <v>16064</v>
      </c>
    </row>
    <row r="824" spans="1:28" x14ac:dyDescent="0.25">
      <c r="A824" t="s">
        <v>828</v>
      </c>
      <c r="B824">
        <v>0.98876768158843997</v>
      </c>
      <c r="C824">
        <v>0.82792189490009205</v>
      </c>
      <c r="D824">
        <v>0.84402323669782997</v>
      </c>
      <c r="E824">
        <v>0.77594357832185001</v>
      </c>
      <c r="F824">
        <v>0.51647756677795598</v>
      </c>
      <c r="G824">
        <v>0.33766786642000701</v>
      </c>
      <c r="H824">
        <v>0.253049579151714</v>
      </c>
      <c r="I824">
        <v>0.20349782603468999</v>
      </c>
      <c r="J824">
        <v>0.28837300674750899</v>
      </c>
      <c r="K824">
        <v>0.27445549273597603</v>
      </c>
      <c r="L824">
        <v>693.79583971899501</v>
      </c>
      <c r="M824">
        <v>13.4768818905785</v>
      </c>
      <c r="N824">
        <v>53.579285913505402</v>
      </c>
      <c r="O824">
        <v>50.386596009550303</v>
      </c>
      <c r="P824">
        <v>-5.3161955315167403E-2</v>
      </c>
      <c r="Q824">
        <v>0.205086334649553</v>
      </c>
      <c r="R824">
        <v>0.95622878068679495</v>
      </c>
      <c r="S824" t="s">
        <v>4656</v>
      </c>
      <c r="T824" t="s">
        <v>7662</v>
      </c>
      <c r="U824" t="s">
        <v>7662</v>
      </c>
      <c r="V824" t="s">
        <v>7662</v>
      </c>
      <c r="W824">
        <v>1</v>
      </c>
      <c r="X824" t="s">
        <v>8486</v>
      </c>
      <c r="Y824">
        <v>0.53061452320629565</v>
      </c>
      <c r="Z824" t="str">
        <f>HYPERLINK("Melting_Curves/meltCurve_sp_P28715_ERCC5_HUMAN_.pdf", "Melting_Curves/meltCurve_sp_P28715_ERCC5_HUMAN_.pdf")</f>
        <v>Melting_Curves/meltCurve_sp_P28715_ERCC5_HUMAN_.pdf</v>
      </c>
      <c r="AA824" t="s">
        <v>12302</v>
      </c>
      <c r="AB824" t="s">
        <v>16065</v>
      </c>
    </row>
    <row r="825" spans="1:28" x14ac:dyDescent="0.25">
      <c r="A825" t="s">
        <v>829</v>
      </c>
      <c r="B825">
        <v>0.98876768158843997</v>
      </c>
      <c r="C825">
        <v>1.2383946573934299</v>
      </c>
      <c r="D825">
        <v>0.85141016656864998</v>
      </c>
      <c r="E825">
        <v>0.70387980624331004</v>
      </c>
      <c r="F825">
        <v>0.90039076380032201</v>
      </c>
      <c r="G825">
        <v>0.63453246192903601</v>
      </c>
      <c r="H825">
        <v>0.511432838786819</v>
      </c>
      <c r="I825">
        <v>0.67538036904770804</v>
      </c>
      <c r="J825">
        <v>0.91425219825045101</v>
      </c>
      <c r="K825">
        <v>1.0489021577032001</v>
      </c>
      <c r="L825">
        <v>11472.4214384881</v>
      </c>
      <c r="M825">
        <v>250</v>
      </c>
      <c r="O825">
        <v>45.886761422966103</v>
      </c>
      <c r="P825">
        <v>-0.31351048416461003</v>
      </c>
      <c r="Q825">
        <v>0.76982436908572005</v>
      </c>
      <c r="R825">
        <v>0.36828312884468101</v>
      </c>
      <c r="S825" t="s">
        <v>4657</v>
      </c>
      <c r="T825" t="s">
        <v>7662</v>
      </c>
      <c r="U825" t="s">
        <v>7662</v>
      </c>
      <c r="V825" t="s">
        <v>7662</v>
      </c>
      <c r="W825">
        <v>5</v>
      </c>
      <c r="X825" t="s">
        <v>8487</v>
      </c>
      <c r="Y825">
        <v>0.81503164424775143</v>
      </c>
      <c r="Z825" t="str">
        <f>HYPERLINK("Melting_Curves/meltCurve_sp_P28799_GRN_HUMAN_.pdf", "Melting_Curves/meltCurve_sp_P28799_GRN_HUMAN_.pdf")</f>
        <v>Melting_Curves/meltCurve_sp_P28799_GRN_HUMAN_.pdf</v>
      </c>
      <c r="AA825" t="s">
        <v>12303</v>
      </c>
      <c r="AB825" t="s">
        <v>16066</v>
      </c>
    </row>
    <row r="826" spans="1:28" x14ac:dyDescent="0.25">
      <c r="A826" t="s">
        <v>830</v>
      </c>
      <c r="B826">
        <v>0.98876768158843997</v>
      </c>
      <c r="C826">
        <v>0.54174909805030702</v>
      </c>
      <c r="D826">
        <v>0.98380948561206805</v>
      </c>
      <c r="E826">
        <v>0.70887481318972501</v>
      </c>
      <c r="F826">
        <v>0.41730848603370602</v>
      </c>
      <c r="G826">
        <v>0.28248540236497399</v>
      </c>
      <c r="H826">
        <v>0.14502836144388101</v>
      </c>
      <c r="I826">
        <v>7.83732622776529E-2</v>
      </c>
      <c r="J826">
        <v>4.5756088910992102E-2</v>
      </c>
      <c r="K826">
        <v>3.3401058676603701E-2</v>
      </c>
      <c r="L826">
        <v>591.407804625891</v>
      </c>
      <c r="M826">
        <v>11.3322029045615</v>
      </c>
      <c r="N826">
        <v>52.188239166437299</v>
      </c>
      <c r="O826">
        <v>50.642327675787897</v>
      </c>
      <c r="P826">
        <v>-5.5959176525449003E-2</v>
      </c>
      <c r="Q826">
        <v>0</v>
      </c>
      <c r="R826">
        <v>0.85301850140122903</v>
      </c>
      <c r="S826" t="s">
        <v>4658</v>
      </c>
      <c r="T826" t="s">
        <v>7662</v>
      </c>
      <c r="U826" t="s">
        <v>7662</v>
      </c>
      <c r="V826" t="s">
        <v>7662</v>
      </c>
      <c r="W826">
        <v>33</v>
      </c>
      <c r="X826" t="s">
        <v>8488</v>
      </c>
      <c r="Y826">
        <v>0.43867806440065582</v>
      </c>
      <c r="Z826" t="str">
        <f>HYPERLINK("Melting_Curves/meltCurve_sp_P28838_AMPL_HUMAN_.pdf", "Melting_Curves/meltCurve_sp_P28838_AMPL_HUMAN_.pdf")</f>
        <v>Melting_Curves/meltCurve_sp_P28838_AMPL_HUMAN_.pdf</v>
      </c>
      <c r="AA826" t="s">
        <v>12304</v>
      </c>
      <c r="AB826" t="s">
        <v>16067</v>
      </c>
    </row>
    <row r="827" spans="1:28" x14ac:dyDescent="0.25">
      <c r="A827" t="s">
        <v>831</v>
      </c>
      <c r="B827">
        <v>0.98876768158843997</v>
      </c>
      <c r="C827">
        <v>0.85303201335423495</v>
      </c>
      <c r="D827">
        <v>0.93696144027557404</v>
      </c>
      <c r="E827">
        <v>0.43145595417205002</v>
      </c>
      <c r="F827">
        <v>0.16901637572544101</v>
      </c>
      <c r="G827">
        <v>9.0788117873400201E-2</v>
      </c>
      <c r="H827">
        <v>5.3594471858101997E-2</v>
      </c>
      <c r="I827">
        <v>4.9899006328856001E-2</v>
      </c>
      <c r="J827">
        <v>5.2109179448253898E-2</v>
      </c>
      <c r="K827">
        <v>5.1331618906381403E-2</v>
      </c>
      <c r="L827">
        <v>1427.0346273458299</v>
      </c>
      <c r="M827">
        <v>28.906457285624601</v>
      </c>
      <c r="N827">
        <v>49.5627977324746</v>
      </c>
      <c r="O827">
        <v>49.1328625060167</v>
      </c>
      <c r="P827">
        <v>-0.139160570188785</v>
      </c>
      <c r="Q827">
        <v>5.3871319382977803E-2</v>
      </c>
      <c r="R827">
        <v>0.98614723419927497</v>
      </c>
      <c r="S827" t="s">
        <v>4659</v>
      </c>
      <c r="T827" t="s">
        <v>7662</v>
      </c>
      <c r="U827" t="s">
        <v>7662</v>
      </c>
      <c r="V827" t="s">
        <v>7662</v>
      </c>
      <c r="W827">
        <v>21</v>
      </c>
      <c r="X827" t="s">
        <v>8489</v>
      </c>
      <c r="Y827">
        <v>0.35554442812519682</v>
      </c>
      <c r="Z827" t="str">
        <f>HYPERLINK("Melting_Curves/meltCurve_sp_P29144_TPP2_HUMAN_.pdf", "Melting_Curves/meltCurve_sp_P29144_TPP2_HUMAN_.pdf")</f>
        <v>Melting_Curves/meltCurve_sp_P29144_TPP2_HUMAN_.pdf</v>
      </c>
      <c r="AA827" t="s">
        <v>12305</v>
      </c>
      <c r="AB827" t="s">
        <v>16068</v>
      </c>
    </row>
    <row r="828" spans="1:28" x14ac:dyDescent="0.25">
      <c r="A828" t="s">
        <v>832</v>
      </c>
      <c r="B828">
        <v>0.98876768158843997</v>
      </c>
      <c r="C828">
        <v>0.98202919341537798</v>
      </c>
      <c r="D828">
        <v>0.83119055404110798</v>
      </c>
      <c r="E828">
        <v>0.28339267106548699</v>
      </c>
      <c r="F828">
        <v>0.130154579689297</v>
      </c>
      <c r="G828">
        <v>7.7498847084237293E-2</v>
      </c>
      <c r="H828">
        <v>5.1811637121593701E-2</v>
      </c>
      <c r="I828">
        <v>4.82259846199284E-2</v>
      </c>
      <c r="J828">
        <v>6.4790960295384004E-2</v>
      </c>
      <c r="K828">
        <v>5.5716793186601499E-2</v>
      </c>
      <c r="L828">
        <v>1496.2249567440799</v>
      </c>
      <c r="M828">
        <v>31.037653652788698</v>
      </c>
      <c r="N828">
        <v>48.404939219789398</v>
      </c>
      <c r="O828">
        <v>48.007985947962297</v>
      </c>
      <c r="P828">
        <v>-0.15198515579175101</v>
      </c>
      <c r="Q828">
        <v>5.9663689517756899E-2</v>
      </c>
      <c r="R828">
        <v>0.99944015196649705</v>
      </c>
      <c r="S828" t="s">
        <v>4660</v>
      </c>
      <c r="T828" t="s">
        <v>7662</v>
      </c>
      <c r="U828" t="s">
        <v>7662</v>
      </c>
      <c r="V828" t="s">
        <v>7662</v>
      </c>
      <c r="W828">
        <v>15</v>
      </c>
      <c r="X828" t="s">
        <v>8490</v>
      </c>
      <c r="Y828">
        <v>0.32218525565431888</v>
      </c>
      <c r="Z828" t="str">
        <f>HYPERLINK("Melting_Curves/meltCurve_sp_P29350_PTN6_HUMAN_.pdf", "Melting_Curves/meltCurve_sp_P29350_PTN6_HUMAN_.pdf")</f>
        <v>Melting_Curves/meltCurve_sp_P29350_PTN6_HUMAN_.pdf</v>
      </c>
      <c r="AA828" t="s">
        <v>12306</v>
      </c>
      <c r="AB828" t="s">
        <v>16069</v>
      </c>
    </row>
    <row r="829" spans="1:28" x14ac:dyDescent="0.25">
      <c r="A829" t="s">
        <v>833</v>
      </c>
      <c r="B829">
        <v>0.98876768158843997</v>
      </c>
      <c r="C829">
        <v>1.0041760370875401</v>
      </c>
      <c r="D829">
        <v>0.81823881311893398</v>
      </c>
      <c r="E829">
        <v>0.65145581729842905</v>
      </c>
      <c r="F829">
        <v>0.607122266398332</v>
      </c>
      <c r="G829">
        <v>0.36654215945005503</v>
      </c>
      <c r="H829">
        <v>0.224829607029777</v>
      </c>
      <c r="I829">
        <v>0.18459142877254101</v>
      </c>
      <c r="J829">
        <v>0.16382357053265101</v>
      </c>
      <c r="K829">
        <v>0.188404017273063</v>
      </c>
      <c r="L829">
        <v>625.17896082336699</v>
      </c>
      <c r="M829">
        <v>11.8572384434258</v>
      </c>
      <c r="N829">
        <v>53.812331134146902</v>
      </c>
      <c r="O829">
        <v>51.292891454636603</v>
      </c>
      <c r="P829">
        <v>-5.1651227058337301E-2</v>
      </c>
      <c r="Q829">
        <v>0.10647928296091599</v>
      </c>
      <c r="R829">
        <v>0.98546409422433701</v>
      </c>
      <c r="S829" t="s">
        <v>4661</v>
      </c>
      <c r="T829" t="s">
        <v>7662</v>
      </c>
      <c r="U829" t="s">
        <v>7662</v>
      </c>
      <c r="V829" t="s">
        <v>7662</v>
      </c>
      <c r="W829">
        <v>7</v>
      </c>
      <c r="X829" t="s">
        <v>8491</v>
      </c>
      <c r="Y829">
        <v>0.51183709933215937</v>
      </c>
      <c r="Z829" t="str">
        <f>HYPERLINK("Melting_Curves/meltCurve_sp_P29353_7_SHC1_HUMAN_.pdf", "Melting_Curves/meltCurve_sp_P29353_7_SHC1_HUMAN_.pdf")</f>
        <v>Melting_Curves/meltCurve_sp_P29353_7_SHC1_HUMAN_.pdf</v>
      </c>
      <c r="AA829" t="s">
        <v>12307</v>
      </c>
      <c r="AB829" t="s">
        <v>16070</v>
      </c>
    </row>
    <row r="830" spans="1:28" x14ac:dyDescent="0.25">
      <c r="A830" t="s">
        <v>834</v>
      </c>
      <c r="B830">
        <v>0.98876768158843997</v>
      </c>
      <c r="C830">
        <v>1.09401478129956</v>
      </c>
      <c r="D830">
        <v>0.88952480584813398</v>
      </c>
      <c r="E830">
        <v>0.60065769874731001</v>
      </c>
      <c r="F830">
        <v>0.36258590446336902</v>
      </c>
      <c r="G830">
        <v>0.21832156480409001</v>
      </c>
      <c r="H830">
        <v>0.12341633968478299</v>
      </c>
      <c r="I830">
        <v>0.123016687398933</v>
      </c>
      <c r="J830">
        <v>0.14326730215144101</v>
      </c>
      <c r="K830">
        <v>0.15635927516675999</v>
      </c>
      <c r="L830">
        <v>1134.4336379271799</v>
      </c>
      <c r="M830">
        <v>22.4885824380369</v>
      </c>
      <c r="N830">
        <v>51.161197456277002</v>
      </c>
      <c r="O830">
        <v>50.051072470637997</v>
      </c>
      <c r="P830">
        <v>-9.7158900944451301E-2</v>
      </c>
      <c r="Q830">
        <v>0.13506198603521199</v>
      </c>
      <c r="R830">
        <v>0.989035600371162</v>
      </c>
      <c r="S830" t="s">
        <v>4662</v>
      </c>
      <c r="T830" t="s">
        <v>7662</v>
      </c>
      <c r="U830" t="s">
        <v>7662</v>
      </c>
      <c r="V830" t="s">
        <v>7662</v>
      </c>
      <c r="W830">
        <v>2</v>
      </c>
      <c r="X830" t="s">
        <v>8492</v>
      </c>
      <c r="Y830">
        <v>0.44577698171651797</v>
      </c>
      <c r="Z830" t="str">
        <f>HYPERLINK("Melting_Curves/meltCurve_sp_P29372_5_3MG_HUMAN_.pdf", "Melting_Curves/meltCurve_sp_P29372_5_3MG_HUMAN_.pdf")</f>
        <v>Melting_Curves/meltCurve_sp_P29372_5_3MG_HUMAN_.pdf</v>
      </c>
      <c r="AA830" t="s">
        <v>12308</v>
      </c>
      <c r="AB830" t="s">
        <v>16071</v>
      </c>
    </row>
    <row r="831" spans="1:28" x14ac:dyDescent="0.25">
      <c r="A831" t="s">
        <v>835</v>
      </c>
      <c r="B831">
        <v>0.98876768158843997</v>
      </c>
      <c r="C831">
        <v>0.82623578474861703</v>
      </c>
      <c r="D831">
        <v>0.99870240763943796</v>
      </c>
      <c r="E831">
        <v>0.94989230680522396</v>
      </c>
      <c r="F831">
        <v>0.71416333241908403</v>
      </c>
      <c r="G831">
        <v>0.58984881726812399</v>
      </c>
      <c r="H831">
        <v>0.60040824743102705</v>
      </c>
      <c r="I831">
        <v>0.76859576571041799</v>
      </c>
      <c r="J831">
        <v>0.63529898188466405</v>
      </c>
      <c r="K831">
        <v>0.29485441878901603</v>
      </c>
      <c r="L831">
        <v>324.57234355910299</v>
      </c>
      <c r="M831">
        <v>4.7633649439566002</v>
      </c>
      <c r="N831">
        <v>68.139298869014794</v>
      </c>
      <c r="O831">
        <v>58.776490398948503</v>
      </c>
      <c r="P831">
        <v>-2.0406926604483799E-2</v>
      </c>
      <c r="Q831">
        <v>0</v>
      </c>
      <c r="R831">
        <v>0.68375892720664799</v>
      </c>
      <c r="S831" t="s">
        <v>4663</v>
      </c>
      <c r="T831" t="s">
        <v>7662</v>
      </c>
      <c r="U831" t="s">
        <v>7662</v>
      </c>
      <c r="V831" t="s">
        <v>7662</v>
      </c>
      <c r="W831">
        <v>33</v>
      </c>
      <c r="X831" t="s">
        <v>8493</v>
      </c>
      <c r="Y831">
        <v>0.74362898889269224</v>
      </c>
      <c r="Z831" t="str">
        <f>HYPERLINK("Melting_Curves/meltCurve_sp_P29401_TKT_HUMAN_.pdf", "Melting_Curves/meltCurve_sp_P29401_TKT_HUMAN_.pdf")</f>
        <v>Melting_Curves/meltCurve_sp_P29401_TKT_HUMAN_.pdf</v>
      </c>
      <c r="AA831" t="s">
        <v>12309</v>
      </c>
      <c r="AB831" t="s">
        <v>16072</v>
      </c>
    </row>
    <row r="832" spans="1:28" x14ac:dyDescent="0.25">
      <c r="A832" t="s">
        <v>836</v>
      </c>
      <c r="B832">
        <v>0.98876768158843997</v>
      </c>
      <c r="C832">
        <v>1.02833410186316</v>
      </c>
      <c r="D832">
        <v>0.94681674318072095</v>
      </c>
      <c r="E832">
        <v>0.82064613783518103</v>
      </c>
      <c r="F832">
        <v>0.68528949280914597</v>
      </c>
      <c r="G832">
        <v>0.45451153188725701</v>
      </c>
      <c r="H832">
        <v>0.32907686482544901</v>
      </c>
      <c r="I832">
        <v>0.35837364516131498</v>
      </c>
      <c r="J832">
        <v>0.44906579247234302</v>
      </c>
      <c r="K832">
        <v>0.473573733607908</v>
      </c>
      <c r="L832">
        <v>1261.44379548246</v>
      </c>
      <c r="M832">
        <v>24.1585065833196</v>
      </c>
      <c r="N832">
        <v>55.871682124203701</v>
      </c>
      <c r="O832">
        <v>51.861475604445999</v>
      </c>
      <c r="P832">
        <v>-7.0211260207833498E-2</v>
      </c>
      <c r="Q832">
        <v>0.39711446907998199</v>
      </c>
      <c r="R832">
        <v>0.96730539828105</v>
      </c>
      <c r="S832" t="s">
        <v>4664</v>
      </c>
      <c r="T832" t="s">
        <v>7662</v>
      </c>
      <c r="U832" t="s">
        <v>7662</v>
      </c>
      <c r="V832" t="s">
        <v>7662</v>
      </c>
      <c r="W832">
        <v>9</v>
      </c>
      <c r="X832" t="s">
        <v>8494</v>
      </c>
      <c r="Y832">
        <v>0.64848263295420383</v>
      </c>
      <c r="Z832" t="str">
        <f>HYPERLINK("Melting_Curves/meltCurve_sp_P29590_PML_HUMAN_.pdf", "Melting_Curves/meltCurve_sp_P29590_PML_HUMAN_.pdf")</f>
        <v>Melting_Curves/meltCurve_sp_P29590_PML_HUMAN_.pdf</v>
      </c>
      <c r="AA832" t="s">
        <v>12310</v>
      </c>
      <c r="AB832" t="s">
        <v>16073</v>
      </c>
    </row>
    <row r="833" spans="1:28" x14ac:dyDescent="0.25">
      <c r="A833" t="s">
        <v>837</v>
      </c>
      <c r="B833">
        <v>0.98876768158843997</v>
      </c>
      <c r="C833">
        <v>0.91927899956702797</v>
      </c>
      <c r="D833">
        <v>0.89052196371522796</v>
      </c>
      <c r="E833">
        <v>0.80408079803025201</v>
      </c>
      <c r="F833">
        <v>0.62481064186954405</v>
      </c>
      <c r="G833">
        <v>0.31065953913494898</v>
      </c>
      <c r="H833">
        <v>0.14621425835915</v>
      </c>
      <c r="I833">
        <v>9.7240652648627399E-2</v>
      </c>
      <c r="J833">
        <v>0.172224115798461</v>
      </c>
      <c r="K833">
        <v>3.6213552083822702E-2</v>
      </c>
      <c r="L833">
        <v>854.18291024005305</v>
      </c>
      <c r="M833">
        <v>15.8302015853725</v>
      </c>
      <c r="N833">
        <v>54.2853444442501</v>
      </c>
      <c r="O833">
        <v>53.120006411394698</v>
      </c>
      <c r="P833">
        <v>-7.1127046151537393E-2</v>
      </c>
      <c r="Q833">
        <v>4.5379145233734097E-2</v>
      </c>
      <c r="R833">
        <v>0.985890410513242</v>
      </c>
      <c r="S833" t="s">
        <v>4665</v>
      </c>
      <c r="T833" t="s">
        <v>7662</v>
      </c>
      <c r="U833" t="s">
        <v>7662</v>
      </c>
      <c r="V833" t="s">
        <v>7662</v>
      </c>
      <c r="W833">
        <v>1</v>
      </c>
      <c r="X833" t="s">
        <v>8495</v>
      </c>
      <c r="Y833">
        <v>0.50788450621812908</v>
      </c>
      <c r="Z833" t="str">
        <f>HYPERLINK("Melting_Curves/meltCurve_sp_P29622_KAIN_HUMAN_.pdf", "Melting_Curves/meltCurve_sp_P29622_KAIN_HUMAN_.pdf")</f>
        <v>Melting_Curves/meltCurve_sp_P29622_KAIN_HUMAN_.pdf</v>
      </c>
      <c r="AA833" t="s">
        <v>12311</v>
      </c>
      <c r="AB833" t="s">
        <v>16074</v>
      </c>
    </row>
    <row r="834" spans="1:28" x14ac:dyDescent="0.25">
      <c r="A834" t="s">
        <v>838</v>
      </c>
      <c r="B834">
        <v>0.98876768158843997</v>
      </c>
      <c r="C834">
        <v>0.96093848034431495</v>
      </c>
      <c r="D834">
        <v>0.89103510864618996</v>
      </c>
      <c r="E834">
        <v>0.75237169123979797</v>
      </c>
      <c r="F834">
        <v>0.89141368460613002</v>
      </c>
      <c r="G834">
        <v>0.74678579007169799</v>
      </c>
      <c r="H834">
        <v>0.54772387053183902</v>
      </c>
      <c r="I834">
        <v>0.58725407129798601</v>
      </c>
      <c r="J834">
        <v>0.64760190789546601</v>
      </c>
      <c r="K834">
        <v>0.85431784864517801</v>
      </c>
      <c r="L834">
        <v>627.60681748536001</v>
      </c>
      <c r="M834">
        <v>12.7417115784431</v>
      </c>
      <c r="O834">
        <v>48.090082963675499</v>
      </c>
      <c r="P834">
        <v>-2.20823266742863E-2</v>
      </c>
      <c r="Q834">
        <v>0.66668886244377001</v>
      </c>
      <c r="R834">
        <v>0.60480062595411099</v>
      </c>
      <c r="S834" t="s">
        <v>4666</v>
      </c>
      <c r="T834" t="s">
        <v>7662</v>
      </c>
      <c r="U834" t="s">
        <v>7662</v>
      </c>
      <c r="V834" t="s">
        <v>7662</v>
      </c>
      <c r="W834">
        <v>4</v>
      </c>
      <c r="X834" t="s">
        <v>8496</v>
      </c>
      <c r="Y834">
        <v>0.7804307611268203</v>
      </c>
      <c r="Z834" t="str">
        <f>HYPERLINK("Melting_Curves/meltCurve_sp_P29966_MARCS_HUMAN_.pdf", "Melting_Curves/meltCurve_sp_P29966_MARCS_HUMAN_.pdf")</f>
        <v>Melting_Curves/meltCurve_sp_P29966_MARCS_HUMAN_.pdf</v>
      </c>
      <c r="AA834" t="s">
        <v>12312</v>
      </c>
      <c r="AB834" t="s">
        <v>16075</v>
      </c>
    </row>
    <row r="835" spans="1:28" x14ac:dyDescent="0.25">
      <c r="A835" t="s">
        <v>839</v>
      </c>
      <c r="B835">
        <v>0.98876768158843997</v>
      </c>
      <c r="C835">
        <v>0.65835044247119401</v>
      </c>
      <c r="D835">
        <v>0.249421591391978</v>
      </c>
      <c r="E835">
        <v>9.7076016886023506E-2</v>
      </c>
      <c r="F835">
        <v>5.1766699669708802E-2</v>
      </c>
      <c r="G835">
        <v>2.8253150503034601E-2</v>
      </c>
      <c r="H835">
        <v>1.7989646626348901E-2</v>
      </c>
      <c r="I835">
        <v>1.5841636091565699E-2</v>
      </c>
      <c r="J835">
        <v>1.7189261083354099E-2</v>
      </c>
      <c r="K835">
        <v>1.7231009640650701E-2</v>
      </c>
      <c r="L835">
        <v>1219.6898474785701</v>
      </c>
      <c r="M835">
        <v>27.7371864085315</v>
      </c>
      <c r="N835">
        <v>44.065049860238297</v>
      </c>
      <c r="O835">
        <v>43.746430989847703</v>
      </c>
      <c r="P835">
        <v>-0.15405449890519299</v>
      </c>
      <c r="Q835">
        <v>2.8124314646797401E-2</v>
      </c>
      <c r="R835">
        <v>0.99559093203351001</v>
      </c>
      <c r="S835" t="s">
        <v>4667</v>
      </c>
      <c r="T835" t="s">
        <v>7662</v>
      </c>
      <c r="U835" t="s">
        <v>7662</v>
      </c>
      <c r="V835" t="s">
        <v>7662</v>
      </c>
      <c r="W835">
        <v>26</v>
      </c>
      <c r="X835" t="s">
        <v>8497</v>
      </c>
      <c r="Y835">
        <v>0.16549824704424351</v>
      </c>
      <c r="Z835" t="str">
        <f>HYPERLINK("Melting_Curves/meltCurve_sp_P30038_AL4A1_HUMAN_.pdf", "Melting_Curves/meltCurve_sp_P30038_AL4A1_HUMAN_.pdf")</f>
        <v>Melting_Curves/meltCurve_sp_P30038_AL4A1_HUMAN_.pdf</v>
      </c>
      <c r="AA835" t="s">
        <v>12313</v>
      </c>
      <c r="AB835" t="s">
        <v>16076</v>
      </c>
    </row>
    <row r="836" spans="1:28" x14ac:dyDescent="0.25">
      <c r="A836" t="s">
        <v>840</v>
      </c>
      <c r="B836">
        <v>0.98876768158843997</v>
      </c>
      <c r="C836">
        <v>1.01042360233965</v>
      </c>
      <c r="D836">
        <v>0.849952104021929</v>
      </c>
      <c r="E836">
        <v>0.77325353552790999</v>
      </c>
      <c r="F836">
        <v>0.733523062788632</v>
      </c>
      <c r="G836">
        <v>0.37014913310866498</v>
      </c>
      <c r="H836">
        <v>0.117634447463871</v>
      </c>
      <c r="I836">
        <v>9.39433042324406E-2</v>
      </c>
      <c r="J836">
        <v>0.11273805898104899</v>
      </c>
      <c r="K836">
        <v>0.107207547214884</v>
      </c>
      <c r="L836">
        <v>878.61385696197203</v>
      </c>
      <c r="M836">
        <v>16.058571323803001</v>
      </c>
      <c r="N836">
        <v>54.9777065251251</v>
      </c>
      <c r="O836">
        <v>53.885723486346301</v>
      </c>
      <c r="P836">
        <v>-7.1737536619482706E-2</v>
      </c>
      <c r="Q836">
        <v>3.7192121648229701E-2</v>
      </c>
      <c r="R836">
        <v>0.97678893600132699</v>
      </c>
      <c r="S836" t="s">
        <v>4668</v>
      </c>
      <c r="T836" t="s">
        <v>7662</v>
      </c>
      <c r="U836" t="s">
        <v>7662</v>
      </c>
      <c r="V836" t="s">
        <v>7662</v>
      </c>
      <c r="W836">
        <v>18</v>
      </c>
      <c r="X836" t="s">
        <v>8498</v>
      </c>
      <c r="Y836">
        <v>0.52686971469265198</v>
      </c>
      <c r="Z836" t="str">
        <f>HYPERLINK("Melting_Curves/meltCurve_sp_P30039_PBLD_HUMAN_.pdf", "Melting_Curves/meltCurve_sp_P30039_PBLD_HUMAN_.pdf")</f>
        <v>Melting_Curves/meltCurve_sp_P30039_PBLD_HUMAN_.pdf</v>
      </c>
      <c r="AA836" t="s">
        <v>12314</v>
      </c>
      <c r="AB836" t="s">
        <v>16077</v>
      </c>
    </row>
    <row r="837" spans="1:28" x14ac:dyDescent="0.25">
      <c r="A837" t="s">
        <v>841</v>
      </c>
      <c r="B837">
        <v>0.98876768158843997</v>
      </c>
      <c r="C837">
        <v>1.1063975135258</v>
      </c>
      <c r="D837">
        <v>0.883703815475814</v>
      </c>
      <c r="E837">
        <v>0.82650695925913797</v>
      </c>
      <c r="F837">
        <v>0.63050143305707096</v>
      </c>
      <c r="G837">
        <v>0.30967530424071199</v>
      </c>
      <c r="H837">
        <v>0.20172379282896499</v>
      </c>
      <c r="I837">
        <v>0.22693530565748701</v>
      </c>
      <c r="J837">
        <v>0.23620452046794199</v>
      </c>
      <c r="K837">
        <v>0.31052701011675898</v>
      </c>
      <c r="L837">
        <v>1309.02517437242</v>
      </c>
      <c r="M837">
        <v>24.824150426507099</v>
      </c>
      <c r="N837">
        <v>54.092686308722399</v>
      </c>
      <c r="O837">
        <v>52.393315668772701</v>
      </c>
      <c r="P837">
        <v>-9.0944358405367007E-2</v>
      </c>
      <c r="Q837">
        <v>0.23223009421707599</v>
      </c>
      <c r="R837">
        <v>0.97083124129977005</v>
      </c>
      <c r="S837" t="s">
        <v>4669</v>
      </c>
      <c r="T837" t="s">
        <v>7662</v>
      </c>
      <c r="U837" t="s">
        <v>7662</v>
      </c>
      <c r="V837" t="s">
        <v>7662</v>
      </c>
      <c r="W837">
        <v>12</v>
      </c>
      <c r="X837" t="s">
        <v>8499</v>
      </c>
      <c r="Y837">
        <v>0.56521916812598405</v>
      </c>
      <c r="Z837" t="str">
        <f>HYPERLINK("Melting_Curves/meltCurve_sp_P30040_ERP29_HUMAN_.pdf", "Melting_Curves/meltCurve_sp_P30040_ERP29_HUMAN_.pdf")</f>
        <v>Melting_Curves/meltCurve_sp_P30040_ERP29_HUMAN_.pdf</v>
      </c>
      <c r="AA837" t="s">
        <v>12315</v>
      </c>
      <c r="AB837" t="s">
        <v>16078</v>
      </c>
    </row>
    <row r="838" spans="1:28" x14ac:dyDescent="0.25">
      <c r="A838" t="s">
        <v>842</v>
      </c>
      <c r="B838">
        <v>0.98876768158843997</v>
      </c>
      <c r="C838">
        <v>0.83266596609729404</v>
      </c>
      <c r="D838">
        <v>0.81826490333364199</v>
      </c>
      <c r="E838">
        <v>0.80006279333583297</v>
      </c>
      <c r="F838">
        <v>0.739583447751887</v>
      </c>
      <c r="G838">
        <v>0.25357028869707998</v>
      </c>
      <c r="H838">
        <v>5.8326665127963397E-2</v>
      </c>
      <c r="I838">
        <v>3.4422124965667003E-2</v>
      </c>
      <c r="J838">
        <v>3.1597823716485098E-2</v>
      </c>
      <c r="K838">
        <v>2.4562862444782799E-2</v>
      </c>
      <c r="L838">
        <v>1090.8034472407701</v>
      </c>
      <c r="M838">
        <v>20.024126728287801</v>
      </c>
      <c r="N838">
        <v>54.474457858703801</v>
      </c>
      <c r="O838">
        <v>53.939891311541402</v>
      </c>
      <c r="P838">
        <v>-9.2810603942242401E-2</v>
      </c>
      <c r="Q838">
        <v>0</v>
      </c>
      <c r="R838">
        <v>0.95363303411787304</v>
      </c>
      <c r="S838" t="s">
        <v>4670</v>
      </c>
      <c r="T838" t="s">
        <v>7662</v>
      </c>
      <c r="U838" t="s">
        <v>7662</v>
      </c>
      <c r="V838" t="s">
        <v>7662</v>
      </c>
      <c r="W838">
        <v>23</v>
      </c>
      <c r="X838" t="s">
        <v>8500</v>
      </c>
      <c r="Y838">
        <v>0.49593334312687709</v>
      </c>
      <c r="Z838" t="str">
        <f>HYPERLINK("Melting_Curves/meltCurve_sp_P30041_PRDX6_HUMAN_.pdf", "Melting_Curves/meltCurve_sp_P30041_PRDX6_HUMAN_.pdf")</f>
        <v>Melting_Curves/meltCurve_sp_P30041_PRDX6_HUMAN_.pdf</v>
      </c>
      <c r="AA838" t="s">
        <v>12316</v>
      </c>
      <c r="AB838" t="s">
        <v>16079</v>
      </c>
    </row>
    <row r="839" spans="1:28" x14ac:dyDescent="0.25">
      <c r="A839" t="s">
        <v>843</v>
      </c>
      <c r="B839">
        <v>0.98876768158843997</v>
      </c>
      <c r="C839">
        <v>1.0512010499244899</v>
      </c>
      <c r="D839">
        <v>0.88715468697168598</v>
      </c>
      <c r="E839">
        <v>0.85744911401961299</v>
      </c>
      <c r="F839">
        <v>0.83982058423968198</v>
      </c>
      <c r="G839">
        <v>0.650152416741962</v>
      </c>
      <c r="H839">
        <v>0.49488121132214002</v>
      </c>
      <c r="I839">
        <v>0.52647034218756295</v>
      </c>
      <c r="J839">
        <v>0.55882853371187202</v>
      </c>
      <c r="K839">
        <v>0.62982856071985305</v>
      </c>
      <c r="L839">
        <v>941.81450484275604</v>
      </c>
      <c r="M839">
        <v>17.727197851514202</v>
      </c>
      <c r="O839">
        <v>52.465980198397197</v>
      </c>
      <c r="P839">
        <v>-3.8856060996574002E-2</v>
      </c>
      <c r="Q839">
        <v>0.54002555593670598</v>
      </c>
      <c r="R839">
        <v>0.91262518492606903</v>
      </c>
      <c r="S839" t="s">
        <v>4671</v>
      </c>
      <c r="T839" t="s">
        <v>7662</v>
      </c>
      <c r="U839" t="s">
        <v>7662</v>
      </c>
      <c r="V839" t="s">
        <v>7662</v>
      </c>
      <c r="W839">
        <v>16</v>
      </c>
      <c r="X839" t="s">
        <v>8501</v>
      </c>
      <c r="Y839">
        <v>0.74900982491641699</v>
      </c>
      <c r="Z839" t="str">
        <f>HYPERLINK("Melting_Curves/meltCurve_sp_P30042_ES1_HUMAN_.pdf", "Melting_Curves/meltCurve_sp_P30042_ES1_HUMAN_.pdf")</f>
        <v>Melting_Curves/meltCurve_sp_P30042_ES1_HUMAN_.pdf</v>
      </c>
      <c r="AA839" t="s">
        <v>12317</v>
      </c>
      <c r="AB839" t="s">
        <v>16080</v>
      </c>
    </row>
    <row r="840" spans="1:28" x14ac:dyDescent="0.25">
      <c r="A840" t="s">
        <v>844</v>
      </c>
      <c r="B840">
        <v>0.98876768158843997</v>
      </c>
      <c r="C840">
        <v>0.79668072535446</v>
      </c>
      <c r="D840">
        <v>0.95972057218376305</v>
      </c>
      <c r="E840">
        <v>0.55974310128450999</v>
      </c>
      <c r="F840">
        <v>0.23151519833072901</v>
      </c>
      <c r="G840">
        <v>0.12277776942930201</v>
      </c>
      <c r="H840">
        <v>6.2973396637874296E-2</v>
      </c>
      <c r="I840">
        <v>4.2116678072581598E-2</v>
      </c>
      <c r="J840">
        <v>3.9448575767279503E-2</v>
      </c>
      <c r="K840">
        <v>3.11240814834273E-2</v>
      </c>
      <c r="L840">
        <v>1194.8115075849</v>
      </c>
      <c r="M840">
        <v>23.758806366215701</v>
      </c>
      <c r="N840">
        <v>50.467220681193801</v>
      </c>
      <c r="O840">
        <v>49.937001469671102</v>
      </c>
      <c r="P840">
        <v>-0.114164852915683</v>
      </c>
      <c r="Q840">
        <v>4.0194786684565602E-2</v>
      </c>
      <c r="R840">
        <v>0.97248155090522503</v>
      </c>
      <c r="S840" t="s">
        <v>4672</v>
      </c>
      <c r="T840" t="s">
        <v>7662</v>
      </c>
      <c r="U840" t="s">
        <v>7662</v>
      </c>
      <c r="V840" t="s">
        <v>7662</v>
      </c>
      <c r="W840">
        <v>8</v>
      </c>
      <c r="X840" t="s">
        <v>8502</v>
      </c>
      <c r="Y840">
        <v>0.37890584173013209</v>
      </c>
      <c r="Z840" t="str">
        <f>HYPERLINK("Melting_Curves/meltCurve_sp_P30043_BLVRB_HUMAN_.pdf", "Melting_Curves/meltCurve_sp_P30043_BLVRB_HUMAN_.pdf")</f>
        <v>Melting_Curves/meltCurve_sp_P30043_BLVRB_HUMAN_.pdf</v>
      </c>
      <c r="AA840" t="s">
        <v>12318</v>
      </c>
      <c r="AB840" t="s">
        <v>16081</v>
      </c>
    </row>
    <row r="841" spans="1:28" x14ac:dyDescent="0.25">
      <c r="A841" t="s">
        <v>845</v>
      </c>
      <c r="B841">
        <v>0.98876768158843997</v>
      </c>
      <c r="C841">
        <v>1.0610442501797599</v>
      </c>
      <c r="D841">
        <v>0.849565142721314</v>
      </c>
      <c r="E841">
        <v>0.78947315551500097</v>
      </c>
      <c r="F841">
        <v>0.85433407338181599</v>
      </c>
      <c r="G841">
        <v>0.588539115457137</v>
      </c>
      <c r="H841">
        <v>0.32214084740464399</v>
      </c>
      <c r="I841">
        <v>0.2047294497895</v>
      </c>
      <c r="J841">
        <v>0.18875085303573799</v>
      </c>
      <c r="K841">
        <v>0.16030310077540599</v>
      </c>
      <c r="L841">
        <v>711.43881280039295</v>
      </c>
      <c r="M841">
        <v>12.3065991460831</v>
      </c>
      <c r="N841">
        <v>58.057179507513197</v>
      </c>
      <c r="O841">
        <v>56.346708305649202</v>
      </c>
      <c r="P841">
        <v>-5.3217485413936103E-2</v>
      </c>
      <c r="Q841">
        <v>2.5571662982652E-2</v>
      </c>
      <c r="R841">
        <v>0.96405336175364797</v>
      </c>
      <c r="S841" t="s">
        <v>4673</v>
      </c>
      <c r="T841" t="s">
        <v>7662</v>
      </c>
      <c r="U841" t="s">
        <v>7662</v>
      </c>
      <c r="V841" t="s">
        <v>7662</v>
      </c>
      <c r="W841">
        <v>9</v>
      </c>
      <c r="X841" t="s">
        <v>8503</v>
      </c>
      <c r="Y841">
        <v>0.61740775280024007</v>
      </c>
      <c r="Z841" t="str">
        <f>HYPERLINK("Melting_Curves/meltCurve_sp_P30044_2_PRDX5_HUMAN_.pdf", "Melting_Curves/meltCurve_sp_P30044_2_PRDX5_HUMAN_.pdf")</f>
        <v>Melting_Curves/meltCurve_sp_P30044_2_PRDX5_HUMAN_.pdf</v>
      </c>
      <c r="AA841" t="s">
        <v>12319</v>
      </c>
      <c r="AB841" t="s">
        <v>16082</v>
      </c>
    </row>
    <row r="842" spans="1:28" x14ac:dyDescent="0.25">
      <c r="A842" t="s">
        <v>846</v>
      </c>
      <c r="B842">
        <v>0.98876768158843997</v>
      </c>
      <c r="C842">
        <v>1.1562923988906</v>
      </c>
      <c r="D842">
        <v>0.89390627122349298</v>
      </c>
      <c r="E842">
        <v>0.78083302806996002</v>
      </c>
      <c r="F842">
        <v>0.93818420319278095</v>
      </c>
      <c r="G842">
        <v>0.68359796567785902</v>
      </c>
      <c r="H842">
        <v>0.47660928506515798</v>
      </c>
      <c r="I842">
        <v>0.48223860970247301</v>
      </c>
      <c r="J842">
        <v>0.45736725011153001</v>
      </c>
      <c r="K842">
        <v>0.40131226594888397</v>
      </c>
      <c r="L842">
        <v>729.91710636584901</v>
      </c>
      <c r="M842">
        <v>12.810208582486</v>
      </c>
      <c r="N842">
        <v>62.7861264692947</v>
      </c>
      <c r="O842">
        <v>55.644358315446901</v>
      </c>
      <c r="P842">
        <v>-3.7584592221340099E-2</v>
      </c>
      <c r="Q842">
        <v>0.347089676393323</v>
      </c>
      <c r="R842">
        <v>0.89122965815287902</v>
      </c>
      <c r="S842" t="s">
        <v>4674</v>
      </c>
      <c r="T842" t="s">
        <v>7662</v>
      </c>
      <c r="U842" t="s">
        <v>7662</v>
      </c>
      <c r="V842" t="s">
        <v>7662</v>
      </c>
      <c r="W842">
        <v>15</v>
      </c>
      <c r="X842" t="s">
        <v>8504</v>
      </c>
      <c r="Y842">
        <v>0.72761273083759115</v>
      </c>
      <c r="Z842" t="str">
        <f>HYPERLINK("Melting_Curves/meltCurve_sp_P30046_DOPD_HUMAN_.pdf", "Melting_Curves/meltCurve_sp_P30046_DOPD_HUMAN_.pdf")</f>
        <v>Melting_Curves/meltCurve_sp_P30046_DOPD_HUMAN_.pdf</v>
      </c>
      <c r="AA842" t="s">
        <v>12320</v>
      </c>
      <c r="AB842" t="s">
        <v>16083</v>
      </c>
    </row>
    <row r="843" spans="1:28" x14ac:dyDescent="0.25">
      <c r="A843" t="s">
        <v>847</v>
      </c>
      <c r="B843">
        <v>0.98876768158843997</v>
      </c>
      <c r="C843">
        <v>0.86842813597144097</v>
      </c>
      <c r="D843">
        <v>0.86312540424256401</v>
      </c>
      <c r="E843">
        <v>0.69642777558919899</v>
      </c>
      <c r="F843">
        <v>0.67067928217464801</v>
      </c>
      <c r="G843">
        <v>0.48745413974767199</v>
      </c>
      <c r="H843">
        <v>0.40142583931695502</v>
      </c>
      <c r="I843">
        <v>0.45027943420586702</v>
      </c>
      <c r="J843">
        <v>0.53305881521985499</v>
      </c>
      <c r="K843">
        <v>0.67078400738267996</v>
      </c>
      <c r="L843">
        <v>727.22524705390799</v>
      </c>
      <c r="M843">
        <v>15.054918368304</v>
      </c>
      <c r="O843">
        <v>47.476584874978002</v>
      </c>
      <c r="P843">
        <v>-3.9376560181050499E-2</v>
      </c>
      <c r="Q843">
        <v>0.50334411912326804</v>
      </c>
      <c r="R843">
        <v>0.83133524615621102</v>
      </c>
      <c r="S843" t="s">
        <v>4675</v>
      </c>
      <c r="T843" t="s">
        <v>7662</v>
      </c>
      <c r="U843" t="s">
        <v>7662</v>
      </c>
      <c r="V843" t="s">
        <v>7662</v>
      </c>
      <c r="W843">
        <v>6</v>
      </c>
      <c r="X843" t="s">
        <v>8505</v>
      </c>
      <c r="Y843">
        <v>0.65334785605357248</v>
      </c>
      <c r="Z843" t="str">
        <f>HYPERLINK("Melting_Curves/meltCurve_sp_P30047_GFRP_HUMAN_.pdf", "Melting_Curves/meltCurve_sp_P30047_GFRP_HUMAN_.pdf")</f>
        <v>Melting_Curves/meltCurve_sp_P30047_GFRP_HUMAN_.pdf</v>
      </c>
      <c r="AA843" t="s">
        <v>12321</v>
      </c>
      <c r="AB843" t="s">
        <v>16084</v>
      </c>
    </row>
    <row r="844" spans="1:28" x14ac:dyDescent="0.25">
      <c r="A844" t="s">
        <v>848</v>
      </c>
      <c r="B844">
        <v>0.98876768158843997</v>
      </c>
      <c r="C844">
        <v>1.0962973280720101</v>
      </c>
      <c r="D844">
        <v>0.88099928419625495</v>
      </c>
      <c r="E844">
        <v>0.59114373863729297</v>
      </c>
      <c r="F844">
        <v>0.84209734526658697</v>
      </c>
      <c r="G844">
        <v>0.53453525781136801</v>
      </c>
      <c r="H844">
        <v>0.48569016702550299</v>
      </c>
      <c r="I844">
        <v>0.53645269250562599</v>
      </c>
      <c r="J844">
        <v>0.76197762402347902</v>
      </c>
      <c r="K844">
        <v>0.71238706499619298</v>
      </c>
      <c r="L844">
        <v>11532.8871202636</v>
      </c>
      <c r="M844">
        <v>250</v>
      </c>
      <c r="O844">
        <v>46.128597200922499</v>
      </c>
      <c r="P844">
        <v>-0.490808830797414</v>
      </c>
      <c r="Q844">
        <v>0.63775484122803905</v>
      </c>
      <c r="R844">
        <v>0.69708756445625397</v>
      </c>
      <c r="S844" t="s">
        <v>4676</v>
      </c>
      <c r="T844" t="s">
        <v>7662</v>
      </c>
      <c r="U844" t="s">
        <v>7662</v>
      </c>
      <c r="V844" t="s">
        <v>7662</v>
      </c>
      <c r="W844">
        <v>2</v>
      </c>
      <c r="X844" t="s">
        <v>8506</v>
      </c>
      <c r="Y844">
        <v>0.71182162708487628</v>
      </c>
      <c r="Z844" t="str">
        <f>HYPERLINK("Melting_Curves/meltCurve_sp_P30049_ATPD_HUMAN_.pdf", "Melting_Curves/meltCurve_sp_P30049_ATPD_HUMAN_.pdf")</f>
        <v>Melting_Curves/meltCurve_sp_P30049_ATPD_HUMAN_.pdf</v>
      </c>
      <c r="AA844" t="s">
        <v>12322</v>
      </c>
      <c r="AB844" t="s">
        <v>16085</v>
      </c>
    </row>
    <row r="845" spans="1:28" x14ac:dyDescent="0.25">
      <c r="A845" t="s">
        <v>849</v>
      </c>
      <c r="B845">
        <v>0.98876768158843997</v>
      </c>
      <c r="C845">
        <v>0.79465151563927905</v>
      </c>
      <c r="D845">
        <v>1.05909978318939</v>
      </c>
      <c r="E845">
        <v>0.945282444218423</v>
      </c>
      <c r="F845">
        <v>0.315849778619266</v>
      </c>
      <c r="G845">
        <v>8.3165691880110595E-2</v>
      </c>
      <c r="H845">
        <v>3.4859724335346003E-2</v>
      </c>
      <c r="I845">
        <v>2.5717113225215402E-2</v>
      </c>
      <c r="J845">
        <v>3.0566189358348001E-2</v>
      </c>
      <c r="K845">
        <v>2.3915877796665701E-2</v>
      </c>
      <c r="L845">
        <v>3199.68450530481</v>
      </c>
      <c r="M845">
        <v>61.261402607654297</v>
      </c>
      <c r="N845">
        <v>52.297790990131801</v>
      </c>
      <c r="O845">
        <v>52.174452159926602</v>
      </c>
      <c r="P845">
        <v>-0.28234072799410398</v>
      </c>
      <c r="Q845">
        <v>3.8156673217456999E-2</v>
      </c>
      <c r="R845">
        <v>0.97462045360173399</v>
      </c>
      <c r="S845" t="s">
        <v>4677</v>
      </c>
      <c r="T845" t="s">
        <v>7662</v>
      </c>
      <c r="U845" t="s">
        <v>7662</v>
      </c>
      <c r="V845" t="s">
        <v>7662</v>
      </c>
      <c r="W845">
        <v>29</v>
      </c>
      <c r="X845" t="s">
        <v>8507</v>
      </c>
      <c r="Y845">
        <v>0.43174227345152799</v>
      </c>
      <c r="Z845" t="str">
        <f>HYPERLINK("Melting_Curves/meltCurve_sp_P30084_ECHM_HUMAN_.pdf", "Melting_Curves/meltCurve_sp_P30084_ECHM_HUMAN_.pdf")</f>
        <v>Melting_Curves/meltCurve_sp_P30084_ECHM_HUMAN_.pdf</v>
      </c>
      <c r="AA845" t="s">
        <v>12323</v>
      </c>
      <c r="AB845" t="s">
        <v>16086</v>
      </c>
    </row>
    <row r="846" spans="1:28" x14ac:dyDescent="0.25">
      <c r="A846" t="s">
        <v>850</v>
      </c>
      <c r="B846">
        <v>0.98876768158843997</v>
      </c>
      <c r="C846">
        <v>1.183075194216</v>
      </c>
      <c r="D846">
        <v>0.84582680029759505</v>
      </c>
      <c r="E846">
        <v>0.65122250318399799</v>
      </c>
      <c r="F846">
        <v>0.37752402429729298</v>
      </c>
      <c r="G846">
        <v>0.16132896419185699</v>
      </c>
      <c r="H846">
        <v>9.6073067879047194E-2</v>
      </c>
      <c r="I846">
        <v>9.1724922091831501E-2</v>
      </c>
      <c r="J846">
        <v>0.101724206277494</v>
      </c>
      <c r="K846">
        <v>0.112569457384912</v>
      </c>
      <c r="L846">
        <v>1125.6523134040999</v>
      </c>
      <c r="M846">
        <v>22.072565550281301</v>
      </c>
      <c r="N846">
        <v>51.461102230377897</v>
      </c>
      <c r="O846">
        <v>50.584734797743302</v>
      </c>
      <c r="P846">
        <v>-9.9259494099831397E-2</v>
      </c>
      <c r="Q846">
        <v>9.0109398294175094E-2</v>
      </c>
      <c r="R846">
        <v>0.97116610077630605</v>
      </c>
      <c r="S846" t="s">
        <v>4678</v>
      </c>
      <c r="T846" t="s">
        <v>7662</v>
      </c>
      <c r="U846" t="s">
        <v>7662</v>
      </c>
      <c r="V846" t="s">
        <v>7662</v>
      </c>
      <c r="W846">
        <v>11</v>
      </c>
      <c r="X846" t="s">
        <v>8508</v>
      </c>
      <c r="Y846">
        <v>0.43414397277999012</v>
      </c>
      <c r="Z846" t="str">
        <f>HYPERLINK("Melting_Curves/meltCurve_sp_P30085_KCY_HUMAN_.pdf", "Melting_Curves/meltCurve_sp_P30085_KCY_HUMAN_.pdf")</f>
        <v>Melting_Curves/meltCurve_sp_P30085_KCY_HUMAN_.pdf</v>
      </c>
      <c r="AA846" t="s">
        <v>12324</v>
      </c>
      <c r="AB846" t="s">
        <v>16087</v>
      </c>
    </row>
    <row r="847" spans="1:28" x14ac:dyDescent="0.25">
      <c r="A847" t="s">
        <v>851</v>
      </c>
      <c r="B847">
        <v>0.98876768158843997</v>
      </c>
      <c r="C847">
        <v>1.15021463889229</v>
      </c>
      <c r="D847">
        <v>0.84892658145668098</v>
      </c>
      <c r="E847">
        <v>0.78080207858390405</v>
      </c>
      <c r="F847">
        <v>1.0252217908504599</v>
      </c>
      <c r="G847">
        <v>0.69246903071281096</v>
      </c>
      <c r="H847">
        <v>0.40747093668712098</v>
      </c>
      <c r="I847">
        <v>0.27346819024554198</v>
      </c>
      <c r="J847">
        <v>0.19234839362591799</v>
      </c>
      <c r="K847">
        <v>0.20200424585051399</v>
      </c>
      <c r="L847">
        <v>1296.4860354462</v>
      </c>
      <c r="M847">
        <v>22.134168836743299</v>
      </c>
      <c r="N847">
        <v>59.628500067997898</v>
      </c>
      <c r="O847">
        <v>58.102162476604903</v>
      </c>
      <c r="P847">
        <v>-7.9815036331348399E-2</v>
      </c>
      <c r="Q847">
        <v>0.16196113480007199</v>
      </c>
      <c r="R847">
        <v>0.91820903698257605</v>
      </c>
      <c r="S847" t="s">
        <v>4679</v>
      </c>
      <c r="T847" t="s">
        <v>7662</v>
      </c>
      <c r="U847" t="s">
        <v>7662</v>
      </c>
      <c r="V847" t="s">
        <v>7662</v>
      </c>
      <c r="W847">
        <v>19</v>
      </c>
      <c r="X847" t="s">
        <v>8509</v>
      </c>
      <c r="Y847">
        <v>0.68895879702265106</v>
      </c>
      <c r="Z847" t="str">
        <f>HYPERLINK("Melting_Curves/meltCurve_sp_P30086_PEBP1_HUMAN_.pdf", "Melting_Curves/meltCurve_sp_P30086_PEBP1_HUMAN_.pdf")</f>
        <v>Melting_Curves/meltCurve_sp_P30086_PEBP1_HUMAN_.pdf</v>
      </c>
      <c r="AA847" t="s">
        <v>12325</v>
      </c>
      <c r="AB847" t="s">
        <v>16088</v>
      </c>
    </row>
    <row r="848" spans="1:28" x14ac:dyDescent="0.25">
      <c r="A848" t="s">
        <v>852</v>
      </c>
      <c r="B848">
        <v>0.98876768158843997</v>
      </c>
      <c r="C848">
        <v>0.95632816871752602</v>
      </c>
      <c r="D848">
        <v>1.0217254568536001</v>
      </c>
      <c r="E848">
        <v>0.95277411729539097</v>
      </c>
      <c r="F848">
        <v>0.50439965318515501</v>
      </c>
      <c r="G848">
        <v>0.122656409165223</v>
      </c>
      <c r="H848">
        <v>7.5339790433945494E-2</v>
      </c>
      <c r="I848">
        <v>6.82249214683463E-2</v>
      </c>
      <c r="J848">
        <v>8.3397664292681403E-2</v>
      </c>
      <c r="K848">
        <v>6.84801043639644E-2</v>
      </c>
      <c r="L848">
        <v>2524.6587714990301</v>
      </c>
      <c r="M848">
        <v>47.765110420886501</v>
      </c>
      <c r="N848">
        <v>53.042084015729301</v>
      </c>
      <c r="O848">
        <v>52.763311679275098</v>
      </c>
      <c r="P848">
        <v>-0.20883332791607201</v>
      </c>
      <c r="Q848">
        <v>7.7257318985836695E-2</v>
      </c>
      <c r="R848">
        <v>0.99823188704668897</v>
      </c>
      <c r="S848" t="s">
        <v>4680</v>
      </c>
      <c r="T848" t="s">
        <v>7662</v>
      </c>
      <c r="U848" t="s">
        <v>7662</v>
      </c>
      <c r="V848" t="s">
        <v>7662</v>
      </c>
      <c r="W848">
        <v>21</v>
      </c>
      <c r="X848" t="s">
        <v>8510</v>
      </c>
      <c r="Y848">
        <v>0.47503250988657059</v>
      </c>
      <c r="Z848" t="str">
        <f>HYPERLINK("Melting_Curves/meltCurve_sp_P30153_2AAA_HUMAN_.pdf", "Melting_Curves/meltCurve_sp_P30153_2AAA_HUMAN_.pdf")</f>
        <v>Melting_Curves/meltCurve_sp_P30153_2AAA_HUMAN_.pdf</v>
      </c>
      <c r="AA848" t="s">
        <v>12326</v>
      </c>
      <c r="AB848" t="s">
        <v>16089</v>
      </c>
    </row>
    <row r="849" spans="1:28" x14ac:dyDescent="0.25">
      <c r="A849" t="s">
        <v>853</v>
      </c>
      <c r="B849">
        <v>0.98876768158843997</v>
      </c>
      <c r="C849">
        <v>0.82472397337939696</v>
      </c>
      <c r="D849">
        <v>0.66112966206756496</v>
      </c>
      <c r="E849">
        <v>0.44650168543174701</v>
      </c>
      <c r="F849">
        <v>0.27346931607678099</v>
      </c>
      <c r="G849">
        <v>0.17485320817634201</v>
      </c>
      <c r="H849">
        <v>0.14323543410926301</v>
      </c>
      <c r="I849">
        <v>0.40675720885931599</v>
      </c>
      <c r="J849">
        <v>0.172003457508588</v>
      </c>
      <c r="K849">
        <v>0.52207872488094897</v>
      </c>
      <c r="L849">
        <v>948.63489726272303</v>
      </c>
      <c r="M849">
        <v>20.605467988012201</v>
      </c>
      <c r="N849">
        <v>47.938391183056503</v>
      </c>
      <c r="O849">
        <v>45.610983382546102</v>
      </c>
      <c r="P849">
        <v>-8.1423043027246803E-2</v>
      </c>
      <c r="Q849">
        <v>0.27908888402166199</v>
      </c>
      <c r="R849">
        <v>0.83207957381648701</v>
      </c>
      <c r="S849" t="s">
        <v>4681</v>
      </c>
      <c r="T849" t="s">
        <v>7662</v>
      </c>
      <c r="U849" t="s">
        <v>7662</v>
      </c>
      <c r="V849" t="s">
        <v>7662</v>
      </c>
      <c r="W849">
        <v>6</v>
      </c>
      <c r="X849" t="s">
        <v>8511</v>
      </c>
      <c r="Y849">
        <v>0.43456519400765459</v>
      </c>
      <c r="Z849" t="str">
        <f>HYPERLINK("Melting_Curves/meltCurve_sp_P30154_4_2AAB_HUMAN_.pdf", "Melting_Curves/meltCurve_sp_P30154_4_2AAB_HUMAN_.pdf")</f>
        <v>Melting_Curves/meltCurve_sp_P30154_4_2AAB_HUMAN_.pdf</v>
      </c>
      <c r="AA849" t="s">
        <v>12327</v>
      </c>
      <c r="AB849" t="s">
        <v>16090</v>
      </c>
    </row>
    <row r="850" spans="1:28" x14ac:dyDescent="0.25">
      <c r="A850" t="s">
        <v>854</v>
      </c>
      <c r="B850">
        <v>0.98876768158843997</v>
      </c>
      <c r="C850">
        <v>1.22498729509288</v>
      </c>
      <c r="D850">
        <v>0.86217092842169496</v>
      </c>
      <c r="E850">
        <v>0.82193373458168995</v>
      </c>
      <c r="F850">
        <v>1.0412126545473399</v>
      </c>
      <c r="G850">
        <v>0.373053444880454</v>
      </c>
      <c r="H850">
        <v>0.22438730760908801</v>
      </c>
      <c r="I850">
        <v>0.21666231057939001</v>
      </c>
      <c r="J850">
        <v>0.26076926808009498</v>
      </c>
      <c r="K850">
        <v>0.30404914732379501</v>
      </c>
      <c r="L850">
        <v>14156.5065624135</v>
      </c>
      <c r="M850">
        <v>250</v>
      </c>
      <c r="N850">
        <v>56.784782139002601</v>
      </c>
      <c r="O850">
        <v>56.622416899585403</v>
      </c>
      <c r="P850">
        <v>-0.82623326056694801</v>
      </c>
      <c r="Q850">
        <v>0.25146700352147799</v>
      </c>
      <c r="R850">
        <v>0.922145848028599</v>
      </c>
      <c r="S850" t="s">
        <v>4682</v>
      </c>
      <c r="T850" t="s">
        <v>7662</v>
      </c>
      <c r="U850" t="s">
        <v>7662</v>
      </c>
      <c r="V850" t="s">
        <v>7662</v>
      </c>
      <c r="W850">
        <v>10</v>
      </c>
      <c r="X850" t="s">
        <v>8512</v>
      </c>
      <c r="Y850">
        <v>0.66637903268611776</v>
      </c>
      <c r="Z850" t="str">
        <f>HYPERLINK("Melting_Curves/meltCurve_sp_P30405_PPIF_HUMAN_.pdf", "Melting_Curves/meltCurve_sp_P30405_PPIF_HUMAN_.pdf")</f>
        <v>Melting_Curves/meltCurve_sp_P30405_PPIF_HUMAN_.pdf</v>
      </c>
      <c r="AA850" t="s">
        <v>12328</v>
      </c>
      <c r="AB850" t="s">
        <v>16091</v>
      </c>
    </row>
    <row r="851" spans="1:28" x14ac:dyDescent="0.25">
      <c r="A851" t="s">
        <v>855</v>
      </c>
      <c r="B851">
        <v>0.98876768158843997</v>
      </c>
      <c r="C851">
        <v>1.29053622575209</v>
      </c>
      <c r="D851">
        <v>1.0735245851939099</v>
      </c>
      <c r="E851">
        <v>1.05126263417472</v>
      </c>
      <c r="F851">
        <v>0.39772492252561498</v>
      </c>
      <c r="G851">
        <v>0.174675004782823</v>
      </c>
      <c r="H851">
        <v>0.10720931505509899</v>
      </c>
      <c r="I851">
        <v>0.115112949371162</v>
      </c>
      <c r="J851">
        <v>0.170179583647739</v>
      </c>
      <c r="K851">
        <v>0.13938755417051399</v>
      </c>
      <c r="L851">
        <v>13204.74184739</v>
      </c>
      <c r="M851">
        <v>250</v>
      </c>
      <c r="N851">
        <v>52.889237308408298</v>
      </c>
      <c r="O851">
        <v>52.8155704515423</v>
      </c>
      <c r="P851">
        <v>-1.0161383975846701</v>
      </c>
      <c r="Q851">
        <v>0.14131285926831999</v>
      </c>
      <c r="R851">
        <v>0.95472062879263497</v>
      </c>
      <c r="S851" t="s">
        <v>4683</v>
      </c>
      <c r="T851" t="s">
        <v>7662</v>
      </c>
      <c r="U851" t="s">
        <v>7662</v>
      </c>
      <c r="V851" t="s">
        <v>7662</v>
      </c>
      <c r="W851">
        <v>1</v>
      </c>
      <c r="X851" t="s">
        <v>8513</v>
      </c>
      <c r="Y851">
        <v>0.50830853836055911</v>
      </c>
      <c r="Z851" t="str">
        <f>HYPERLINK("Melting_Curves/meltCurve_sp_P30414_NKTR_HUMAN_.pdf", "Melting_Curves/meltCurve_sp_P30414_NKTR_HUMAN_.pdf")</f>
        <v>Melting_Curves/meltCurve_sp_P30414_NKTR_HUMAN_.pdf</v>
      </c>
      <c r="AA851" t="s">
        <v>12329</v>
      </c>
      <c r="AB851" t="s">
        <v>16092</v>
      </c>
    </row>
    <row r="852" spans="1:28" x14ac:dyDescent="0.25">
      <c r="A852" t="s">
        <v>856</v>
      </c>
      <c r="B852">
        <v>0.98876768158843997</v>
      </c>
      <c r="C852">
        <v>1.0184787397114601</v>
      </c>
      <c r="D852">
        <v>0.899652083696312</v>
      </c>
      <c r="E852">
        <v>0.727891470601715</v>
      </c>
      <c r="F852">
        <v>0.485411699622324</v>
      </c>
      <c r="G852">
        <v>0.20376178248475399</v>
      </c>
      <c r="H852">
        <v>0.15995603717448201</v>
      </c>
      <c r="I852">
        <v>0.17162248870838001</v>
      </c>
      <c r="J852">
        <v>0.20324937153422701</v>
      </c>
      <c r="K852">
        <v>0.210405195861675</v>
      </c>
      <c r="L852">
        <v>1204.34750095246</v>
      </c>
      <c r="M852">
        <v>23.381377565671901</v>
      </c>
      <c r="N852">
        <v>52.452441253299199</v>
      </c>
      <c r="O852">
        <v>51.136494010656101</v>
      </c>
      <c r="P852">
        <v>-9.4685564462266905E-2</v>
      </c>
      <c r="Q852">
        <v>0.17168228513523501</v>
      </c>
      <c r="R852">
        <v>0.99165332628312497</v>
      </c>
      <c r="S852" t="s">
        <v>4684</v>
      </c>
      <c r="T852" t="s">
        <v>7662</v>
      </c>
      <c r="U852" t="s">
        <v>7662</v>
      </c>
      <c r="V852" t="s">
        <v>7662</v>
      </c>
      <c r="W852">
        <v>6</v>
      </c>
      <c r="X852" t="s">
        <v>8514</v>
      </c>
      <c r="Y852">
        <v>0.49801128943284362</v>
      </c>
      <c r="Z852" t="str">
        <f>HYPERLINK("Melting_Curves/meltCurve_sp_P30419_NMT1_HUMAN_.pdf", "Melting_Curves/meltCurve_sp_P30419_NMT1_HUMAN_.pdf")</f>
        <v>Melting_Curves/meltCurve_sp_P30419_NMT1_HUMAN_.pdf</v>
      </c>
      <c r="AA852" t="s">
        <v>12330</v>
      </c>
      <c r="AB852" t="s">
        <v>16093</v>
      </c>
    </row>
    <row r="853" spans="1:28" x14ac:dyDescent="0.25">
      <c r="A853" t="s">
        <v>857</v>
      </c>
      <c r="B853">
        <v>0.98876768158843997</v>
      </c>
      <c r="C853">
        <v>0.92523333007995701</v>
      </c>
      <c r="D853">
        <v>0.87097019191883396</v>
      </c>
      <c r="E853">
        <v>0.76192936182881998</v>
      </c>
      <c r="F853">
        <v>0.44498688250927299</v>
      </c>
      <c r="G853">
        <v>0.219291845398843</v>
      </c>
      <c r="H853">
        <v>8.4915194294093096E-2</v>
      </c>
      <c r="I853">
        <v>7.05294968915397E-2</v>
      </c>
      <c r="J853">
        <v>7.4626875409925603E-2</v>
      </c>
      <c r="K853">
        <v>4.9582495860084598E-2</v>
      </c>
      <c r="L853">
        <v>918.46111861722295</v>
      </c>
      <c r="M853">
        <v>17.538861179036001</v>
      </c>
      <c r="N853">
        <v>52.575941733801898</v>
      </c>
      <c r="O853">
        <v>51.700650537820799</v>
      </c>
      <c r="P853">
        <v>-8.1961573030022203E-2</v>
      </c>
      <c r="Q853">
        <v>3.3635074048261597E-2</v>
      </c>
      <c r="R853">
        <v>0.99286832662909896</v>
      </c>
      <c r="S853" t="s">
        <v>4685</v>
      </c>
      <c r="T853" t="s">
        <v>7662</v>
      </c>
      <c r="U853" t="s">
        <v>7662</v>
      </c>
      <c r="V853" t="s">
        <v>7662</v>
      </c>
      <c r="W853">
        <v>15</v>
      </c>
      <c r="X853" t="s">
        <v>8515</v>
      </c>
      <c r="Y853">
        <v>0.44870740296122802</v>
      </c>
      <c r="Z853" t="str">
        <f>HYPERLINK("Melting_Curves/meltCurve_sp_P30520_PURA2_HUMAN_.pdf", "Melting_Curves/meltCurve_sp_P30520_PURA2_HUMAN_.pdf")</f>
        <v>Melting_Curves/meltCurve_sp_P30520_PURA2_HUMAN_.pdf</v>
      </c>
      <c r="AA853" t="s">
        <v>12331</v>
      </c>
      <c r="AB853" t="s">
        <v>16094</v>
      </c>
    </row>
    <row r="854" spans="1:28" x14ac:dyDescent="0.25">
      <c r="A854" t="s">
        <v>858</v>
      </c>
      <c r="B854">
        <v>0.98876768158843997</v>
      </c>
      <c r="C854">
        <v>1.0929885308810701</v>
      </c>
      <c r="D854">
        <v>0.90802154058406803</v>
      </c>
      <c r="E854">
        <v>0.77647593796465997</v>
      </c>
      <c r="F854">
        <v>0.82891626686605002</v>
      </c>
      <c r="G854">
        <v>0.56295648462112402</v>
      </c>
      <c r="H854">
        <v>0.43770365844662001</v>
      </c>
      <c r="I854">
        <v>0.50757756945294297</v>
      </c>
      <c r="J854">
        <v>0.59210907469365803</v>
      </c>
      <c r="K854">
        <v>0.683355854888128</v>
      </c>
      <c r="L854">
        <v>1007.13231043941</v>
      </c>
      <c r="M854">
        <v>19.578305048515301</v>
      </c>
      <c r="O854">
        <v>50.913582153350397</v>
      </c>
      <c r="P854">
        <v>-4.3244092267998101E-2</v>
      </c>
      <c r="Q854">
        <v>0.55018910216628103</v>
      </c>
      <c r="R854">
        <v>0.83271550374345404</v>
      </c>
      <c r="S854" t="s">
        <v>4686</v>
      </c>
      <c r="T854" t="s">
        <v>7662</v>
      </c>
      <c r="U854" t="s">
        <v>7662</v>
      </c>
      <c r="V854" t="s">
        <v>7662</v>
      </c>
      <c r="W854">
        <v>9</v>
      </c>
      <c r="X854" t="s">
        <v>8516</v>
      </c>
      <c r="Y854">
        <v>0.72822048029372932</v>
      </c>
      <c r="Z854" t="str">
        <f>HYPERLINK("Melting_Curves/meltCurve_sp_P30533_AMRP_HUMAN_.pdf", "Melting_Curves/meltCurve_sp_P30533_AMRP_HUMAN_.pdf")</f>
        <v>Melting_Curves/meltCurve_sp_P30533_AMRP_HUMAN_.pdf</v>
      </c>
      <c r="AA854" t="s">
        <v>12332</v>
      </c>
      <c r="AB854" t="s">
        <v>16095</v>
      </c>
    </row>
    <row r="855" spans="1:28" x14ac:dyDescent="0.25">
      <c r="A855" t="s">
        <v>859</v>
      </c>
      <c r="B855">
        <v>0.98876768158843997</v>
      </c>
      <c r="C855">
        <v>0.919102540467583</v>
      </c>
      <c r="D855">
        <v>1.07972516847612</v>
      </c>
      <c r="E855">
        <v>1.0295338547947901</v>
      </c>
      <c r="F855">
        <v>0.63297737910854901</v>
      </c>
      <c r="G855">
        <v>0.56502839672639305</v>
      </c>
      <c r="H855">
        <v>0.34487897735191703</v>
      </c>
      <c r="I855">
        <v>7.5061349189430193E-2</v>
      </c>
      <c r="J855">
        <v>8.7957306128119403E-2</v>
      </c>
      <c r="K855">
        <v>4.9791329579415601E-2</v>
      </c>
      <c r="L855">
        <v>917.98906064209302</v>
      </c>
      <c r="M855">
        <v>16.026887118732098</v>
      </c>
      <c r="N855">
        <v>57.278063817943497</v>
      </c>
      <c r="O855">
        <v>56.408574128660199</v>
      </c>
      <c r="P855">
        <v>-7.1035902697991801E-2</v>
      </c>
      <c r="Q855">
        <v>0</v>
      </c>
      <c r="R855">
        <v>0.95763026614855395</v>
      </c>
      <c r="S855" t="s">
        <v>4687</v>
      </c>
      <c r="T855" t="s">
        <v>7662</v>
      </c>
      <c r="U855" t="s">
        <v>7662</v>
      </c>
      <c r="V855" t="s">
        <v>7662</v>
      </c>
      <c r="W855">
        <v>9</v>
      </c>
      <c r="X855" t="s">
        <v>8517</v>
      </c>
      <c r="Y855">
        <v>0.59058780918519249</v>
      </c>
      <c r="Z855" t="str">
        <f>HYPERLINK("Melting_Curves/meltCurve_sp_P30566_PUR8_HUMAN_.pdf", "Melting_Curves/meltCurve_sp_P30566_PUR8_HUMAN_.pdf")</f>
        <v>Melting_Curves/meltCurve_sp_P30566_PUR8_HUMAN_.pdf</v>
      </c>
      <c r="AA855" t="s">
        <v>12333</v>
      </c>
      <c r="AB855" t="s">
        <v>16096</v>
      </c>
    </row>
    <row r="856" spans="1:28" x14ac:dyDescent="0.25">
      <c r="A856" t="s">
        <v>860</v>
      </c>
      <c r="B856">
        <v>0.98876768158843997</v>
      </c>
      <c r="C856">
        <v>0.90745732691040404</v>
      </c>
      <c r="D856">
        <v>1.0850794161386601</v>
      </c>
      <c r="E856">
        <v>1.05945356767376</v>
      </c>
      <c r="F856">
        <v>0.80289061831867603</v>
      </c>
      <c r="G856">
        <v>0.651777895052152</v>
      </c>
      <c r="H856">
        <v>0.56189123776075001</v>
      </c>
      <c r="I856">
        <v>0.27897332747229697</v>
      </c>
      <c r="J856">
        <v>4.63107261231731E-2</v>
      </c>
      <c r="K856">
        <v>4.5385952993434703E-2</v>
      </c>
      <c r="L856">
        <v>1008.98657595487</v>
      </c>
      <c r="M856">
        <v>16.796381880712101</v>
      </c>
      <c r="N856">
        <v>60.071662064635603</v>
      </c>
      <c r="O856">
        <v>59.239533459351897</v>
      </c>
      <c r="P856">
        <v>-7.0887923942899E-2</v>
      </c>
      <c r="Q856">
        <v>0</v>
      </c>
      <c r="R856">
        <v>0.95314944672129198</v>
      </c>
      <c r="S856" t="s">
        <v>4688</v>
      </c>
      <c r="T856" t="s">
        <v>7662</v>
      </c>
      <c r="U856" t="s">
        <v>7662</v>
      </c>
      <c r="V856" t="s">
        <v>7662</v>
      </c>
      <c r="W856">
        <v>28</v>
      </c>
      <c r="X856" t="s">
        <v>8518</v>
      </c>
      <c r="Y856">
        <v>0.67677552676766739</v>
      </c>
      <c r="Z856" t="str">
        <f>HYPERLINK("Melting_Curves/meltCurve_sp_P30613_2_KPYR_HUMAN_.pdf", "Melting_Curves/meltCurve_sp_P30613_2_KPYR_HUMAN_.pdf")</f>
        <v>Melting_Curves/meltCurve_sp_P30613_2_KPYR_HUMAN_.pdf</v>
      </c>
      <c r="AA856" t="s">
        <v>12334</v>
      </c>
      <c r="AB856" t="s">
        <v>16097</v>
      </c>
    </row>
    <row r="857" spans="1:28" x14ac:dyDescent="0.25">
      <c r="A857" t="s">
        <v>861</v>
      </c>
      <c r="B857">
        <v>0.98876768158843997</v>
      </c>
      <c r="C857">
        <v>0.98466266363447397</v>
      </c>
      <c r="D857">
        <v>0.99387531824433395</v>
      </c>
      <c r="E857">
        <v>0.85786740868293399</v>
      </c>
      <c r="F857">
        <v>0.74273201934656596</v>
      </c>
      <c r="G857">
        <v>0.57041003589114103</v>
      </c>
      <c r="H857">
        <v>0.49788914953101598</v>
      </c>
      <c r="I857">
        <v>0.58984460762969804</v>
      </c>
      <c r="J857">
        <v>0.68114338459213497</v>
      </c>
      <c r="K857">
        <v>0.75162144699076705</v>
      </c>
      <c r="L857">
        <v>1672.07184233629</v>
      </c>
      <c r="M857">
        <v>32.736055821592302</v>
      </c>
      <c r="O857">
        <v>50.887905531984899</v>
      </c>
      <c r="P857">
        <v>-6.1133718236724699E-2</v>
      </c>
      <c r="Q857">
        <v>0.61987448920831001</v>
      </c>
      <c r="R857">
        <v>0.86011391451904795</v>
      </c>
      <c r="S857" t="s">
        <v>4689</v>
      </c>
      <c r="T857" t="s">
        <v>7662</v>
      </c>
      <c r="U857" t="s">
        <v>7662</v>
      </c>
      <c r="V857" t="s">
        <v>7662</v>
      </c>
      <c r="W857">
        <v>55</v>
      </c>
      <c r="X857" t="s">
        <v>8519</v>
      </c>
      <c r="Y857">
        <v>0.76224299814186636</v>
      </c>
      <c r="Z857" t="str">
        <f>HYPERLINK("Melting_Curves/meltCurve_sp_P30622_2_CLIP1_HUMAN_.pdf", "Melting_Curves/meltCurve_sp_P30622_2_CLIP1_HUMAN_.pdf")</f>
        <v>Melting_Curves/meltCurve_sp_P30622_2_CLIP1_HUMAN_.pdf</v>
      </c>
      <c r="AA857" t="s">
        <v>12335</v>
      </c>
      <c r="AB857" t="s">
        <v>16098</v>
      </c>
    </row>
    <row r="858" spans="1:28" x14ac:dyDescent="0.25">
      <c r="A858" t="s">
        <v>862</v>
      </c>
      <c r="B858">
        <v>0.98876768158843997</v>
      </c>
      <c r="C858">
        <v>1.03525779523129</v>
      </c>
      <c r="D858">
        <v>0.87884391368568804</v>
      </c>
      <c r="E858">
        <v>0.78065420602340496</v>
      </c>
      <c r="F858">
        <v>0.79999899038039002</v>
      </c>
      <c r="G858">
        <v>0.57121908132379695</v>
      </c>
      <c r="H858">
        <v>0.42588580030053702</v>
      </c>
      <c r="I858">
        <v>0.40429006582559901</v>
      </c>
      <c r="J858">
        <v>0.38843945881077302</v>
      </c>
      <c r="K858">
        <v>0.34405497774438099</v>
      </c>
      <c r="L858">
        <v>617.64603920381001</v>
      </c>
      <c r="M858">
        <v>11.1819956728432</v>
      </c>
      <c r="N858">
        <v>59.593668497421703</v>
      </c>
      <c r="O858">
        <v>53.557522196159901</v>
      </c>
      <c r="P858">
        <v>-3.7630871279906303E-2</v>
      </c>
      <c r="Q858">
        <v>0.27927780128527102</v>
      </c>
      <c r="R858">
        <v>0.97310523205024002</v>
      </c>
      <c r="S858" t="s">
        <v>4690</v>
      </c>
      <c r="T858" t="s">
        <v>7662</v>
      </c>
      <c r="U858" t="s">
        <v>7662</v>
      </c>
      <c r="V858" t="s">
        <v>7662</v>
      </c>
      <c r="W858">
        <v>11</v>
      </c>
      <c r="X858" t="s">
        <v>8520</v>
      </c>
      <c r="Y858">
        <v>0.6623787720972879</v>
      </c>
      <c r="Z858" t="str">
        <f>HYPERLINK("Melting_Curves/meltCurve_sp_P30711_GSTT1_HUMAN_.pdf", "Melting_Curves/meltCurve_sp_P30711_GSTT1_HUMAN_.pdf")</f>
        <v>Melting_Curves/meltCurve_sp_P30711_GSTT1_HUMAN_.pdf</v>
      </c>
      <c r="AA858" t="s">
        <v>12336</v>
      </c>
      <c r="AB858" t="s">
        <v>16099</v>
      </c>
    </row>
    <row r="859" spans="1:28" x14ac:dyDescent="0.25">
      <c r="A859" t="s">
        <v>863</v>
      </c>
      <c r="B859">
        <v>0.98876768158843997</v>
      </c>
      <c r="C859">
        <v>0.90639375867194105</v>
      </c>
      <c r="D859">
        <v>0.85854195722544002</v>
      </c>
      <c r="E859">
        <v>0.65305297003648799</v>
      </c>
      <c r="F859">
        <v>0.572086173647401</v>
      </c>
      <c r="G859">
        <v>0.18524587082997701</v>
      </c>
      <c r="H859">
        <v>0.12096924009231701</v>
      </c>
      <c r="I859">
        <v>0.106788140061561</v>
      </c>
      <c r="J859">
        <v>0.161841523631366</v>
      </c>
      <c r="K859">
        <v>0.124557919175978</v>
      </c>
      <c r="L859">
        <v>785.20535059057704</v>
      </c>
      <c r="M859">
        <v>15.1235924603185</v>
      </c>
      <c r="N859">
        <v>52.511745204748301</v>
      </c>
      <c r="O859">
        <v>51.036857699749298</v>
      </c>
      <c r="P859">
        <v>-6.8277457522989707E-2</v>
      </c>
      <c r="Q859">
        <v>7.8439586013150098E-2</v>
      </c>
      <c r="R859">
        <v>0.97674939050578602</v>
      </c>
      <c r="S859" t="s">
        <v>4691</v>
      </c>
      <c r="T859" t="s">
        <v>7662</v>
      </c>
      <c r="U859" t="s">
        <v>7662</v>
      </c>
      <c r="V859" t="s">
        <v>7662</v>
      </c>
      <c r="W859">
        <v>17</v>
      </c>
      <c r="X859" t="s">
        <v>8521</v>
      </c>
      <c r="Y859">
        <v>0.46498358647295451</v>
      </c>
      <c r="Z859" t="str">
        <f>HYPERLINK("Melting_Curves/meltCurve_sp_P30740_ILEU_HUMAN_.pdf", "Melting_Curves/meltCurve_sp_P30740_ILEU_HUMAN_.pdf")</f>
        <v>Melting_Curves/meltCurve_sp_P30740_ILEU_HUMAN_.pdf</v>
      </c>
      <c r="AA859" t="s">
        <v>12337</v>
      </c>
      <c r="AB859" t="s">
        <v>16100</v>
      </c>
    </row>
    <row r="860" spans="1:28" x14ac:dyDescent="0.25">
      <c r="A860" t="s">
        <v>864</v>
      </c>
      <c r="B860">
        <v>0.98876768158843997</v>
      </c>
      <c r="C860">
        <v>0.88592507323519298</v>
      </c>
      <c r="D860">
        <v>0.97174546275058404</v>
      </c>
      <c r="E860">
        <v>0.78796321458623098</v>
      </c>
      <c r="F860">
        <v>0.52172533102104601</v>
      </c>
      <c r="G860">
        <v>0.39955915710784901</v>
      </c>
      <c r="H860">
        <v>0.40842467127229698</v>
      </c>
      <c r="I860">
        <v>0.47061755104541603</v>
      </c>
      <c r="J860">
        <v>0.59696300034570904</v>
      </c>
      <c r="K860">
        <v>0.63906860424593503</v>
      </c>
      <c r="L860">
        <v>3121.98933294483</v>
      </c>
      <c r="M860">
        <v>62.149045714414001</v>
      </c>
      <c r="O860">
        <v>50.181982902023897</v>
      </c>
      <c r="P860">
        <v>-0.15390070295299599</v>
      </c>
      <c r="Q860">
        <v>0.50293439359778203</v>
      </c>
      <c r="R860">
        <v>0.86611633739755001</v>
      </c>
      <c r="S860" t="s">
        <v>4692</v>
      </c>
      <c r="T860" t="s">
        <v>7662</v>
      </c>
      <c r="U860" t="s">
        <v>7662</v>
      </c>
      <c r="V860" t="s">
        <v>7662</v>
      </c>
      <c r="W860">
        <v>4</v>
      </c>
      <c r="X860" t="s">
        <v>8522</v>
      </c>
      <c r="Y860">
        <v>0.67320996674348699</v>
      </c>
      <c r="Z860" t="str">
        <f>HYPERLINK("Melting_Curves/meltCurve_sp_P30793_GCH1_HUMAN_.pdf", "Melting_Curves/meltCurve_sp_P30793_GCH1_HUMAN_.pdf")</f>
        <v>Melting_Curves/meltCurve_sp_P30793_GCH1_HUMAN_.pdf</v>
      </c>
      <c r="AA860" t="s">
        <v>12338</v>
      </c>
      <c r="AB860" t="s">
        <v>16101</v>
      </c>
    </row>
    <row r="861" spans="1:28" x14ac:dyDescent="0.25">
      <c r="A861" t="s">
        <v>865</v>
      </c>
      <c r="B861">
        <v>0.98876768158843997</v>
      </c>
      <c r="C861">
        <v>0.83953141510086204</v>
      </c>
      <c r="D861">
        <v>0.81807340688282104</v>
      </c>
      <c r="E861">
        <v>0.45058390089353201</v>
      </c>
      <c r="F861">
        <v>0.12752300687338999</v>
      </c>
      <c r="G861">
        <v>5.0919235772700598E-2</v>
      </c>
      <c r="H861">
        <v>2.6590814662870901E-2</v>
      </c>
      <c r="I861">
        <v>2.3668458080674502E-2</v>
      </c>
      <c r="J861">
        <v>2.6864734581455801E-2</v>
      </c>
      <c r="K861">
        <v>2.2046054962781302E-2</v>
      </c>
      <c r="L861">
        <v>991.61468857970101</v>
      </c>
      <c r="M861">
        <v>20.225807731463501</v>
      </c>
      <c r="N861">
        <v>49.064965035656002</v>
      </c>
      <c r="O861">
        <v>48.555487201198801</v>
      </c>
      <c r="P861">
        <v>-0.103336155758601</v>
      </c>
      <c r="Q861">
        <v>7.7270415081860102E-3</v>
      </c>
      <c r="R861">
        <v>0.98731486937566704</v>
      </c>
      <c r="S861" t="s">
        <v>4693</v>
      </c>
      <c r="T861" t="s">
        <v>7662</v>
      </c>
      <c r="U861" t="s">
        <v>7662</v>
      </c>
      <c r="V861" t="s">
        <v>7662</v>
      </c>
      <c r="W861">
        <v>29</v>
      </c>
      <c r="X861" t="s">
        <v>8523</v>
      </c>
      <c r="Y861">
        <v>0.31989107702558622</v>
      </c>
      <c r="Z861" t="str">
        <f>HYPERLINK("Melting_Curves/meltCurve_sp_P30837_AL1B1_HUMAN_.pdf", "Melting_Curves/meltCurve_sp_P30837_AL1B1_HUMAN_.pdf")</f>
        <v>Melting_Curves/meltCurve_sp_P30837_AL1B1_HUMAN_.pdf</v>
      </c>
      <c r="AA861" t="s">
        <v>12339</v>
      </c>
      <c r="AB861" t="s">
        <v>16102</v>
      </c>
    </row>
    <row r="862" spans="1:28" x14ac:dyDescent="0.25">
      <c r="A862" t="s">
        <v>866</v>
      </c>
      <c r="B862">
        <v>0.98876768158843997</v>
      </c>
      <c r="C862">
        <v>0.99405691766773396</v>
      </c>
      <c r="D862">
        <v>0.93914297058788099</v>
      </c>
      <c r="E862">
        <v>0.85162537262426596</v>
      </c>
      <c r="F862">
        <v>0.69001560368887505</v>
      </c>
      <c r="G862">
        <v>0.44316153421892601</v>
      </c>
      <c r="H862">
        <v>0.24963752660687799</v>
      </c>
      <c r="I862">
        <v>0.14227177365906499</v>
      </c>
      <c r="J862">
        <v>5.2464207025778899E-2</v>
      </c>
      <c r="K862">
        <v>4.41562444794232E-2</v>
      </c>
      <c r="L862">
        <v>812.09973178080702</v>
      </c>
      <c r="M862">
        <v>14.5003046413678</v>
      </c>
      <c r="N862">
        <v>56.005701121078403</v>
      </c>
      <c r="O862">
        <v>54.972840908782601</v>
      </c>
      <c r="P862">
        <v>-6.5950653510753299E-2</v>
      </c>
      <c r="Q862">
        <v>0</v>
      </c>
      <c r="R862">
        <v>0.99864903537081995</v>
      </c>
      <c r="S862" t="s">
        <v>4694</v>
      </c>
      <c r="T862" t="s">
        <v>7662</v>
      </c>
      <c r="U862" t="s">
        <v>7662</v>
      </c>
      <c r="V862" t="s">
        <v>7662</v>
      </c>
      <c r="W862">
        <v>19</v>
      </c>
      <c r="X862" t="s">
        <v>8524</v>
      </c>
      <c r="Y862">
        <v>0.55175117207527069</v>
      </c>
      <c r="Z862" t="str">
        <f>HYPERLINK("Melting_Curves/meltCurve_sp_P31040_DHSA_HUMAN_.pdf", "Melting_Curves/meltCurve_sp_P31040_DHSA_HUMAN_.pdf")</f>
        <v>Melting_Curves/meltCurve_sp_P31040_DHSA_HUMAN_.pdf</v>
      </c>
      <c r="AA862" t="s">
        <v>12340</v>
      </c>
      <c r="AB862" t="s">
        <v>16103</v>
      </c>
    </row>
    <row r="863" spans="1:28" x14ac:dyDescent="0.25">
      <c r="A863" t="s">
        <v>867</v>
      </c>
      <c r="B863">
        <v>0.98876768158843997</v>
      </c>
      <c r="C863">
        <v>1.01081577183192</v>
      </c>
      <c r="D863">
        <v>0.929913407586345</v>
      </c>
      <c r="E863">
        <v>0.701204847680993</v>
      </c>
      <c r="F863">
        <v>0.206515700274124</v>
      </c>
      <c r="G863">
        <v>0.14491312565766001</v>
      </c>
      <c r="H863">
        <v>8.6482200813701698E-2</v>
      </c>
      <c r="I863">
        <v>8.3939704164589804E-2</v>
      </c>
      <c r="J863">
        <v>0.106775359872949</v>
      </c>
      <c r="K863">
        <v>8.85279851479467E-2</v>
      </c>
      <c r="L863">
        <v>2219.4617638598802</v>
      </c>
      <c r="M863">
        <v>43.731107385734298</v>
      </c>
      <c r="N863">
        <v>51.0083438771875</v>
      </c>
      <c r="O863">
        <v>50.646688237112699</v>
      </c>
      <c r="P863">
        <v>-0.19460356685353999</v>
      </c>
      <c r="Q863">
        <v>9.8489658620459206E-2</v>
      </c>
      <c r="R863">
        <v>0.99601487274781497</v>
      </c>
      <c r="S863" t="s">
        <v>4695</v>
      </c>
      <c r="T863" t="s">
        <v>7662</v>
      </c>
      <c r="U863" t="s">
        <v>7662</v>
      </c>
      <c r="V863" t="s">
        <v>7662</v>
      </c>
      <c r="W863">
        <v>7</v>
      </c>
      <c r="X863" t="s">
        <v>8525</v>
      </c>
      <c r="Y863">
        <v>0.4242477752976252</v>
      </c>
      <c r="Z863" t="str">
        <f>HYPERLINK("Melting_Curves/meltCurve_sp_P31146_COR1A_HUMAN_.pdf", "Melting_Curves/meltCurve_sp_P31146_COR1A_HUMAN_.pdf")</f>
        <v>Melting_Curves/meltCurve_sp_P31146_COR1A_HUMAN_.pdf</v>
      </c>
      <c r="AA863" t="s">
        <v>12341</v>
      </c>
      <c r="AB863" t="s">
        <v>16104</v>
      </c>
    </row>
    <row r="864" spans="1:28" x14ac:dyDescent="0.25">
      <c r="A864" t="s">
        <v>868</v>
      </c>
      <c r="B864">
        <v>0.98876768158843997</v>
      </c>
      <c r="C864">
        <v>0.95555650710874296</v>
      </c>
      <c r="D864">
        <v>0.87756330597114096</v>
      </c>
      <c r="E864">
        <v>0.78472906003560206</v>
      </c>
      <c r="F864">
        <v>0.50739515500007804</v>
      </c>
      <c r="G864">
        <v>0.119518210047752</v>
      </c>
      <c r="H864">
        <v>7.0753848645677603E-2</v>
      </c>
      <c r="I864">
        <v>5.7225643753245903E-2</v>
      </c>
      <c r="J864">
        <v>7.3202218098201599E-2</v>
      </c>
      <c r="K864">
        <v>4.6114236410456998E-2</v>
      </c>
      <c r="L864">
        <v>1231.5701980679801</v>
      </c>
      <c r="M864">
        <v>23.429520234410099</v>
      </c>
      <c r="N864">
        <v>52.750523317160898</v>
      </c>
      <c r="O864">
        <v>52.186452955926597</v>
      </c>
      <c r="P864">
        <v>-0.107799540909749</v>
      </c>
      <c r="Q864">
        <v>3.9574392256137597E-2</v>
      </c>
      <c r="R864">
        <v>0.99063140830563201</v>
      </c>
      <c r="S864" t="s">
        <v>4696</v>
      </c>
      <c r="T864" t="s">
        <v>7662</v>
      </c>
      <c r="U864" t="s">
        <v>7662</v>
      </c>
      <c r="V864" t="s">
        <v>7662</v>
      </c>
      <c r="W864">
        <v>16</v>
      </c>
      <c r="X864" t="s">
        <v>8526</v>
      </c>
      <c r="Y864">
        <v>0.4517860751572067</v>
      </c>
      <c r="Z864" t="str">
        <f>HYPERLINK("Melting_Curves/meltCurve_sp_P31150_GDIA_HUMAN_.pdf", "Melting_Curves/meltCurve_sp_P31150_GDIA_HUMAN_.pdf")</f>
        <v>Melting_Curves/meltCurve_sp_P31150_GDIA_HUMAN_.pdf</v>
      </c>
      <c r="AA864" t="s">
        <v>12342</v>
      </c>
      <c r="AB864" t="s">
        <v>16105</v>
      </c>
    </row>
    <row r="865" spans="1:28" x14ac:dyDescent="0.25">
      <c r="A865" t="s">
        <v>869</v>
      </c>
      <c r="B865">
        <v>0.98876768158843997</v>
      </c>
      <c r="C865">
        <v>0.94460692567381499</v>
      </c>
      <c r="D865">
        <v>0.94148995725512696</v>
      </c>
      <c r="E865">
        <v>0.79072517697048506</v>
      </c>
      <c r="F865">
        <v>0.38543104329583799</v>
      </c>
      <c r="G865">
        <v>0.165497686040666</v>
      </c>
      <c r="H865">
        <v>6.9794419616116807E-2</v>
      </c>
      <c r="I865">
        <v>5.6993312669214202E-2</v>
      </c>
      <c r="J865">
        <v>5.5055882269777499E-2</v>
      </c>
      <c r="K865">
        <v>5.0822005792366599E-2</v>
      </c>
      <c r="L865">
        <v>1403.65078743817</v>
      </c>
      <c r="M865">
        <v>26.980990596442702</v>
      </c>
      <c r="N865">
        <v>52.2505358623715</v>
      </c>
      <c r="O865">
        <v>51.7404112349912</v>
      </c>
      <c r="P865">
        <v>-0.12316318373943801</v>
      </c>
      <c r="Q865">
        <v>5.5267791184557997E-2</v>
      </c>
      <c r="R865">
        <v>0.99606651107009003</v>
      </c>
      <c r="S865" t="s">
        <v>4697</v>
      </c>
      <c r="T865" t="s">
        <v>7662</v>
      </c>
      <c r="U865" t="s">
        <v>7662</v>
      </c>
      <c r="V865" t="s">
        <v>7662</v>
      </c>
      <c r="W865">
        <v>17</v>
      </c>
      <c r="X865" t="s">
        <v>8527</v>
      </c>
      <c r="Y865">
        <v>0.44134750189613148</v>
      </c>
      <c r="Z865" t="str">
        <f>HYPERLINK("Melting_Curves/meltCurve_sp_P31153_METK2_HUMAN_.pdf", "Melting_Curves/meltCurve_sp_P31153_METK2_HUMAN_.pdf")</f>
        <v>Melting_Curves/meltCurve_sp_P31153_METK2_HUMAN_.pdf</v>
      </c>
      <c r="AA865" t="s">
        <v>12343</v>
      </c>
      <c r="AB865" t="s">
        <v>16106</v>
      </c>
    </row>
    <row r="866" spans="1:28" x14ac:dyDescent="0.25">
      <c r="A866" t="s">
        <v>870</v>
      </c>
      <c r="B866">
        <v>0.98876768158843997</v>
      </c>
      <c r="C866">
        <v>1.1286622186155699</v>
      </c>
      <c r="D866">
        <v>0.84610740697909603</v>
      </c>
      <c r="E866">
        <v>0.63505385876426401</v>
      </c>
      <c r="F866">
        <v>0.52767406519263305</v>
      </c>
      <c r="G866">
        <v>0.29869272863386798</v>
      </c>
      <c r="H866">
        <v>0.20355062247511899</v>
      </c>
      <c r="I866">
        <v>0.15730789265026901</v>
      </c>
      <c r="J866">
        <v>0.22738437867674299</v>
      </c>
      <c r="K866">
        <v>0.23945141372877801</v>
      </c>
      <c r="L866">
        <v>909.09371368255802</v>
      </c>
      <c r="M866">
        <v>17.7931370538486</v>
      </c>
      <c r="N866">
        <v>52.515723636157198</v>
      </c>
      <c r="O866">
        <v>50.460129848941101</v>
      </c>
      <c r="P866">
        <v>-7.1293828473309798E-2</v>
      </c>
      <c r="Q866">
        <v>0.191303924350891</v>
      </c>
      <c r="R866">
        <v>0.96698569834927794</v>
      </c>
      <c r="S866" t="s">
        <v>4698</v>
      </c>
      <c r="T866" t="s">
        <v>7662</v>
      </c>
      <c r="U866" t="s">
        <v>7662</v>
      </c>
      <c r="V866" t="s">
        <v>7662</v>
      </c>
      <c r="W866">
        <v>6</v>
      </c>
      <c r="X866" t="s">
        <v>8528</v>
      </c>
      <c r="Y866">
        <v>0.50421200182627846</v>
      </c>
      <c r="Z866" t="str">
        <f>HYPERLINK("Melting_Curves/meltCurve_sp_P31321_KAP1_HUMAN_.pdf", "Melting_Curves/meltCurve_sp_P31321_KAP1_HUMAN_.pdf")</f>
        <v>Melting_Curves/meltCurve_sp_P31321_KAP1_HUMAN_.pdf</v>
      </c>
      <c r="AA866" t="s">
        <v>12344</v>
      </c>
      <c r="AB866" t="s">
        <v>16107</v>
      </c>
    </row>
    <row r="867" spans="1:28" x14ac:dyDescent="0.25">
      <c r="A867" t="s">
        <v>871</v>
      </c>
      <c r="B867">
        <v>0.98876768158843997</v>
      </c>
      <c r="C867">
        <v>0.73925545339573795</v>
      </c>
      <c r="D867">
        <v>1.1209149034855499</v>
      </c>
      <c r="E867">
        <v>0.993351086942172</v>
      </c>
      <c r="F867">
        <v>0.38930535173762898</v>
      </c>
      <c r="G867">
        <v>9.5149066551901307E-2</v>
      </c>
      <c r="H867">
        <v>3.6691262076851798E-2</v>
      </c>
      <c r="I867">
        <v>2.94231365040576E-2</v>
      </c>
      <c r="J867">
        <v>3.4802736323310303E-2</v>
      </c>
      <c r="K867">
        <v>2.8408843806413401E-2</v>
      </c>
      <c r="L867">
        <v>4164.3889117763201</v>
      </c>
      <c r="M867">
        <v>79.139826989496697</v>
      </c>
      <c r="N867">
        <v>52.6824460131335</v>
      </c>
      <c r="O867">
        <v>52.587076672520503</v>
      </c>
      <c r="P867">
        <v>-0.35955496310141299</v>
      </c>
      <c r="Q867">
        <v>4.4327369149228101E-2</v>
      </c>
      <c r="R867">
        <v>0.95592382037353696</v>
      </c>
      <c r="S867" t="s">
        <v>4699</v>
      </c>
      <c r="T867" t="s">
        <v>7662</v>
      </c>
      <c r="U867" t="s">
        <v>7662</v>
      </c>
      <c r="V867" t="s">
        <v>7662</v>
      </c>
      <c r="W867">
        <v>109</v>
      </c>
      <c r="X867" t="s">
        <v>8529</v>
      </c>
      <c r="Y867">
        <v>0.44725006305929949</v>
      </c>
      <c r="Z867" t="str">
        <f>HYPERLINK("Melting_Curves/meltCurve_sp_P31327_CPSM_HUMAN_.pdf", "Melting_Curves/meltCurve_sp_P31327_CPSM_HUMAN_.pdf")</f>
        <v>Melting_Curves/meltCurve_sp_P31327_CPSM_HUMAN_.pdf</v>
      </c>
      <c r="AA867" t="s">
        <v>12345</v>
      </c>
      <c r="AB867" t="s">
        <v>16108</v>
      </c>
    </row>
    <row r="868" spans="1:28" x14ac:dyDescent="0.25">
      <c r="A868" t="s">
        <v>872</v>
      </c>
      <c r="B868">
        <v>0.98876768158843997</v>
      </c>
      <c r="C868">
        <v>0.95360106937827405</v>
      </c>
      <c r="D868">
        <v>0.888042046163528</v>
      </c>
      <c r="E868">
        <v>0.62944906713388904</v>
      </c>
      <c r="F868">
        <v>0.53355551868170903</v>
      </c>
      <c r="G868">
        <v>0.41918610978536303</v>
      </c>
      <c r="H868">
        <v>0.31531966596950101</v>
      </c>
      <c r="I868">
        <v>0.31066624186886199</v>
      </c>
      <c r="J868">
        <v>0.30276000942792702</v>
      </c>
      <c r="K868">
        <v>0.184276261845956</v>
      </c>
      <c r="L868">
        <v>649.97770834172002</v>
      </c>
      <c r="M868">
        <v>12.6720938780169</v>
      </c>
      <c r="N868">
        <v>53.852638970172599</v>
      </c>
      <c r="O868">
        <v>50.065035011120997</v>
      </c>
      <c r="P868">
        <v>-4.89686122045985E-2</v>
      </c>
      <c r="Q868">
        <v>0.22628835297046501</v>
      </c>
      <c r="R868">
        <v>0.98640846782879998</v>
      </c>
      <c r="S868" t="s">
        <v>4700</v>
      </c>
      <c r="T868" t="s">
        <v>7662</v>
      </c>
      <c r="U868" t="s">
        <v>7662</v>
      </c>
      <c r="V868" t="s">
        <v>7662</v>
      </c>
      <c r="W868">
        <v>6</v>
      </c>
      <c r="X868" t="s">
        <v>8530</v>
      </c>
      <c r="Y868">
        <v>0.54045548103925001</v>
      </c>
      <c r="Z868" t="str">
        <f>HYPERLINK("Melting_Curves/meltCurve_sp_P31350_RIR2_HUMAN_.pdf", "Melting_Curves/meltCurve_sp_P31350_RIR2_HUMAN_.pdf")</f>
        <v>Melting_Curves/meltCurve_sp_P31350_RIR2_HUMAN_.pdf</v>
      </c>
      <c r="AA868" t="s">
        <v>12346</v>
      </c>
      <c r="AB868" t="s">
        <v>16109</v>
      </c>
    </row>
    <row r="869" spans="1:28" x14ac:dyDescent="0.25">
      <c r="A869" t="s">
        <v>873</v>
      </c>
      <c r="B869">
        <v>0.98876768158843997</v>
      </c>
      <c r="C869">
        <v>0.92762220734211898</v>
      </c>
      <c r="D869">
        <v>0.96753864548853197</v>
      </c>
      <c r="E869">
        <v>0.55235177831784699</v>
      </c>
      <c r="F869">
        <v>0.44472285700784803</v>
      </c>
      <c r="G869">
        <v>0.166854401754991</v>
      </c>
      <c r="H869">
        <v>8.7463071588324295E-2</v>
      </c>
      <c r="I869">
        <v>8.9774475876798196E-2</v>
      </c>
      <c r="J869">
        <v>9.4031223648109202E-2</v>
      </c>
      <c r="K869">
        <v>0.12127238636999001</v>
      </c>
      <c r="L869">
        <v>986.22879901162901</v>
      </c>
      <c r="M869">
        <v>19.362590261979999</v>
      </c>
      <c r="N869">
        <v>51.4182610282257</v>
      </c>
      <c r="O869">
        <v>50.400792698275701</v>
      </c>
      <c r="P869">
        <v>-8.8052671000250604E-2</v>
      </c>
      <c r="Q869">
        <v>8.3230088023148394E-2</v>
      </c>
      <c r="R869">
        <v>0.98568437125040698</v>
      </c>
      <c r="S869" t="s">
        <v>4701</v>
      </c>
      <c r="T869" t="s">
        <v>7662</v>
      </c>
      <c r="U869" t="s">
        <v>7662</v>
      </c>
      <c r="V869" t="s">
        <v>7662</v>
      </c>
      <c r="W869">
        <v>7</v>
      </c>
      <c r="X869" t="s">
        <v>8531</v>
      </c>
      <c r="Y869">
        <v>0.43090714872373648</v>
      </c>
      <c r="Z869" t="str">
        <f>HYPERLINK("Melting_Curves/meltCurve_sp_P31689_DNJA1_HUMAN_.pdf", "Melting_Curves/meltCurve_sp_P31689_DNJA1_HUMAN_.pdf")</f>
        <v>Melting_Curves/meltCurve_sp_P31689_DNJA1_HUMAN_.pdf</v>
      </c>
      <c r="AA869" t="s">
        <v>12347</v>
      </c>
      <c r="AB869" t="s">
        <v>16110</v>
      </c>
    </row>
    <row r="870" spans="1:28" x14ac:dyDescent="0.25">
      <c r="A870" t="s">
        <v>874</v>
      </c>
      <c r="B870">
        <v>0.98876768158843997</v>
      </c>
      <c r="C870">
        <v>0.96597722320966195</v>
      </c>
      <c r="D870">
        <v>0.81438925618968605</v>
      </c>
      <c r="E870">
        <v>0.54853042317192602</v>
      </c>
      <c r="F870">
        <v>0.23034284814297901</v>
      </c>
      <c r="G870">
        <v>0.12067616887408</v>
      </c>
      <c r="H870">
        <v>8.4577373707228107E-2</v>
      </c>
      <c r="I870">
        <v>7.3057831338827706E-2</v>
      </c>
      <c r="J870">
        <v>8.3088921631900306E-2</v>
      </c>
      <c r="K870">
        <v>7.6479123442238506E-2</v>
      </c>
      <c r="L870">
        <v>1020.42411278392</v>
      </c>
      <c r="M870">
        <v>20.539289852865501</v>
      </c>
      <c r="N870">
        <v>50.025084972212497</v>
      </c>
      <c r="O870">
        <v>49.2178065749411</v>
      </c>
      <c r="P870">
        <v>-9.7469378029437795E-2</v>
      </c>
      <c r="Q870">
        <v>6.5773200717312394E-2</v>
      </c>
      <c r="R870">
        <v>0.99633981584422304</v>
      </c>
      <c r="S870" t="s">
        <v>4702</v>
      </c>
      <c r="T870" t="s">
        <v>7662</v>
      </c>
      <c r="U870" t="s">
        <v>7662</v>
      </c>
      <c r="V870" t="s">
        <v>7662</v>
      </c>
      <c r="W870">
        <v>9</v>
      </c>
      <c r="X870" t="s">
        <v>8532</v>
      </c>
      <c r="Y870">
        <v>0.37962112475273652</v>
      </c>
      <c r="Z870" t="str">
        <f>HYPERLINK("Melting_Curves/meltCurve_sp_P31749_AKT1_HUMAN_.pdf", "Melting_Curves/meltCurve_sp_P31749_AKT1_HUMAN_.pdf")</f>
        <v>Melting_Curves/meltCurve_sp_P31749_AKT1_HUMAN_.pdf</v>
      </c>
      <c r="AA870" t="s">
        <v>12348</v>
      </c>
      <c r="AB870" t="s">
        <v>16111</v>
      </c>
    </row>
    <row r="871" spans="1:28" x14ac:dyDescent="0.25">
      <c r="A871" t="s">
        <v>875</v>
      </c>
      <c r="B871">
        <v>0.98876768158843997</v>
      </c>
      <c r="C871">
        <v>1.0387055254475801</v>
      </c>
      <c r="D871">
        <v>0.88329754286752005</v>
      </c>
      <c r="E871">
        <v>0.71342639678739705</v>
      </c>
      <c r="F871">
        <v>0.441412561590387</v>
      </c>
      <c r="G871">
        <v>0.15326199480073899</v>
      </c>
      <c r="H871">
        <v>9.4276862329024103E-2</v>
      </c>
      <c r="I871">
        <v>8.6278089260395402E-2</v>
      </c>
      <c r="J871">
        <v>9.2602346846041295E-2</v>
      </c>
      <c r="K871">
        <v>7.30507744804898E-2</v>
      </c>
      <c r="L871">
        <v>1095.4056465158901</v>
      </c>
      <c r="M871">
        <v>21.1455294732474</v>
      </c>
      <c r="N871">
        <v>52.153987445668697</v>
      </c>
      <c r="O871">
        <v>51.346547174890603</v>
      </c>
      <c r="P871">
        <v>-9.6132597688921295E-2</v>
      </c>
      <c r="Q871">
        <v>6.6290004545775702E-2</v>
      </c>
      <c r="R871">
        <v>0.99495367127558099</v>
      </c>
      <c r="S871" t="s">
        <v>4703</v>
      </c>
      <c r="T871" t="s">
        <v>7662</v>
      </c>
      <c r="U871" t="s">
        <v>7662</v>
      </c>
      <c r="V871" t="s">
        <v>7662</v>
      </c>
      <c r="W871">
        <v>17</v>
      </c>
      <c r="X871" t="s">
        <v>8533</v>
      </c>
      <c r="Y871">
        <v>0.44532816123373209</v>
      </c>
      <c r="Z871" t="str">
        <f>HYPERLINK("Melting_Curves/meltCurve_sp_P31751_AKT2_HUMAN_.pdf", "Melting_Curves/meltCurve_sp_P31751_AKT2_HUMAN_.pdf")</f>
        <v>Melting_Curves/meltCurve_sp_P31751_AKT2_HUMAN_.pdf</v>
      </c>
      <c r="AA871" t="s">
        <v>12349</v>
      </c>
      <c r="AB871" t="s">
        <v>16112</v>
      </c>
    </row>
    <row r="872" spans="1:28" x14ac:dyDescent="0.25">
      <c r="A872" t="s">
        <v>876</v>
      </c>
      <c r="B872">
        <v>0.98876768158843997</v>
      </c>
      <c r="C872">
        <v>0.76949772717178799</v>
      </c>
      <c r="D872">
        <v>0.26680719513266199</v>
      </c>
      <c r="E872">
        <v>9.4735307928769594E-2</v>
      </c>
      <c r="F872">
        <v>6.3938254562373398E-2</v>
      </c>
      <c r="G872">
        <v>3.5622708270611397E-2</v>
      </c>
      <c r="H872">
        <v>2.1192044691064602E-2</v>
      </c>
      <c r="I872">
        <v>2.3337207373547698E-2</v>
      </c>
      <c r="J872">
        <v>1.28708789861564E-2</v>
      </c>
      <c r="K872">
        <v>1.53284113393552E-2</v>
      </c>
      <c r="L872">
        <v>1419.8367986988601</v>
      </c>
      <c r="M872">
        <v>31.9473986353489</v>
      </c>
      <c r="N872">
        <v>44.535748584010697</v>
      </c>
      <c r="O872">
        <v>44.269907027869202</v>
      </c>
      <c r="P872">
        <v>-0.174603300164901</v>
      </c>
      <c r="Q872">
        <v>3.2205069900058197E-2</v>
      </c>
      <c r="R872">
        <v>0.99718422952359798</v>
      </c>
      <c r="S872" t="s">
        <v>4704</v>
      </c>
      <c r="T872" t="s">
        <v>7662</v>
      </c>
      <c r="U872" t="s">
        <v>7662</v>
      </c>
      <c r="V872" t="s">
        <v>7662</v>
      </c>
      <c r="W872">
        <v>6</v>
      </c>
      <c r="X872" t="s">
        <v>8534</v>
      </c>
      <c r="Y872">
        <v>0.1811959459965494</v>
      </c>
      <c r="Z872" t="str">
        <f>HYPERLINK("Melting_Curves/meltCurve_sp_P31930_QCR1_HUMAN_.pdf", "Melting_Curves/meltCurve_sp_P31930_QCR1_HUMAN_.pdf")</f>
        <v>Melting_Curves/meltCurve_sp_P31930_QCR1_HUMAN_.pdf</v>
      </c>
      <c r="AA872" t="s">
        <v>12350</v>
      </c>
      <c r="AB872" t="s">
        <v>16113</v>
      </c>
    </row>
    <row r="873" spans="1:28" x14ac:dyDescent="0.25">
      <c r="A873" t="s">
        <v>877</v>
      </c>
      <c r="B873">
        <v>0.98876768158843997</v>
      </c>
      <c r="C873">
        <v>0.93489203414064004</v>
      </c>
      <c r="D873">
        <v>0.98446095736893502</v>
      </c>
      <c r="E873">
        <v>0.96264662454083405</v>
      </c>
      <c r="F873">
        <v>0.881924789430654</v>
      </c>
      <c r="G873">
        <v>0.71783077509507398</v>
      </c>
      <c r="H873">
        <v>0.56444729896678303</v>
      </c>
      <c r="I873">
        <v>0.14029700499544101</v>
      </c>
      <c r="J873">
        <v>3.4352542788139602E-2</v>
      </c>
      <c r="K873">
        <v>3.2759510791351601E-2</v>
      </c>
      <c r="L873">
        <v>1301.78945874597</v>
      </c>
      <c r="M873">
        <v>21.620219618040199</v>
      </c>
      <c r="N873">
        <v>60.211676044496997</v>
      </c>
      <c r="O873">
        <v>59.703650281620199</v>
      </c>
      <c r="P873">
        <v>-9.0533572657736899E-2</v>
      </c>
      <c r="Q873">
        <v>0</v>
      </c>
      <c r="R873">
        <v>0.97225678464810705</v>
      </c>
      <c r="S873" t="s">
        <v>4705</v>
      </c>
      <c r="T873" t="s">
        <v>7662</v>
      </c>
      <c r="U873" t="s">
        <v>7662</v>
      </c>
      <c r="V873" t="s">
        <v>7662</v>
      </c>
      <c r="W873">
        <v>11</v>
      </c>
      <c r="X873" t="s">
        <v>8535</v>
      </c>
      <c r="Y873">
        <v>0.68155315266620364</v>
      </c>
      <c r="Z873" t="str">
        <f>HYPERLINK("Melting_Curves/meltCurve_sp_P31937_3HIDH_HUMAN_.pdf", "Melting_Curves/meltCurve_sp_P31937_3HIDH_HUMAN_.pdf")</f>
        <v>Melting_Curves/meltCurve_sp_P31937_3HIDH_HUMAN_.pdf</v>
      </c>
      <c r="AA873" t="s">
        <v>12351</v>
      </c>
      <c r="AB873" t="s">
        <v>16114</v>
      </c>
    </row>
    <row r="874" spans="1:28" x14ac:dyDescent="0.25">
      <c r="A874" t="s">
        <v>878</v>
      </c>
      <c r="B874">
        <v>0.98876768158843997</v>
      </c>
      <c r="C874">
        <v>0.80842108341556995</v>
      </c>
      <c r="D874">
        <v>0.65525501749144099</v>
      </c>
      <c r="E874">
        <v>0.20416699221187701</v>
      </c>
      <c r="F874">
        <v>0.107738248689781</v>
      </c>
      <c r="G874">
        <v>6.0635204375887597E-2</v>
      </c>
      <c r="H874">
        <v>4.3263727536759597E-2</v>
      </c>
      <c r="I874">
        <v>3.5125932887066398E-2</v>
      </c>
      <c r="J874">
        <v>3.6999715032793798E-2</v>
      </c>
      <c r="K874">
        <v>3.07549403917678E-2</v>
      </c>
      <c r="L874">
        <v>959.72934363893103</v>
      </c>
      <c r="M874">
        <v>20.4944361355717</v>
      </c>
      <c r="N874">
        <v>46.970690279418598</v>
      </c>
      <c r="O874">
        <v>46.389761552196198</v>
      </c>
      <c r="P874">
        <v>-0.10713437290078701</v>
      </c>
      <c r="Q874">
        <v>3.0021394687990401E-2</v>
      </c>
      <c r="R874">
        <v>0.99342681169502001</v>
      </c>
      <c r="S874" t="s">
        <v>4706</v>
      </c>
      <c r="T874" t="s">
        <v>7662</v>
      </c>
      <c r="U874" t="s">
        <v>7662</v>
      </c>
      <c r="V874" t="s">
        <v>7662</v>
      </c>
      <c r="W874">
        <v>14</v>
      </c>
      <c r="X874" t="s">
        <v>8536</v>
      </c>
      <c r="Y874">
        <v>0.26435962217611808</v>
      </c>
      <c r="Z874" t="str">
        <f>HYPERLINK("Melting_Curves/meltCurve_sp_P31939_PUR9_HUMAN_.pdf", "Melting_Curves/meltCurve_sp_P31939_PUR9_HUMAN_.pdf")</f>
        <v>Melting_Curves/meltCurve_sp_P31939_PUR9_HUMAN_.pdf</v>
      </c>
      <c r="AA874" t="s">
        <v>12352</v>
      </c>
      <c r="AB874" t="s">
        <v>16115</v>
      </c>
    </row>
    <row r="875" spans="1:28" x14ac:dyDescent="0.25">
      <c r="A875" t="s">
        <v>879</v>
      </c>
      <c r="B875">
        <v>0.98876768158843997</v>
      </c>
      <c r="C875">
        <v>1.06587731220668</v>
      </c>
      <c r="D875">
        <v>0.92317983298572004</v>
      </c>
      <c r="E875">
        <v>0.699752107868995</v>
      </c>
      <c r="F875">
        <v>0.53365955546044197</v>
      </c>
      <c r="G875">
        <v>0.32771649062018798</v>
      </c>
      <c r="H875">
        <v>0.23073172928640701</v>
      </c>
      <c r="I875">
        <v>0.20101906510159501</v>
      </c>
      <c r="J875">
        <v>0.23337628512049999</v>
      </c>
      <c r="K875">
        <v>0.19810829927395199</v>
      </c>
      <c r="L875">
        <v>961.82963455282299</v>
      </c>
      <c r="M875">
        <v>18.5759773549049</v>
      </c>
      <c r="N875">
        <v>53.212763762195003</v>
      </c>
      <c r="O875">
        <v>51.189278234485499</v>
      </c>
      <c r="P875">
        <v>-7.2854756434257303E-2</v>
      </c>
      <c r="Q875">
        <v>0.196980094908597</v>
      </c>
      <c r="R875">
        <v>0.99174934421581096</v>
      </c>
      <c r="S875" t="s">
        <v>4707</v>
      </c>
      <c r="T875" t="s">
        <v>7662</v>
      </c>
      <c r="U875" t="s">
        <v>7662</v>
      </c>
      <c r="V875" t="s">
        <v>7662</v>
      </c>
      <c r="W875">
        <v>6</v>
      </c>
      <c r="X875" t="s">
        <v>8537</v>
      </c>
      <c r="Y875">
        <v>0.52493711876842852</v>
      </c>
      <c r="Z875" t="str">
        <f>HYPERLINK("Melting_Curves/meltCurve_sp_P31942_2_HNRH3_HUMAN_.pdf", "Melting_Curves/meltCurve_sp_P31942_2_HNRH3_HUMAN_.pdf")</f>
        <v>Melting_Curves/meltCurve_sp_P31942_2_HNRH3_HUMAN_.pdf</v>
      </c>
      <c r="AA875" t="s">
        <v>12353</v>
      </c>
      <c r="AB875" t="s">
        <v>16116</v>
      </c>
    </row>
    <row r="876" spans="1:28" x14ac:dyDescent="0.25">
      <c r="A876" t="s">
        <v>880</v>
      </c>
      <c r="B876">
        <v>0.98876768158843997</v>
      </c>
      <c r="C876">
        <v>0.98685501713726798</v>
      </c>
      <c r="D876">
        <v>0.90314687110621805</v>
      </c>
      <c r="E876">
        <v>0.805970843871195</v>
      </c>
      <c r="F876">
        <v>0.86568006628991201</v>
      </c>
      <c r="G876">
        <v>0.58881269767268896</v>
      </c>
      <c r="H876">
        <v>0.19964421370013599</v>
      </c>
      <c r="I876">
        <v>9.2997485975821498E-2</v>
      </c>
      <c r="J876">
        <v>6.1726027105800101E-2</v>
      </c>
      <c r="K876">
        <v>6.6566982131490801E-2</v>
      </c>
      <c r="L876">
        <v>1074.3812025731299</v>
      </c>
      <c r="M876">
        <v>18.721766145624599</v>
      </c>
      <c r="N876">
        <v>57.386745270842802</v>
      </c>
      <c r="O876">
        <v>56.744029381741697</v>
      </c>
      <c r="P876">
        <v>-8.2486903964309605E-2</v>
      </c>
      <c r="Q876">
        <v>0</v>
      </c>
      <c r="R876">
        <v>0.97595773627706295</v>
      </c>
      <c r="S876" t="s">
        <v>4708</v>
      </c>
      <c r="T876" t="s">
        <v>7662</v>
      </c>
      <c r="U876" t="s">
        <v>7662</v>
      </c>
      <c r="V876" t="s">
        <v>7662</v>
      </c>
      <c r="W876">
        <v>16</v>
      </c>
      <c r="X876" t="s">
        <v>8538</v>
      </c>
      <c r="Y876">
        <v>0.59232871823065669</v>
      </c>
      <c r="Z876" t="str">
        <f>HYPERLINK("Melting_Curves/meltCurve_sp_P31946_2_1433B_HUMAN_.pdf", "Melting_Curves/meltCurve_sp_P31946_2_1433B_HUMAN_.pdf")</f>
        <v>Melting_Curves/meltCurve_sp_P31946_2_1433B_HUMAN_.pdf</v>
      </c>
      <c r="AA876" t="s">
        <v>12354</v>
      </c>
      <c r="AB876" t="s">
        <v>16117</v>
      </c>
    </row>
    <row r="877" spans="1:28" x14ac:dyDescent="0.25">
      <c r="A877" t="s">
        <v>881</v>
      </c>
      <c r="B877">
        <v>0.98876768158843997</v>
      </c>
      <c r="C877">
        <v>1.1755809927316401</v>
      </c>
      <c r="D877">
        <v>0.94334428124179504</v>
      </c>
      <c r="E877">
        <v>1.0214226224982901</v>
      </c>
      <c r="F877">
        <v>1.1022076200150099</v>
      </c>
      <c r="G877">
        <v>0.67610590127616499</v>
      </c>
      <c r="H877">
        <v>0.25290420713136502</v>
      </c>
      <c r="I877">
        <v>0.11828405661402799</v>
      </c>
      <c r="J877">
        <v>5.6155436833178897E-2</v>
      </c>
      <c r="K877">
        <v>3.5948874919084599E-2</v>
      </c>
      <c r="L877">
        <v>2004.79717880516</v>
      </c>
      <c r="M877">
        <v>34.336909158135498</v>
      </c>
      <c r="N877">
        <v>58.5804686670743</v>
      </c>
      <c r="O877">
        <v>58.189102382659101</v>
      </c>
      <c r="P877">
        <v>-0.13957990388300601</v>
      </c>
      <c r="Q877">
        <v>5.3846341142790702E-2</v>
      </c>
      <c r="R877">
        <v>0.97256809855121895</v>
      </c>
      <c r="S877" t="s">
        <v>4709</v>
      </c>
      <c r="T877" t="s">
        <v>7662</v>
      </c>
      <c r="U877" t="s">
        <v>7662</v>
      </c>
      <c r="V877" t="s">
        <v>7662</v>
      </c>
      <c r="W877">
        <v>6</v>
      </c>
      <c r="X877" t="s">
        <v>8539</v>
      </c>
      <c r="Y877">
        <v>0.63863607754662888</v>
      </c>
      <c r="Z877" t="str">
        <f>HYPERLINK("Melting_Curves/meltCurve_sp_P31947_2_1433S_HUMAN_.pdf", "Melting_Curves/meltCurve_sp_P31947_2_1433S_HUMAN_.pdf")</f>
        <v>Melting_Curves/meltCurve_sp_P31947_2_1433S_HUMAN_.pdf</v>
      </c>
      <c r="AA877" t="s">
        <v>12355</v>
      </c>
      <c r="AB877" t="s">
        <v>16118</v>
      </c>
    </row>
    <row r="878" spans="1:28" x14ac:dyDescent="0.25">
      <c r="A878" t="s">
        <v>882</v>
      </c>
      <c r="B878">
        <v>0.98876768158843997</v>
      </c>
      <c r="C878">
        <v>0.97087428083049998</v>
      </c>
      <c r="D878">
        <v>1.0091442700583799</v>
      </c>
      <c r="E878">
        <v>0.92846713171680395</v>
      </c>
      <c r="F878">
        <v>0.96744551138041501</v>
      </c>
      <c r="G878">
        <v>0.68580733541134697</v>
      </c>
      <c r="H878">
        <v>0.543647786983527</v>
      </c>
      <c r="I878">
        <v>0.62606499698623297</v>
      </c>
      <c r="J878">
        <v>0.65559762424023804</v>
      </c>
      <c r="K878">
        <v>0.88121551724153302</v>
      </c>
      <c r="L878">
        <v>4292.0731471348399</v>
      </c>
      <c r="M878">
        <v>78.8266060222102</v>
      </c>
      <c r="O878">
        <v>54.414540746815298</v>
      </c>
      <c r="P878">
        <v>-0.11711464896943501</v>
      </c>
      <c r="Q878">
        <v>0.67661993348530103</v>
      </c>
      <c r="R878">
        <v>0.75724374113093695</v>
      </c>
      <c r="S878" t="s">
        <v>4710</v>
      </c>
      <c r="T878" t="s">
        <v>7662</v>
      </c>
      <c r="U878" t="s">
        <v>7662</v>
      </c>
      <c r="V878" t="s">
        <v>7662</v>
      </c>
      <c r="W878">
        <v>42</v>
      </c>
      <c r="X878" t="s">
        <v>8540</v>
      </c>
      <c r="Y878">
        <v>0.83268792064497077</v>
      </c>
      <c r="Z878" t="str">
        <f>HYPERLINK("Melting_Curves/meltCurve_sp_P31948_STIP1_HUMAN_.pdf", "Melting_Curves/meltCurve_sp_P31948_STIP1_HUMAN_.pdf")</f>
        <v>Melting_Curves/meltCurve_sp_P31948_STIP1_HUMAN_.pdf</v>
      </c>
      <c r="AA878" t="s">
        <v>12356</v>
      </c>
      <c r="AB878" t="s">
        <v>16119</v>
      </c>
    </row>
    <row r="879" spans="1:28" x14ac:dyDescent="0.25">
      <c r="A879" t="s">
        <v>883</v>
      </c>
      <c r="B879">
        <v>0.98876768158843997</v>
      </c>
      <c r="C879">
        <v>1.1658635026111499</v>
      </c>
      <c r="D879">
        <v>0.93003379655282803</v>
      </c>
      <c r="E879">
        <v>0.79476029420306504</v>
      </c>
      <c r="F879">
        <v>0.88659616700353705</v>
      </c>
      <c r="G879">
        <v>0.65328647095815795</v>
      </c>
      <c r="H879">
        <v>0.46585397116958299</v>
      </c>
      <c r="I879">
        <v>0.44835225539255802</v>
      </c>
      <c r="J879">
        <v>0.47764130744760902</v>
      </c>
      <c r="K879">
        <v>0.56625075876308695</v>
      </c>
      <c r="L879">
        <v>963.83358530215503</v>
      </c>
      <c r="M879">
        <v>17.712308709424999</v>
      </c>
      <c r="N879">
        <v>64.2379169632638</v>
      </c>
      <c r="O879">
        <v>53.736639891899401</v>
      </c>
      <c r="P879">
        <v>-4.3950386262907898E-2</v>
      </c>
      <c r="Q879">
        <v>0.46667119455900202</v>
      </c>
      <c r="R879">
        <v>0.87916323496343896</v>
      </c>
      <c r="S879" t="s">
        <v>4711</v>
      </c>
      <c r="T879" t="s">
        <v>7662</v>
      </c>
      <c r="U879" t="s">
        <v>7662</v>
      </c>
      <c r="V879" t="s">
        <v>7662</v>
      </c>
      <c r="W879">
        <v>4</v>
      </c>
      <c r="X879" t="s">
        <v>8541</v>
      </c>
      <c r="Y879">
        <v>0.73157633906881503</v>
      </c>
      <c r="Z879" t="str">
        <f>HYPERLINK("Melting_Curves/meltCurve_sp_P31949_S10AB_HUMAN_.pdf", "Melting_Curves/meltCurve_sp_P31949_S10AB_HUMAN_.pdf")</f>
        <v>Melting_Curves/meltCurve_sp_P31949_S10AB_HUMAN_.pdf</v>
      </c>
      <c r="AA879" t="s">
        <v>12357</v>
      </c>
      <c r="AB879" t="s">
        <v>16120</v>
      </c>
    </row>
    <row r="880" spans="1:28" x14ac:dyDescent="0.25">
      <c r="A880" t="s">
        <v>884</v>
      </c>
      <c r="B880">
        <v>0.98876768158843997</v>
      </c>
      <c r="C880">
        <v>0.837595890507286</v>
      </c>
      <c r="D880">
        <v>1.0987155452406101</v>
      </c>
      <c r="E880">
        <v>1.10840193367437</v>
      </c>
      <c r="F880">
        <v>0.70111123510256701</v>
      </c>
      <c r="G880">
        <v>0.39834824884011699</v>
      </c>
      <c r="H880">
        <v>0.22098583894734899</v>
      </c>
      <c r="I880">
        <v>0.21775371396174001</v>
      </c>
      <c r="J880">
        <v>0.178533848797232</v>
      </c>
      <c r="K880">
        <v>0.15868228032267101</v>
      </c>
      <c r="L880">
        <v>1713.49855944158</v>
      </c>
      <c r="M880">
        <v>31.3824934208073</v>
      </c>
      <c r="N880">
        <v>55.4365653600494</v>
      </c>
      <c r="O880">
        <v>54.380190697111601</v>
      </c>
      <c r="P880">
        <v>-0.11707379726775299</v>
      </c>
      <c r="Q880">
        <v>0.188533482961174</v>
      </c>
      <c r="R880">
        <v>0.95248429494838305</v>
      </c>
      <c r="S880" t="s">
        <v>4712</v>
      </c>
      <c r="T880" t="s">
        <v>7662</v>
      </c>
      <c r="U880" t="s">
        <v>7662</v>
      </c>
      <c r="V880" t="s">
        <v>7662</v>
      </c>
      <c r="W880">
        <v>13</v>
      </c>
      <c r="X880" t="s">
        <v>8542</v>
      </c>
      <c r="Y880">
        <v>0.58837996490300204</v>
      </c>
      <c r="Z880" t="str">
        <f>HYPERLINK("Melting_Curves/meltCurve_sp_P32119_PRDX2_HUMAN_.pdf", "Melting_Curves/meltCurve_sp_P32119_PRDX2_HUMAN_.pdf")</f>
        <v>Melting_Curves/meltCurve_sp_P32119_PRDX2_HUMAN_.pdf</v>
      </c>
      <c r="AA880" t="s">
        <v>12358</v>
      </c>
      <c r="AB880" t="s">
        <v>16121</v>
      </c>
    </row>
    <row r="881" spans="1:28" x14ac:dyDescent="0.25">
      <c r="A881" t="s">
        <v>885</v>
      </c>
      <c r="B881">
        <v>0.98876768158843997</v>
      </c>
      <c r="C881">
        <v>0.99205457259742102</v>
      </c>
      <c r="D881">
        <v>0.94329025862014504</v>
      </c>
      <c r="E881">
        <v>0.83814232590563398</v>
      </c>
      <c r="F881">
        <v>0.64486234250379404</v>
      </c>
      <c r="G881">
        <v>0.41690432585617399</v>
      </c>
      <c r="H881">
        <v>0.29878098432514899</v>
      </c>
      <c r="I881">
        <v>0.27375659865367502</v>
      </c>
      <c r="J881">
        <v>0.25230787870716398</v>
      </c>
      <c r="K881">
        <v>0.196389433718376</v>
      </c>
      <c r="L881">
        <v>910.32383417312303</v>
      </c>
      <c r="M881">
        <v>16.948528455662199</v>
      </c>
      <c r="N881">
        <v>55.473151901435202</v>
      </c>
      <c r="O881">
        <v>52.980064707339103</v>
      </c>
      <c r="P881">
        <v>-6.3333153405476503E-2</v>
      </c>
      <c r="Q881">
        <v>0.20814727731050101</v>
      </c>
      <c r="R881">
        <v>0.99815898942100001</v>
      </c>
      <c r="S881" t="s">
        <v>4713</v>
      </c>
      <c r="T881" t="s">
        <v>7662</v>
      </c>
      <c r="U881" t="s">
        <v>7662</v>
      </c>
      <c r="V881" t="s">
        <v>7662</v>
      </c>
      <c r="W881">
        <v>19</v>
      </c>
      <c r="X881" t="s">
        <v>8543</v>
      </c>
      <c r="Y881">
        <v>0.58401038173188724</v>
      </c>
      <c r="Z881" t="str">
        <f>HYPERLINK("Melting_Curves/meltCurve_sp_P32189_1_GLPK_HUMAN_.pdf", "Melting_Curves/meltCurve_sp_P32189_1_GLPK_HUMAN_.pdf")</f>
        <v>Melting_Curves/meltCurve_sp_P32189_1_GLPK_HUMAN_.pdf</v>
      </c>
      <c r="AA881" t="s">
        <v>12359</v>
      </c>
      <c r="AB881" t="s">
        <v>16122</v>
      </c>
    </row>
    <row r="882" spans="1:28" x14ac:dyDescent="0.25">
      <c r="A882" t="s">
        <v>886</v>
      </c>
      <c r="B882">
        <v>0.98876768158843997</v>
      </c>
      <c r="C882">
        <v>1.0286385211223099</v>
      </c>
      <c r="D882">
        <v>0.89493046893246697</v>
      </c>
      <c r="E882">
        <v>0.88253072339590499</v>
      </c>
      <c r="F882">
        <v>0.80294137293832601</v>
      </c>
      <c r="G882">
        <v>0.61993867644163403</v>
      </c>
      <c r="H882">
        <v>0.50377612816116701</v>
      </c>
      <c r="I882">
        <v>0.61915824438576905</v>
      </c>
      <c r="J882">
        <v>0.58979880037297205</v>
      </c>
      <c r="K882">
        <v>0.90253173480203996</v>
      </c>
      <c r="L882">
        <v>1320.8916093421899</v>
      </c>
      <c r="M882">
        <v>25.719672163270001</v>
      </c>
      <c r="O882">
        <v>51.0497787921583</v>
      </c>
      <c r="P882">
        <v>-4.44761790744026E-2</v>
      </c>
      <c r="Q882">
        <v>0.64688935980426199</v>
      </c>
      <c r="R882">
        <v>0.65832285541178004</v>
      </c>
      <c r="S882" t="s">
        <v>4714</v>
      </c>
      <c r="T882" t="s">
        <v>7662</v>
      </c>
      <c r="U882" t="s">
        <v>7662</v>
      </c>
      <c r="V882" t="s">
        <v>7662</v>
      </c>
      <c r="W882">
        <v>8</v>
      </c>
      <c r="X882" t="s">
        <v>8544</v>
      </c>
      <c r="Y882">
        <v>0.78359752279996664</v>
      </c>
      <c r="Z882" t="str">
        <f>HYPERLINK("Melting_Curves/meltCurve_sp_P32320_CDD_HUMAN_.pdf", "Melting_Curves/meltCurve_sp_P32320_CDD_HUMAN_.pdf")</f>
        <v>Melting_Curves/meltCurve_sp_P32320_CDD_HUMAN_.pdf</v>
      </c>
      <c r="AA882" t="s">
        <v>12360</v>
      </c>
      <c r="AB882" t="s">
        <v>16123</v>
      </c>
    </row>
    <row r="883" spans="1:28" x14ac:dyDescent="0.25">
      <c r="A883" t="s">
        <v>887</v>
      </c>
      <c r="B883">
        <v>0.98876768158843997</v>
      </c>
      <c r="C883">
        <v>1.05086037562927</v>
      </c>
      <c r="D883">
        <v>0.880841275562395</v>
      </c>
      <c r="E883">
        <v>0.83031048416193098</v>
      </c>
      <c r="F883">
        <v>0.86249359474958398</v>
      </c>
      <c r="G883">
        <v>0.55126423271795799</v>
      </c>
      <c r="H883">
        <v>0.24675077892821201</v>
      </c>
      <c r="I883">
        <v>8.0588497953930902E-2</v>
      </c>
      <c r="J883">
        <v>4.00116082906763E-2</v>
      </c>
      <c r="K883">
        <v>3.0984091856074699E-2</v>
      </c>
      <c r="L883">
        <v>1078.54861120438</v>
      </c>
      <c r="M883">
        <v>18.818685275364398</v>
      </c>
      <c r="N883">
        <v>57.3126452283677</v>
      </c>
      <c r="O883">
        <v>56.6772326771531</v>
      </c>
      <c r="P883">
        <v>-8.3011570514014296E-2</v>
      </c>
      <c r="Q883">
        <v>0</v>
      </c>
      <c r="R883">
        <v>0.97996635234101603</v>
      </c>
      <c r="S883" t="s">
        <v>4715</v>
      </c>
      <c r="T883" t="s">
        <v>7662</v>
      </c>
      <c r="U883" t="s">
        <v>7662</v>
      </c>
      <c r="V883" t="s">
        <v>7662</v>
      </c>
      <c r="W883">
        <v>7</v>
      </c>
      <c r="X883" t="s">
        <v>8545</v>
      </c>
      <c r="Y883">
        <v>0.58987593828886986</v>
      </c>
      <c r="Z883" t="str">
        <f>HYPERLINK("Melting_Curves/meltCurve_sp_P32321_DCTD_HUMAN_.pdf", "Melting_Curves/meltCurve_sp_P32321_DCTD_HUMAN_.pdf")</f>
        <v>Melting_Curves/meltCurve_sp_P32321_DCTD_HUMAN_.pdf</v>
      </c>
      <c r="AA883" t="s">
        <v>12361</v>
      </c>
      <c r="AB883" t="s">
        <v>16124</v>
      </c>
    </row>
    <row r="884" spans="1:28" x14ac:dyDescent="0.25">
      <c r="A884" t="s">
        <v>888</v>
      </c>
      <c r="B884">
        <v>0.98876768158843997</v>
      </c>
      <c r="C884">
        <v>1.02693387025609</v>
      </c>
      <c r="D884">
        <v>0.88957590895206395</v>
      </c>
      <c r="E884">
        <v>0.76236935187799804</v>
      </c>
      <c r="F884">
        <v>0.15609779965651299</v>
      </c>
      <c r="G884">
        <v>9.8236023663145405E-2</v>
      </c>
      <c r="H884">
        <v>5.06583678839337E-2</v>
      </c>
      <c r="I884">
        <v>4.10457195188733E-2</v>
      </c>
      <c r="J884">
        <v>4.9534161264561997E-2</v>
      </c>
      <c r="K884">
        <v>4.5448344867751997E-2</v>
      </c>
      <c r="L884">
        <v>2742.4797601098699</v>
      </c>
      <c r="M884">
        <v>53.786693538074204</v>
      </c>
      <c r="N884">
        <v>51.099062770219398</v>
      </c>
      <c r="O884">
        <v>50.917738409471198</v>
      </c>
      <c r="P884">
        <v>-0.24952766482969099</v>
      </c>
      <c r="Q884">
        <v>5.5128725588417998E-2</v>
      </c>
      <c r="R884">
        <v>0.99178063020331797</v>
      </c>
      <c r="S884" t="s">
        <v>4716</v>
      </c>
      <c r="T884" t="s">
        <v>7662</v>
      </c>
      <c r="U884" t="s">
        <v>7662</v>
      </c>
      <c r="V884" t="s">
        <v>7662</v>
      </c>
      <c r="W884">
        <v>21</v>
      </c>
      <c r="X884" t="s">
        <v>8546</v>
      </c>
      <c r="Y884">
        <v>0.40304082043811079</v>
      </c>
      <c r="Z884" t="str">
        <f>HYPERLINK("Melting_Curves/meltCurve_sp_P32455_GBP1_HUMAN_.pdf", "Melting_Curves/meltCurve_sp_P32455_GBP1_HUMAN_.pdf")</f>
        <v>Melting_Curves/meltCurve_sp_P32455_GBP1_HUMAN_.pdf</v>
      </c>
      <c r="AA884" t="s">
        <v>12362</v>
      </c>
      <c r="AB884" t="s">
        <v>16125</v>
      </c>
    </row>
    <row r="885" spans="1:28" x14ac:dyDescent="0.25">
      <c r="A885" t="s">
        <v>889</v>
      </c>
      <c r="B885">
        <v>0.98876768158843997</v>
      </c>
      <c r="C885">
        <v>1.04235172795403</v>
      </c>
      <c r="D885">
        <v>0.90747002388350195</v>
      </c>
      <c r="E885">
        <v>0.57266379687471203</v>
      </c>
      <c r="F885">
        <v>0.27846798036006098</v>
      </c>
      <c r="G885">
        <v>0.12625310176535301</v>
      </c>
      <c r="H885">
        <v>8.7657261689159799E-2</v>
      </c>
      <c r="I885">
        <v>8.3600468331414102E-2</v>
      </c>
      <c r="J885">
        <v>6.9873618658350095E-2</v>
      </c>
      <c r="K885">
        <v>5.5068278592213998E-2</v>
      </c>
      <c r="L885">
        <v>1241.5637435788201</v>
      </c>
      <c r="M885">
        <v>24.665167392272298</v>
      </c>
      <c r="N885">
        <v>50.648037005374398</v>
      </c>
      <c r="O885">
        <v>50.009347757957499</v>
      </c>
      <c r="P885">
        <v>-0.1146317004833</v>
      </c>
      <c r="Q885">
        <v>7.0336740059128294E-2</v>
      </c>
      <c r="R885">
        <v>0.99766614484620397</v>
      </c>
      <c r="S885" t="s">
        <v>4717</v>
      </c>
      <c r="T885" t="s">
        <v>7662</v>
      </c>
      <c r="U885" t="s">
        <v>7662</v>
      </c>
      <c r="V885" t="s">
        <v>7662</v>
      </c>
      <c r="W885">
        <v>2</v>
      </c>
      <c r="X885" t="s">
        <v>8547</v>
      </c>
      <c r="Y885">
        <v>0.3992247542790085</v>
      </c>
      <c r="Z885" t="str">
        <f>HYPERLINK("Melting_Curves/meltCurve_sp_P32456_GBP2_HUMAN_.pdf", "Melting_Curves/meltCurve_sp_P32456_GBP2_HUMAN_.pdf")</f>
        <v>Melting_Curves/meltCurve_sp_P32456_GBP2_HUMAN_.pdf</v>
      </c>
      <c r="AA885" t="s">
        <v>12363</v>
      </c>
      <c r="AB885" t="s">
        <v>16126</v>
      </c>
    </row>
    <row r="886" spans="1:28" x14ac:dyDescent="0.25">
      <c r="A886" t="s">
        <v>890</v>
      </c>
      <c r="B886">
        <v>0.98876768158843997</v>
      </c>
      <c r="C886">
        <v>1.0673074210407401</v>
      </c>
      <c r="D886">
        <v>1.07758466560627</v>
      </c>
      <c r="E886">
        <v>1.1034611009898401</v>
      </c>
      <c r="F886">
        <v>0.61986896773613498</v>
      </c>
      <c r="G886">
        <v>0.58528636348007301</v>
      </c>
      <c r="H886">
        <v>0.41781512359338102</v>
      </c>
      <c r="I886">
        <v>0.30124684873778501</v>
      </c>
      <c r="J886">
        <v>0.25598474728274001</v>
      </c>
      <c r="K886">
        <v>0.16954314795133699</v>
      </c>
      <c r="L886">
        <v>946.52219994808195</v>
      </c>
      <c r="M886">
        <v>16.756851380596601</v>
      </c>
      <c r="N886">
        <v>58.130939561446198</v>
      </c>
      <c r="O886">
        <v>55.699618123968897</v>
      </c>
      <c r="P886">
        <v>-6.1012901656872398E-2</v>
      </c>
      <c r="Q886">
        <v>0.188827783961311</v>
      </c>
      <c r="R886">
        <v>0.93078404572470796</v>
      </c>
      <c r="S886" t="s">
        <v>4718</v>
      </c>
      <c r="T886" t="s">
        <v>7662</v>
      </c>
      <c r="U886" t="s">
        <v>7662</v>
      </c>
      <c r="V886" t="s">
        <v>7662</v>
      </c>
      <c r="W886">
        <v>2</v>
      </c>
      <c r="X886" t="s">
        <v>8548</v>
      </c>
      <c r="Y886">
        <v>0.64704806339573762</v>
      </c>
      <c r="Z886" t="str">
        <f>HYPERLINK("Melting_Curves/meltCurve_sp_P32519_2_ELF1_HUMAN_.pdf", "Melting_Curves/meltCurve_sp_P32519_2_ELF1_HUMAN_.pdf")</f>
        <v>Melting_Curves/meltCurve_sp_P32519_2_ELF1_HUMAN_.pdf</v>
      </c>
      <c r="AA886" t="s">
        <v>12364</v>
      </c>
      <c r="AB886" t="s">
        <v>16127</v>
      </c>
    </row>
    <row r="887" spans="1:28" x14ac:dyDescent="0.25">
      <c r="A887" t="s">
        <v>891</v>
      </c>
      <c r="B887">
        <v>0.98876768158843997</v>
      </c>
      <c r="C887">
        <v>0.39857493702669899</v>
      </c>
      <c r="D887">
        <v>1.11024755865719</v>
      </c>
      <c r="E887">
        <v>0.83882441633884897</v>
      </c>
      <c r="F887">
        <v>0.24476568036211999</v>
      </c>
      <c r="G887">
        <v>0.12954584052610901</v>
      </c>
      <c r="H887">
        <v>6.6517158267389104E-2</v>
      </c>
      <c r="I887">
        <v>4.4610673985132701E-2</v>
      </c>
      <c r="J887">
        <v>3.9952738407454801E-2</v>
      </c>
      <c r="K887">
        <v>2.08220000292457E-2</v>
      </c>
      <c r="L887">
        <v>2595.4473574809999</v>
      </c>
      <c r="M887">
        <v>50.333927934896202</v>
      </c>
      <c r="N887">
        <v>51.690774871509802</v>
      </c>
      <c r="O887">
        <v>51.483371503226103</v>
      </c>
      <c r="P887">
        <v>-0.230286215106104</v>
      </c>
      <c r="Q887">
        <v>5.7820326758758499E-2</v>
      </c>
      <c r="R887">
        <v>0.76946814230234595</v>
      </c>
      <c r="S887" t="s">
        <v>4719</v>
      </c>
      <c r="T887" t="s">
        <v>7662</v>
      </c>
      <c r="U887" t="s">
        <v>7662</v>
      </c>
      <c r="V887" t="s">
        <v>7662</v>
      </c>
      <c r="W887">
        <v>26</v>
      </c>
      <c r="X887" t="s">
        <v>8549</v>
      </c>
      <c r="Y887">
        <v>0.4231315136195003</v>
      </c>
      <c r="Z887" t="str">
        <f>HYPERLINK("Melting_Curves/meltCurve_sp_P32754_2_HPPD_HUMAN_.pdf", "Melting_Curves/meltCurve_sp_P32754_2_HPPD_HUMAN_.pdf")</f>
        <v>Melting_Curves/meltCurve_sp_P32754_2_HPPD_HUMAN_.pdf</v>
      </c>
      <c r="AA887" t="s">
        <v>12365</v>
      </c>
      <c r="AB887" t="s">
        <v>16128</v>
      </c>
    </row>
    <row r="888" spans="1:28" x14ac:dyDescent="0.25">
      <c r="A888" t="s">
        <v>892</v>
      </c>
      <c r="B888">
        <v>0.98876768158843997</v>
      </c>
      <c r="C888">
        <v>0.92161845539809695</v>
      </c>
      <c r="D888">
        <v>0.91369299634967605</v>
      </c>
      <c r="E888">
        <v>0.84169639908660798</v>
      </c>
      <c r="F888">
        <v>0.50415727956654499</v>
      </c>
      <c r="G888">
        <v>0.236190932474246</v>
      </c>
      <c r="H888">
        <v>0.121708912941627</v>
      </c>
      <c r="I888">
        <v>7.7717521873234094E-2</v>
      </c>
      <c r="J888">
        <v>5.2655816355042198E-2</v>
      </c>
      <c r="K888">
        <v>4.4602519468533601E-2</v>
      </c>
      <c r="L888">
        <v>1080.5649315585099</v>
      </c>
      <c r="M888">
        <v>20.340767410950299</v>
      </c>
      <c r="N888">
        <v>53.364850052925803</v>
      </c>
      <c r="O888">
        <v>52.617660530429397</v>
      </c>
      <c r="P888">
        <v>-9.23935564594663E-2</v>
      </c>
      <c r="Q888">
        <v>4.40115588983781E-2</v>
      </c>
      <c r="R888">
        <v>0.992585039892809</v>
      </c>
      <c r="S888" t="s">
        <v>4720</v>
      </c>
      <c r="T888" t="s">
        <v>7662</v>
      </c>
      <c r="U888" t="s">
        <v>7662</v>
      </c>
      <c r="V888" t="s">
        <v>7662</v>
      </c>
      <c r="W888">
        <v>27</v>
      </c>
      <c r="X888" t="s">
        <v>8550</v>
      </c>
      <c r="Y888">
        <v>0.47495788878596917</v>
      </c>
      <c r="Z888" t="str">
        <f>HYPERLINK("Melting_Curves/meltCurve_sp_P32754_HPPD_HUMAN_.pdf", "Melting_Curves/meltCurve_sp_P32754_HPPD_HUMAN_.pdf")</f>
        <v>Melting_Curves/meltCurve_sp_P32754_HPPD_HUMAN_.pdf</v>
      </c>
      <c r="AA888" t="s">
        <v>12365</v>
      </c>
      <c r="AB888" t="s">
        <v>16129</v>
      </c>
    </row>
    <row r="889" spans="1:28" x14ac:dyDescent="0.25">
      <c r="A889" t="s">
        <v>893</v>
      </c>
      <c r="B889">
        <v>0.98876768158843997</v>
      </c>
      <c r="C889">
        <v>0.89498890434160905</v>
      </c>
      <c r="D889">
        <v>1.0232780301710001</v>
      </c>
      <c r="E889">
        <v>1.0112703545305199</v>
      </c>
      <c r="F889">
        <v>0.67977672925487798</v>
      </c>
      <c r="G889">
        <v>0.54752063857423205</v>
      </c>
      <c r="H889">
        <v>0.51360723856599899</v>
      </c>
      <c r="I889">
        <v>0.58265626122786696</v>
      </c>
      <c r="J889">
        <v>0.58580641130274202</v>
      </c>
      <c r="K889">
        <v>0.55603149040429201</v>
      </c>
      <c r="L889">
        <v>13199.1377993653</v>
      </c>
      <c r="M889">
        <v>250</v>
      </c>
      <c r="O889">
        <v>52.793172589844403</v>
      </c>
      <c r="P889">
        <v>-0.52430501084666803</v>
      </c>
      <c r="Q889">
        <v>0.55712440186162904</v>
      </c>
      <c r="R889">
        <v>0.96308371222244205</v>
      </c>
      <c r="S889" t="s">
        <v>4721</v>
      </c>
      <c r="T889" t="s">
        <v>7662</v>
      </c>
      <c r="U889" t="s">
        <v>7662</v>
      </c>
      <c r="V889" t="s">
        <v>7662</v>
      </c>
      <c r="W889">
        <v>16</v>
      </c>
      <c r="X889" t="s">
        <v>8551</v>
      </c>
      <c r="Y889">
        <v>0.74607477963103952</v>
      </c>
      <c r="Z889" t="str">
        <f>HYPERLINK("Melting_Curves/meltCurve_sp_P32929_CGL_HUMAN_.pdf", "Melting_Curves/meltCurve_sp_P32929_CGL_HUMAN_.pdf")</f>
        <v>Melting_Curves/meltCurve_sp_P32929_CGL_HUMAN_.pdf</v>
      </c>
      <c r="AA889" t="s">
        <v>12366</v>
      </c>
      <c r="AB889" t="s">
        <v>16130</v>
      </c>
    </row>
    <row r="890" spans="1:28" x14ac:dyDescent="0.25">
      <c r="A890" t="s">
        <v>894</v>
      </c>
      <c r="B890">
        <v>0.98876768158843997</v>
      </c>
      <c r="C890">
        <v>0.66597981597161404</v>
      </c>
      <c r="D890">
        <v>0.43859187585083098</v>
      </c>
      <c r="E890">
        <v>0.18450038641858699</v>
      </c>
      <c r="F890">
        <v>0.110541750065751</v>
      </c>
      <c r="G890">
        <v>5.7764494775232898E-2</v>
      </c>
      <c r="H890">
        <v>3.6338273680318597E-2</v>
      </c>
      <c r="I890">
        <v>3.4402880663568197E-2</v>
      </c>
      <c r="J890">
        <v>4.3542588528809899E-2</v>
      </c>
      <c r="K890">
        <v>3.78103776330702E-2</v>
      </c>
      <c r="L890">
        <v>817.87994268023101</v>
      </c>
      <c r="M890">
        <v>18.169763341347402</v>
      </c>
      <c r="N890">
        <v>45.213461044269998</v>
      </c>
      <c r="O890">
        <v>44.478621396835898</v>
      </c>
      <c r="P890">
        <v>-9.8183378615537498E-2</v>
      </c>
      <c r="Q890">
        <v>3.8654801756936301E-2</v>
      </c>
      <c r="R890">
        <v>0.99014623067638996</v>
      </c>
      <c r="S890" t="s">
        <v>4722</v>
      </c>
      <c r="T890" t="s">
        <v>7662</v>
      </c>
      <c r="U890" t="s">
        <v>7662</v>
      </c>
      <c r="V890" t="s">
        <v>7662</v>
      </c>
      <c r="W890">
        <v>24</v>
      </c>
      <c r="X890" t="s">
        <v>8552</v>
      </c>
      <c r="Y890">
        <v>0.21957013114603011</v>
      </c>
      <c r="Z890" t="str">
        <f>HYPERLINK("Melting_Curves/meltCurve_sp_P33121_ACSL1_HUMAN_.pdf", "Melting_Curves/meltCurve_sp_P33121_ACSL1_HUMAN_.pdf")</f>
        <v>Melting_Curves/meltCurve_sp_P33121_ACSL1_HUMAN_.pdf</v>
      </c>
      <c r="AA890" t="s">
        <v>12367</v>
      </c>
      <c r="AB890" t="s">
        <v>16131</v>
      </c>
    </row>
    <row r="891" spans="1:28" x14ac:dyDescent="0.25">
      <c r="A891" t="s">
        <v>895</v>
      </c>
      <c r="B891">
        <v>0.98876768158843997</v>
      </c>
      <c r="C891">
        <v>0.84352399210626405</v>
      </c>
      <c r="D891">
        <v>0.84293806664893101</v>
      </c>
      <c r="E891">
        <v>0.39421409336257601</v>
      </c>
      <c r="F891">
        <v>0.19170763686676301</v>
      </c>
      <c r="G891">
        <v>0.107596406219634</v>
      </c>
      <c r="H891">
        <v>7.6988706483808497E-2</v>
      </c>
      <c r="I891">
        <v>7.0159105064752994E-2</v>
      </c>
      <c r="J891">
        <v>0.13392266612453699</v>
      </c>
      <c r="K891">
        <v>7.9201457072912804E-2</v>
      </c>
      <c r="L891">
        <v>1078.51204069354</v>
      </c>
      <c r="M891">
        <v>22.205445502545299</v>
      </c>
      <c r="N891">
        <v>48.962192192131901</v>
      </c>
      <c r="O891">
        <v>48.180923567898802</v>
      </c>
      <c r="P891">
        <v>-0.105827655081182</v>
      </c>
      <c r="Q891">
        <v>8.15285718051421E-2</v>
      </c>
      <c r="R891">
        <v>0.98572485070596705</v>
      </c>
      <c r="S891" t="s">
        <v>4723</v>
      </c>
      <c r="T891" t="s">
        <v>7662</v>
      </c>
      <c r="U891" t="s">
        <v>7662</v>
      </c>
      <c r="V891" t="s">
        <v>7662</v>
      </c>
      <c r="W891">
        <v>18</v>
      </c>
      <c r="X891" t="s">
        <v>8553</v>
      </c>
      <c r="Y891">
        <v>0.35429739864576137</v>
      </c>
      <c r="Z891" t="str">
        <f>HYPERLINK("Melting_Curves/meltCurve_sp_P33176_KINH_HUMAN_.pdf", "Melting_Curves/meltCurve_sp_P33176_KINH_HUMAN_.pdf")</f>
        <v>Melting_Curves/meltCurve_sp_P33176_KINH_HUMAN_.pdf</v>
      </c>
      <c r="AA891" t="s">
        <v>12368</v>
      </c>
      <c r="AB891" t="s">
        <v>16132</v>
      </c>
    </row>
    <row r="892" spans="1:28" x14ac:dyDescent="0.25">
      <c r="A892" t="s">
        <v>896</v>
      </c>
      <c r="B892">
        <v>0.98876768158843997</v>
      </c>
      <c r="C892">
        <v>1.09113511553387</v>
      </c>
      <c r="D892">
        <v>0.92195298621316302</v>
      </c>
      <c r="E892">
        <v>0.72007036301588001</v>
      </c>
      <c r="F892">
        <v>0.91083298540090996</v>
      </c>
      <c r="G892">
        <v>0.53957465904860502</v>
      </c>
      <c r="H892">
        <v>0.46814856647180902</v>
      </c>
      <c r="I892">
        <v>0.511860240547928</v>
      </c>
      <c r="J892">
        <v>0.68687048034713505</v>
      </c>
      <c r="K892">
        <v>0.69358367351399197</v>
      </c>
      <c r="L892">
        <v>948.66650298005095</v>
      </c>
      <c r="M892">
        <v>18.613757522044601</v>
      </c>
      <c r="O892">
        <v>50.388559758876802</v>
      </c>
      <c r="P892">
        <v>-3.8524448729292601E-2</v>
      </c>
      <c r="Q892">
        <v>0.58286606996177903</v>
      </c>
      <c r="R892">
        <v>0.72571901016531304</v>
      </c>
      <c r="S892" t="s">
        <v>4724</v>
      </c>
      <c r="T892" t="s">
        <v>7662</v>
      </c>
      <c r="U892" t="s">
        <v>7662</v>
      </c>
      <c r="V892" t="s">
        <v>7662</v>
      </c>
      <c r="W892">
        <v>10</v>
      </c>
      <c r="X892" t="s">
        <v>8554</v>
      </c>
      <c r="Y892">
        <v>0.7419560518207009</v>
      </c>
      <c r="Z892" t="str">
        <f>HYPERLINK("Melting_Curves/meltCurve_sp_P33240_2_CSTF2_HUMAN_.pdf", "Melting_Curves/meltCurve_sp_P33240_2_CSTF2_HUMAN_.pdf")</f>
        <v>Melting_Curves/meltCurve_sp_P33240_2_CSTF2_HUMAN_.pdf</v>
      </c>
      <c r="AA892" t="s">
        <v>12369</v>
      </c>
      <c r="AB892" t="s">
        <v>16133</v>
      </c>
    </row>
    <row r="893" spans="1:28" x14ac:dyDescent="0.25">
      <c r="A893" t="s">
        <v>897</v>
      </c>
      <c r="B893">
        <v>0.98876768158843997</v>
      </c>
      <c r="C893">
        <v>0.97861294094422802</v>
      </c>
      <c r="D893">
        <v>0.79477774049716798</v>
      </c>
      <c r="E893">
        <v>0.67035572955061296</v>
      </c>
      <c r="F893">
        <v>0.25840277895506802</v>
      </c>
      <c r="G893">
        <v>0.191994458819917</v>
      </c>
      <c r="H893">
        <v>0.10220497574441301</v>
      </c>
      <c r="I893">
        <v>8.3076415454885894E-2</v>
      </c>
      <c r="J893">
        <v>5.7307399494314001E-2</v>
      </c>
      <c r="K893">
        <v>0.11439100124656</v>
      </c>
      <c r="L893">
        <v>946.83654581126802</v>
      </c>
      <c r="M893">
        <v>18.766425420267598</v>
      </c>
      <c r="N893">
        <v>50.875198475888503</v>
      </c>
      <c r="O893">
        <v>49.891321611298999</v>
      </c>
      <c r="P893">
        <v>-8.7270543602277803E-2</v>
      </c>
      <c r="Q893">
        <v>7.1989413927632098E-2</v>
      </c>
      <c r="R893">
        <v>0.98223392488661099</v>
      </c>
      <c r="S893" t="s">
        <v>4725</v>
      </c>
      <c r="T893" t="s">
        <v>7662</v>
      </c>
      <c r="U893" t="s">
        <v>7662</v>
      </c>
      <c r="V893" t="s">
        <v>7662</v>
      </c>
      <c r="W893">
        <v>4</v>
      </c>
      <c r="X893" t="s">
        <v>8555</v>
      </c>
      <c r="Y893">
        <v>0.40991967208377439</v>
      </c>
      <c r="Z893" t="str">
        <f>HYPERLINK("Melting_Curves/meltCurve_sp_P33241_LSP1_HUMAN_.pdf", "Melting_Curves/meltCurve_sp_P33241_LSP1_HUMAN_.pdf")</f>
        <v>Melting_Curves/meltCurve_sp_P33241_LSP1_HUMAN_.pdf</v>
      </c>
      <c r="AA893" t="s">
        <v>12370</v>
      </c>
      <c r="AB893" t="s">
        <v>16134</v>
      </c>
    </row>
    <row r="894" spans="1:28" x14ac:dyDescent="0.25">
      <c r="A894" t="s">
        <v>898</v>
      </c>
      <c r="B894">
        <v>0.98876768158843997</v>
      </c>
      <c r="C894">
        <v>1.0787889404181801</v>
      </c>
      <c r="D894">
        <v>0.904799066542884</v>
      </c>
      <c r="E894">
        <v>0.71684115855455599</v>
      </c>
      <c r="F894">
        <v>0.68089417289356202</v>
      </c>
      <c r="G894">
        <v>0.30594516438438302</v>
      </c>
      <c r="H894">
        <v>0.290860250561081</v>
      </c>
      <c r="I894">
        <v>0.28746997037688499</v>
      </c>
      <c r="J894">
        <v>0.43096669492668799</v>
      </c>
      <c r="K894">
        <v>0.59133840771461299</v>
      </c>
      <c r="L894">
        <v>1197.9017361582301</v>
      </c>
      <c r="M894">
        <v>23.4922062184297</v>
      </c>
      <c r="N894">
        <v>54.345815218524798</v>
      </c>
      <c r="O894">
        <v>50.626299686227298</v>
      </c>
      <c r="P894">
        <v>-7.1611203964779505E-2</v>
      </c>
      <c r="Q894">
        <v>0.38271508310342101</v>
      </c>
      <c r="R894">
        <v>0.86412059468686597</v>
      </c>
      <c r="S894" t="s">
        <v>4726</v>
      </c>
      <c r="T894" t="s">
        <v>7662</v>
      </c>
      <c r="U894" t="s">
        <v>7662</v>
      </c>
      <c r="V894" t="s">
        <v>7662</v>
      </c>
      <c r="W894">
        <v>2</v>
      </c>
      <c r="X894" t="s">
        <v>8556</v>
      </c>
      <c r="Y894">
        <v>0.61517537344562923</v>
      </c>
      <c r="Z894" t="str">
        <f>HYPERLINK("Melting_Curves/meltCurve_sp_P33316_2_DUT_HUMAN_.pdf", "Melting_Curves/meltCurve_sp_P33316_2_DUT_HUMAN_.pdf")</f>
        <v>Melting_Curves/meltCurve_sp_P33316_2_DUT_HUMAN_.pdf</v>
      </c>
      <c r="AA894" t="s">
        <v>12371</v>
      </c>
      <c r="AB894" t="s">
        <v>16135</v>
      </c>
    </row>
    <row r="895" spans="1:28" x14ac:dyDescent="0.25">
      <c r="A895" t="s">
        <v>899</v>
      </c>
      <c r="B895">
        <v>0.98876768158843997</v>
      </c>
      <c r="C895">
        <v>1.1168406642156801</v>
      </c>
      <c r="D895">
        <v>0.39068475447335299</v>
      </c>
      <c r="E895">
        <v>0.70183894843383199</v>
      </c>
      <c r="F895">
        <v>0.60059037150126104</v>
      </c>
      <c r="G895">
        <v>0.37095316351261898</v>
      </c>
      <c r="H895">
        <v>0.233509874834301</v>
      </c>
      <c r="I895">
        <v>0.27148124858591199</v>
      </c>
      <c r="J895">
        <v>0.36303715267522202</v>
      </c>
      <c r="K895">
        <v>0.43075986746461298</v>
      </c>
      <c r="L895">
        <v>616.28815714938605</v>
      </c>
      <c r="M895">
        <v>12.9049127771308</v>
      </c>
      <c r="N895">
        <v>51.9549113152611</v>
      </c>
      <c r="O895">
        <v>46.6529477734992</v>
      </c>
      <c r="P895">
        <v>-4.6770991496504703E-2</v>
      </c>
      <c r="Q895">
        <v>0.32378991799142698</v>
      </c>
      <c r="R895">
        <v>0.691915971557577</v>
      </c>
      <c r="S895" t="s">
        <v>4727</v>
      </c>
      <c r="T895" t="s">
        <v>7662</v>
      </c>
      <c r="U895" t="s">
        <v>7662</v>
      </c>
      <c r="V895" t="s">
        <v>7662</v>
      </c>
      <c r="W895">
        <v>2</v>
      </c>
      <c r="X895" t="s">
        <v>8557</v>
      </c>
      <c r="Y895">
        <v>0.5221726848613224</v>
      </c>
      <c r="Z895" t="str">
        <f>HYPERLINK("Melting_Curves/meltCurve_sp_P33316_DUT_HUMAN_.pdf", "Melting_Curves/meltCurve_sp_P33316_DUT_HUMAN_.pdf")</f>
        <v>Melting_Curves/meltCurve_sp_P33316_DUT_HUMAN_.pdf</v>
      </c>
      <c r="AA895" t="s">
        <v>12371</v>
      </c>
      <c r="AB895" t="s">
        <v>16136</v>
      </c>
    </row>
    <row r="896" spans="1:28" x14ac:dyDescent="0.25">
      <c r="A896" t="s">
        <v>900</v>
      </c>
      <c r="B896">
        <v>0.98876768158843997</v>
      </c>
      <c r="C896">
        <v>1.20706764691121</v>
      </c>
      <c r="D896">
        <v>0.83625076067715098</v>
      </c>
      <c r="E896">
        <v>0.78444651050032499</v>
      </c>
      <c r="F896">
        <v>0.477022979317892</v>
      </c>
      <c r="G896">
        <v>0.12408764702903601</v>
      </c>
      <c r="H896">
        <v>8.73236173372261E-2</v>
      </c>
      <c r="I896">
        <v>0</v>
      </c>
      <c r="J896">
        <v>0</v>
      </c>
      <c r="K896">
        <v>0</v>
      </c>
      <c r="L896">
        <v>1159.1841540803</v>
      </c>
      <c r="M896">
        <v>22.009098971050399</v>
      </c>
      <c r="N896">
        <v>52.668405707782597</v>
      </c>
      <c r="O896">
        <v>52.239381841074596</v>
      </c>
      <c r="P896">
        <v>-0.105330445854018</v>
      </c>
      <c r="Q896">
        <v>0</v>
      </c>
      <c r="R896">
        <v>0.96700631293684303</v>
      </c>
      <c r="S896" t="s">
        <v>4728</v>
      </c>
      <c r="T896" t="s">
        <v>7662</v>
      </c>
      <c r="U896" t="s">
        <v>7662</v>
      </c>
      <c r="V896" t="s">
        <v>7662</v>
      </c>
      <c r="W896">
        <v>2</v>
      </c>
      <c r="X896" t="s">
        <v>8558</v>
      </c>
      <c r="Y896">
        <v>0.4339137978268226</v>
      </c>
      <c r="Z896" t="str">
        <f>HYPERLINK("Melting_Curves/meltCurve_sp_P33908_MA1A1_HUMAN_.pdf", "Melting_Curves/meltCurve_sp_P33908_MA1A1_HUMAN_.pdf")</f>
        <v>Melting_Curves/meltCurve_sp_P33908_MA1A1_HUMAN_.pdf</v>
      </c>
      <c r="AA896" t="s">
        <v>12372</v>
      </c>
      <c r="AB896" t="s">
        <v>16137</v>
      </c>
    </row>
    <row r="897" spans="1:28" x14ac:dyDescent="0.25">
      <c r="A897" t="s">
        <v>901</v>
      </c>
      <c r="B897">
        <v>0.98876768158843997</v>
      </c>
      <c r="C897">
        <v>0.87368223959823699</v>
      </c>
      <c r="D897">
        <v>0.59917304407435101</v>
      </c>
      <c r="E897">
        <v>0.23147901132940599</v>
      </c>
      <c r="F897">
        <v>0.16926632756457399</v>
      </c>
      <c r="G897">
        <v>0.100913569668602</v>
      </c>
      <c r="H897">
        <v>6.6854615554486199E-2</v>
      </c>
      <c r="I897">
        <v>7.0330028393252003E-2</v>
      </c>
      <c r="J897">
        <v>0.16143261707284301</v>
      </c>
      <c r="K897">
        <v>0.20106140602710301</v>
      </c>
      <c r="L897">
        <v>1139.2648933611399</v>
      </c>
      <c r="M897">
        <v>24.629151342175</v>
      </c>
      <c r="N897">
        <v>46.774844482147202</v>
      </c>
      <c r="O897">
        <v>45.955050939068499</v>
      </c>
      <c r="P897">
        <v>-0.117992277343461</v>
      </c>
      <c r="Q897">
        <v>0.11937465148842499</v>
      </c>
      <c r="R897">
        <v>0.98580114614663295</v>
      </c>
      <c r="S897" t="s">
        <v>4729</v>
      </c>
      <c r="T897" t="s">
        <v>7662</v>
      </c>
      <c r="U897" t="s">
        <v>7662</v>
      </c>
      <c r="V897" t="s">
        <v>7662</v>
      </c>
      <c r="W897">
        <v>1</v>
      </c>
      <c r="X897" t="s">
        <v>8559</v>
      </c>
      <c r="Y897">
        <v>0.31135460327297398</v>
      </c>
      <c r="Z897" t="str">
        <f>HYPERLINK("Melting_Curves/meltCurve_sp_P33991_MCM4_HUMAN_.pdf", "Melting_Curves/meltCurve_sp_P33991_MCM4_HUMAN_.pdf")</f>
        <v>Melting_Curves/meltCurve_sp_P33991_MCM4_HUMAN_.pdf</v>
      </c>
      <c r="AA897" t="s">
        <v>12373</v>
      </c>
      <c r="AB897" t="s">
        <v>16138</v>
      </c>
    </row>
    <row r="898" spans="1:28" x14ac:dyDescent="0.25">
      <c r="A898" t="s">
        <v>902</v>
      </c>
      <c r="B898">
        <v>0.98876768158843997</v>
      </c>
      <c r="C898">
        <v>0.92904264768877498</v>
      </c>
      <c r="D898">
        <v>0.87619039620278505</v>
      </c>
      <c r="E898">
        <v>0.63423473077961601</v>
      </c>
      <c r="F898">
        <v>0.31486766441316499</v>
      </c>
      <c r="G898">
        <v>0.142310630383853</v>
      </c>
      <c r="H898">
        <v>8.2759898165956206E-2</v>
      </c>
      <c r="I898">
        <v>0.11978655980559599</v>
      </c>
      <c r="J898">
        <v>8.5811529522862404E-2</v>
      </c>
      <c r="K898">
        <v>0.122815334089431</v>
      </c>
      <c r="L898">
        <v>1099.7237118314699</v>
      </c>
      <c r="M898">
        <v>21.758310610030101</v>
      </c>
      <c r="N898">
        <v>51.003009835261302</v>
      </c>
      <c r="O898">
        <v>50.1215759772575</v>
      </c>
      <c r="P898">
        <v>-9.88550570063393E-2</v>
      </c>
      <c r="Q898">
        <v>8.9146993206679903E-2</v>
      </c>
      <c r="R898">
        <v>0.99407312550649896</v>
      </c>
      <c r="S898" t="s">
        <v>4730</v>
      </c>
      <c r="T898" t="s">
        <v>7662</v>
      </c>
      <c r="U898" t="s">
        <v>7662</v>
      </c>
      <c r="V898" t="s">
        <v>7662</v>
      </c>
      <c r="W898">
        <v>5</v>
      </c>
      <c r="X898" t="s">
        <v>8560</v>
      </c>
      <c r="Y898">
        <v>0.42000302898421982</v>
      </c>
      <c r="Z898" t="str">
        <f>HYPERLINK("Melting_Curves/meltCurve_sp_P33992_MCM5_HUMAN_.pdf", "Melting_Curves/meltCurve_sp_P33992_MCM5_HUMAN_.pdf")</f>
        <v>Melting_Curves/meltCurve_sp_P33992_MCM5_HUMAN_.pdf</v>
      </c>
      <c r="AA898" t="s">
        <v>12374</v>
      </c>
      <c r="AB898" t="s">
        <v>16139</v>
      </c>
    </row>
    <row r="899" spans="1:28" x14ac:dyDescent="0.25">
      <c r="A899" t="s">
        <v>903</v>
      </c>
      <c r="B899">
        <v>0.98876768158843997</v>
      </c>
      <c r="C899">
        <v>0.79923630221844</v>
      </c>
      <c r="D899">
        <v>0.46639994215818098</v>
      </c>
      <c r="E899">
        <v>0.16690136190916399</v>
      </c>
      <c r="F899">
        <v>0.12612704983694001</v>
      </c>
      <c r="G899">
        <v>0.130349173645463</v>
      </c>
      <c r="H899">
        <v>3.9788906675714802E-2</v>
      </c>
      <c r="I899">
        <v>3.36806025230654E-2</v>
      </c>
      <c r="J899">
        <v>4.9662546243057402E-2</v>
      </c>
      <c r="K899">
        <v>0</v>
      </c>
      <c r="L899">
        <v>966.718434011103</v>
      </c>
      <c r="M899">
        <v>21.213985405734299</v>
      </c>
      <c r="N899">
        <v>45.7954181054874</v>
      </c>
      <c r="O899">
        <v>45.170729377647397</v>
      </c>
      <c r="P899">
        <v>-0.11158916101116401</v>
      </c>
      <c r="Q899">
        <v>4.9601741459823899E-2</v>
      </c>
      <c r="R899">
        <v>0.99103151308791004</v>
      </c>
      <c r="S899" t="s">
        <v>4731</v>
      </c>
      <c r="T899" t="s">
        <v>7662</v>
      </c>
      <c r="U899" t="s">
        <v>7662</v>
      </c>
      <c r="V899" t="s">
        <v>7662</v>
      </c>
      <c r="W899">
        <v>2</v>
      </c>
      <c r="X899" t="s">
        <v>8561</v>
      </c>
      <c r="Y899">
        <v>0.23930716078706771</v>
      </c>
      <c r="Z899" t="str">
        <f>HYPERLINK("Melting_Curves/meltCurve_sp_P33993_MCM7_HUMAN_.pdf", "Melting_Curves/meltCurve_sp_P33993_MCM7_HUMAN_.pdf")</f>
        <v>Melting_Curves/meltCurve_sp_P33993_MCM7_HUMAN_.pdf</v>
      </c>
      <c r="AA899" t="s">
        <v>12375</v>
      </c>
      <c r="AB899" t="s">
        <v>16140</v>
      </c>
    </row>
    <row r="900" spans="1:28" x14ac:dyDescent="0.25">
      <c r="A900" t="s">
        <v>904</v>
      </c>
      <c r="B900">
        <v>0.98876768158843997</v>
      </c>
      <c r="C900">
        <v>0.95899945830395705</v>
      </c>
      <c r="D900">
        <v>0.93471156182112203</v>
      </c>
      <c r="E900">
        <v>0.89229166312369101</v>
      </c>
      <c r="F900">
        <v>0.68200571008108102</v>
      </c>
      <c r="G900">
        <v>0.52510855548490099</v>
      </c>
      <c r="H900">
        <v>0.458124324335977</v>
      </c>
      <c r="I900">
        <v>0.52481009707872905</v>
      </c>
      <c r="J900">
        <v>0.53052133077124097</v>
      </c>
      <c r="K900">
        <v>0.56025818682890205</v>
      </c>
      <c r="L900">
        <v>1678.5739177896</v>
      </c>
      <c r="M900">
        <v>32.368278920630601</v>
      </c>
      <c r="O900">
        <v>51.6618729849814</v>
      </c>
      <c r="P900">
        <v>-7.6003156040332295E-2</v>
      </c>
      <c r="Q900">
        <v>0.51477849081667604</v>
      </c>
      <c r="R900">
        <v>0.97232059379505797</v>
      </c>
      <c r="S900" t="s">
        <v>4732</v>
      </c>
      <c r="T900" t="s">
        <v>7662</v>
      </c>
      <c r="U900" t="s">
        <v>7662</v>
      </c>
      <c r="V900" t="s">
        <v>7662</v>
      </c>
      <c r="W900">
        <v>8</v>
      </c>
      <c r="X900" t="s">
        <v>8562</v>
      </c>
      <c r="Y900">
        <v>0.70923906910432344</v>
      </c>
      <c r="Z900" t="str">
        <f>HYPERLINK("Melting_Curves/meltCurve_sp_P34059_GALNS_HUMAN_.pdf", "Melting_Curves/meltCurve_sp_P34059_GALNS_HUMAN_.pdf")</f>
        <v>Melting_Curves/meltCurve_sp_P34059_GALNS_HUMAN_.pdf</v>
      </c>
      <c r="AA900" t="s">
        <v>12376</v>
      </c>
      <c r="AB900" t="s">
        <v>16141</v>
      </c>
    </row>
    <row r="901" spans="1:28" x14ac:dyDescent="0.25">
      <c r="A901" t="s">
        <v>905</v>
      </c>
      <c r="B901">
        <v>0.98876768158843997</v>
      </c>
      <c r="C901">
        <v>0.94851905659760005</v>
      </c>
      <c r="D901">
        <v>1.04722322014002</v>
      </c>
      <c r="E901">
        <v>1.0149363720896001</v>
      </c>
      <c r="F901">
        <v>0.76079316291368704</v>
      </c>
      <c r="G901">
        <v>0.56955337468525702</v>
      </c>
      <c r="H901">
        <v>0.38484073533431801</v>
      </c>
      <c r="I901">
        <v>0.18455777155455999</v>
      </c>
      <c r="J901">
        <v>0.102183817442954</v>
      </c>
      <c r="K901">
        <v>0.106992553890672</v>
      </c>
      <c r="L901">
        <v>936.279403336119</v>
      </c>
      <c r="M901">
        <v>16.1489821145069</v>
      </c>
      <c r="N901">
        <v>58.215167470862397</v>
      </c>
      <c r="O901">
        <v>57.1104318492212</v>
      </c>
      <c r="P901">
        <v>-6.8442932895928899E-2</v>
      </c>
      <c r="Q901">
        <v>3.1887002678057601E-2</v>
      </c>
      <c r="R901">
        <v>0.98411035159156002</v>
      </c>
      <c r="S901" t="s">
        <v>4733</v>
      </c>
      <c r="T901" t="s">
        <v>7662</v>
      </c>
      <c r="U901" t="s">
        <v>7662</v>
      </c>
      <c r="V901" t="s">
        <v>7662</v>
      </c>
      <c r="W901">
        <v>31</v>
      </c>
      <c r="X901" t="s">
        <v>8563</v>
      </c>
      <c r="Y901">
        <v>0.62480348158672272</v>
      </c>
      <c r="Z901" t="str">
        <f>HYPERLINK("Melting_Curves/meltCurve_sp_P34896_2_GLYC_HUMAN_.pdf", "Melting_Curves/meltCurve_sp_P34896_2_GLYC_HUMAN_.pdf")</f>
        <v>Melting_Curves/meltCurve_sp_P34896_2_GLYC_HUMAN_.pdf</v>
      </c>
      <c r="AA901" t="s">
        <v>12377</v>
      </c>
      <c r="AB901" t="s">
        <v>16142</v>
      </c>
    </row>
    <row r="902" spans="1:28" x14ac:dyDescent="0.25">
      <c r="A902" t="s">
        <v>906</v>
      </c>
      <c r="B902">
        <v>0.98876768158843997</v>
      </c>
      <c r="C902">
        <v>0.96262842679761795</v>
      </c>
      <c r="D902">
        <v>1.0235880437304601</v>
      </c>
      <c r="E902">
        <v>0.96008228893732395</v>
      </c>
      <c r="F902">
        <v>0.67165204642951504</v>
      </c>
      <c r="G902">
        <v>0.48697293865709201</v>
      </c>
      <c r="H902">
        <v>0.31684810149085002</v>
      </c>
      <c r="I902">
        <v>0.195423660198841</v>
      </c>
      <c r="J902">
        <v>8.3008481898580205E-2</v>
      </c>
      <c r="K902">
        <v>6.1889630372700698E-2</v>
      </c>
      <c r="L902">
        <v>824.92995447708597</v>
      </c>
      <c r="M902">
        <v>14.4957577554318</v>
      </c>
      <c r="N902">
        <v>56.972267876881403</v>
      </c>
      <c r="O902">
        <v>55.858218081035702</v>
      </c>
      <c r="P902">
        <v>-6.4361855603202595E-2</v>
      </c>
      <c r="Q902">
        <v>8.0619669032641807E-3</v>
      </c>
      <c r="R902">
        <v>0.98703438475511196</v>
      </c>
      <c r="S902" t="s">
        <v>4734</v>
      </c>
      <c r="T902" t="s">
        <v>7662</v>
      </c>
      <c r="U902" t="s">
        <v>7662</v>
      </c>
      <c r="V902" t="s">
        <v>7662</v>
      </c>
      <c r="W902">
        <v>33</v>
      </c>
      <c r="X902" t="s">
        <v>8564</v>
      </c>
      <c r="Y902">
        <v>0.5833213635283403</v>
      </c>
      <c r="Z902" t="str">
        <f>HYPERLINK("Melting_Curves/meltCurve_sp_P34897_3_GLYM_HUMAN_.pdf", "Melting_Curves/meltCurve_sp_P34897_3_GLYM_HUMAN_.pdf")</f>
        <v>Melting_Curves/meltCurve_sp_P34897_3_GLYM_HUMAN_.pdf</v>
      </c>
      <c r="AA902" t="s">
        <v>12378</v>
      </c>
      <c r="AB902" t="s">
        <v>16143</v>
      </c>
    </row>
    <row r="903" spans="1:28" x14ac:dyDescent="0.25">
      <c r="A903" t="s">
        <v>907</v>
      </c>
      <c r="B903">
        <v>0.98876768158843997</v>
      </c>
      <c r="C903">
        <v>0.98457361702322599</v>
      </c>
      <c r="D903">
        <v>0.98849851969131997</v>
      </c>
      <c r="E903">
        <v>0.92846429049672197</v>
      </c>
      <c r="F903">
        <v>0.78476162980561703</v>
      </c>
      <c r="G903">
        <v>0.58831625266783605</v>
      </c>
      <c r="H903">
        <v>0.31113403069567402</v>
      </c>
      <c r="I903">
        <v>7.4968448359728004E-2</v>
      </c>
      <c r="J903">
        <v>4.4380765018422197E-2</v>
      </c>
      <c r="K903">
        <v>3.5357325622056797E-2</v>
      </c>
      <c r="L903">
        <v>1052.58242015313</v>
      </c>
      <c r="M903">
        <v>18.257739843965702</v>
      </c>
      <c r="N903">
        <v>57.651300245917596</v>
      </c>
      <c r="O903">
        <v>56.973032143964801</v>
      </c>
      <c r="P903">
        <v>-8.0119448276070704E-2</v>
      </c>
      <c r="Q903">
        <v>0</v>
      </c>
      <c r="R903">
        <v>0.99299899134214897</v>
      </c>
      <c r="S903" t="s">
        <v>4735</v>
      </c>
      <c r="T903" t="s">
        <v>7662</v>
      </c>
      <c r="U903" t="s">
        <v>7662</v>
      </c>
      <c r="V903" t="s">
        <v>7662</v>
      </c>
      <c r="W903">
        <v>28</v>
      </c>
      <c r="X903" t="s">
        <v>8565</v>
      </c>
      <c r="Y903">
        <v>0.60111137416504457</v>
      </c>
      <c r="Z903" t="str">
        <f>HYPERLINK("Melting_Curves/meltCurve_sp_P34913_HYES_HUMAN_.pdf", "Melting_Curves/meltCurve_sp_P34913_HYES_HUMAN_.pdf")</f>
        <v>Melting_Curves/meltCurve_sp_P34913_HYES_HUMAN_.pdf</v>
      </c>
      <c r="AA903" t="s">
        <v>12379</v>
      </c>
      <c r="AB903" t="s">
        <v>16144</v>
      </c>
    </row>
    <row r="904" spans="1:28" x14ac:dyDescent="0.25">
      <c r="A904" t="s">
        <v>908</v>
      </c>
      <c r="B904">
        <v>0.98876768158843997</v>
      </c>
      <c r="C904">
        <v>0.93957390468627</v>
      </c>
      <c r="D904">
        <v>1.0398797590483899</v>
      </c>
      <c r="E904">
        <v>0.91993668805448603</v>
      </c>
      <c r="F904">
        <v>0.240547756099769</v>
      </c>
      <c r="G904">
        <v>0.140448311557726</v>
      </c>
      <c r="H904">
        <v>9.3456528984789095E-2</v>
      </c>
      <c r="I904">
        <v>9.2774040732944596E-2</v>
      </c>
      <c r="J904">
        <v>0.106783645800665</v>
      </c>
      <c r="K904">
        <v>0.108352686454131</v>
      </c>
      <c r="L904">
        <v>3577.3851742679899</v>
      </c>
      <c r="M904">
        <v>69.236918567759005</v>
      </c>
      <c r="N904">
        <v>51.850921749626302</v>
      </c>
      <c r="O904">
        <v>51.625698463371599</v>
      </c>
      <c r="P904">
        <v>-0.29908520418747297</v>
      </c>
      <c r="Q904">
        <v>0.107962670774636</v>
      </c>
      <c r="R904">
        <v>0.99606099737414799</v>
      </c>
      <c r="S904" t="s">
        <v>4736</v>
      </c>
      <c r="T904" t="s">
        <v>7662</v>
      </c>
      <c r="U904" t="s">
        <v>7662</v>
      </c>
      <c r="V904" t="s">
        <v>7662</v>
      </c>
      <c r="W904">
        <v>37</v>
      </c>
      <c r="X904" t="s">
        <v>8566</v>
      </c>
      <c r="Y904">
        <v>0.45598551083641448</v>
      </c>
      <c r="Z904" t="str">
        <f>HYPERLINK("Melting_Curves/meltCurve_sp_P34932_HSP74_HUMAN_.pdf", "Melting_Curves/meltCurve_sp_P34932_HSP74_HUMAN_.pdf")</f>
        <v>Melting_Curves/meltCurve_sp_P34932_HSP74_HUMAN_.pdf</v>
      </c>
      <c r="AA904" t="s">
        <v>12380</v>
      </c>
      <c r="AB904" t="s">
        <v>16145</v>
      </c>
    </row>
    <row r="905" spans="1:28" x14ac:dyDescent="0.25">
      <c r="A905" t="s">
        <v>909</v>
      </c>
      <c r="B905">
        <v>0.98876768158843997</v>
      </c>
      <c r="C905">
        <v>0.99174987146261095</v>
      </c>
      <c r="D905">
        <v>1.1428013479456001</v>
      </c>
      <c r="E905">
        <v>1.17094247834525</v>
      </c>
      <c r="F905">
        <v>0.14506978512840801</v>
      </c>
      <c r="G905">
        <v>1.0322822014238</v>
      </c>
      <c r="H905">
        <v>7.5768593050292002E-2</v>
      </c>
      <c r="I905">
        <v>0.51447729809968601</v>
      </c>
      <c r="J905">
        <v>0.38714429736983702</v>
      </c>
      <c r="K905">
        <v>0.31426699293024202</v>
      </c>
      <c r="L905">
        <v>12853.505177961901</v>
      </c>
      <c r="M905">
        <v>250</v>
      </c>
      <c r="N905">
        <v>51.772589780609799</v>
      </c>
      <c r="O905">
        <v>51.410730613798698</v>
      </c>
      <c r="P905">
        <v>-0.71544452435441697</v>
      </c>
      <c r="Q905">
        <v>0.41149558998541302</v>
      </c>
      <c r="R905">
        <v>0.61680968013644699</v>
      </c>
      <c r="S905" t="s">
        <v>4737</v>
      </c>
      <c r="T905" t="s">
        <v>7662</v>
      </c>
      <c r="U905" t="s">
        <v>7662</v>
      </c>
      <c r="V905" t="s">
        <v>7662</v>
      </c>
      <c r="W905">
        <v>1</v>
      </c>
      <c r="X905" t="s">
        <v>8567</v>
      </c>
      <c r="Y905">
        <v>0.6354554087101012</v>
      </c>
      <c r="Z905" t="str">
        <f>HYPERLINK("Melting_Curves/meltCurve_sp_P35030_2_TRY3_HUMAN_.pdf", "Melting_Curves/meltCurve_sp_P35030_2_TRY3_HUMAN_.pdf")</f>
        <v>Melting_Curves/meltCurve_sp_P35030_2_TRY3_HUMAN_.pdf</v>
      </c>
      <c r="AA905" t="s">
        <v>12381</v>
      </c>
      <c r="AB905" t="s">
        <v>16146</v>
      </c>
    </row>
    <row r="906" spans="1:28" x14ac:dyDescent="0.25">
      <c r="A906" t="s">
        <v>910</v>
      </c>
      <c r="B906">
        <v>0.98876768158843997</v>
      </c>
      <c r="C906">
        <v>0.83815126228887304</v>
      </c>
      <c r="D906">
        <v>0.74450576503567201</v>
      </c>
      <c r="E906">
        <v>0.444168819615613</v>
      </c>
      <c r="F906">
        <v>0.41534435104260198</v>
      </c>
      <c r="G906">
        <v>0.22541645327457699</v>
      </c>
      <c r="H906">
        <v>9.6543446045579503E-2</v>
      </c>
      <c r="I906">
        <v>3.5784041435325299E-2</v>
      </c>
      <c r="J906">
        <v>3.5709294616195299E-2</v>
      </c>
      <c r="K906">
        <v>2.2251541489326801E-2</v>
      </c>
      <c r="L906">
        <v>573.03726138566697</v>
      </c>
      <c r="M906">
        <v>11.4482546515944</v>
      </c>
      <c r="N906">
        <v>50.054552298720502</v>
      </c>
      <c r="O906">
        <v>48.600320408953699</v>
      </c>
      <c r="P906">
        <v>-5.8906844165433098E-2</v>
      </c>
      <c r="Q906">
        <v>0</v>
      </c>
      <c r="R906">
        <v>0.98788668677465497</v>
      </c>
      <c r="S906" t="s">
        <v>4738</v>
      </c>
      <c r="T906" t="s">
        <v>7662</v>
      </c>
      <c r="U906" t="s">
        <v>7662</v>
      </c>
      <c r="V906" t="s">
        <v>7662</v>
      </c>
      <c r="W906">
        <v>2</v>
      </c>
      <c r="X906" t="s">
        <v>8568</v>
      </c>
      <c r="Y906">
        <v>0.37223345308415517</v>
      </c>
      <c r="Z906" t="str">
        <f>HYPERLINK("Melting_Curves/meltCurve_sp_P35218_CAH5A_HUMAN_.pdf", "Melting_Curves/meltCurve_sp_P35218_CAH5A_HUMAN_.pdf")</f>
        <v>Melting_Curves/meltCurve_sp_P35218_CAH5A_HUMAN_.pdf</v>
      </c>
      <c r="AA906" t="s">
        <v>12382</v>
      </c>
      <c r="AB906" t="s">
        <v>16147</v>
      </c>
    </row>
    <row r="907" spans="1:28" x14ac:dyDescent="0.25">
      <c r="A907" t="s">
        <v>911</v>
      </c>
      <c r="B907">
        <v>0.98876768158843997</v>
      </c>
      <c r="C907">
        <v>0.90852033291081002</v>
      </c>
      <c r="D907">
        <v>0.97087669667849597</v>
      </c>
      <c r="E907">
        <v>0.83172748765151205</v>
      </c>
      <c r="F907">
        <v>0.63247586151705704</v>
      </c>
      <c r="G907">
        <v>0.40654375833284601</v>
      </c>
      <c r="H907">
        <v>0.16575713528361999</v>
      </c>
      <c r="I907">
        <v>9.5935104852751599E-2</v>
      </c>
      <c r="J907">
        <v>8.3263242019280995E-2</v>
      </c>
      <c r="K907">
        <v>7.4077633616077804E-2</v>
      </c>
      <c r="L907">
        <v>857.89110025190598</v>
      </c>
      <c r="M907">
        <v>15.6213058636793</v>
      </c>
      <c r="N907">
        <v>55.0739918979218</v>
      </c>
      <c r="O907">
        <v>54.041668311028403</v>
      </c>
      <c r="P907">
        <v>-7.0707483171769198E-2</v>
      </c>
      <c r="Q907">
        <v>2.1638698658634499E-2</v>
      </c>
      <c r="R907">
        <v>0.99324001479333901</v>
      </c>
      <c r="S907" t="s">
        <v>4739</v>
      </c>
      <c r="T907" t="s">
        <v>7662</v>
      </c>
      <c r="U907" t="s">
        <v>7662</v>
      </c>
      <c r="V907" t="s">
        <v>7662</v>
      </c>
      <c r="W907">
        <v>24</v>
      </c>
      <c r="X907" t="s">
        <v>8569</v>
      </c>
      <c r="Y907">
        <v>0.52628353779401427</v>
      </c>
      <c r="Z907" t="str">
        <f>HYPERLINK("Melting_Curves/meltCurve_sp_P35221_CTNA1_HUMAN_.pdf", "Melting_Curves/meltCurve_sp_P35221_CTNA1_HUMAN_.pdf")</f>
        <v>Melting_Curves/meltCurve_sp_P35221_CTNA1_HUMAN_.pdf</v>
      </c>
      <c r="AA907" t="s">
        <v>12383</v>
      </c>
      <c r="AB907" t="s">
        <v>16148</v>
      </c>
    </row>
    <row r="908" spans="1:28" x14ac:dyDescent="0.25">
      <c r="A908" t="s">
        <v>912</v>
      </c>
      <c r="B908">
        <v>0.98876768158843997</v>
      </c>
      <c r="C908">
        <v>0.75964079714106703</v>
      </c>
      <c r="D908">
        <v>0.84676943201328603</v>
      </c>
      <c r="E908">
        <v>0.56479531752380796</v>
      </c>
      <c r="F908">
        <v>0.63029937137175795</v>
      </c>
      <c r="G908">
        <v>0.32202009669543302</v>
      </c>
      <c r="H908">
        <v>0.11996840770377699</v>
      </c>
      <c r="I908">
        <v>9.17928590153156E-2</v>
      </c>
      <c r="J908">
        <v>0.10748758013805799</v>
      </c>
      <c r="K908">
        <v>0.15086033478488001</v>
      </c>
      <c r="L908">
        <v>507.38453104181201</v>
      </c>
      <c r="M908">
        <v>9.6385301939244599</v>
      </c>
      <c r="N908">
        <v>52.641273797327102</v>
      </c>
      <c r="O908">
        <v>50.5250264052424</v>
      </c>
      <c r="P908">
        <v>-4.7718562737394499E-2</v>
      </c>
      <c r="Q908">
        <v>0</v>
      </c>
      <c r="R908">
        <v>0.93868006719769903</v>
      </c>
      <c r="S908" t="s">
        <v>4740</v>
      </c>
      <c r="T908" t="s">
        <v>7662</v>
      </c>
      <c r="U908" t="s">
        <v>7662</v>
      </c>
      <c r="V908" t="s">
        <v>7662</v>
      </c>
      <c r="W908">
        <v>10</v>
      </c>
      <c r="X908" t="s">
        <v>8570</v>
      </c>
      <c r="Y908">
        <v>0.45822123153796418</v>
      </c>
      <c r="Z908" t="str">
        <f>HYPERLINK("Melting_Curves/meltCurve_sp_P35237_SPB6_HUMAN_.pdf", "Melting_Curves/meltCurve_sp_P35237_SPB6_HUMAN_.pdf")</f>
        <v>Melting_Curves/meltCurve_sp_P35237_SPB6_HUMAN_.pdf</v>
      </c>
      <c r="AA908" t="s">
        <v>12384</v>
      </c>
      <c r="AB908" t="s">
        <v>16149</v>
      </c>
    </row>
    <row r="909" spans="1:28" x14ac:dyDescent="0.25">
      <c r="A909" t="s">
        <v>913</v>
      </c>
      <c r="B909">
        <v>0.98876768158843997</v>
      </c>
      <c r="C909">
        <v>1.0439162359515399</v>
      </c>
      <c r="D909">
        <v>0.855302300285541</v>
      </c>
      <c r="E909">
        <v>0.54748035736055101</v>
      </c>
      <c r="F909">
        <v>0.29498087986481097</v>
      </c>
      <c r="G909">
        <v>0.13159037672705301</v>
      </c>
      <c r="H909">
        <v>7.4087378743864105E-2</v>
      </c>
      <c r="I909">
        <v>4.6784015065266402E-2</v>
      </c>
      <c r="J909">
        <v>0.169263742095041</v>
      </c>
      <c r="K909">
        <v>4.07933073245429E-2</v>
      </c>
      <c r="L909">
        <v>1099.5087361497001</v>
      </c>
      <c r="M909">
        <v>21.961600759020701</v>
      </c>
      <c r="N909">
        <v>50.441999689826801</v>
      </c>
      <c r="O909">
        <v>49.655494660981603</v>
      </c>
      <c r="P909">
        <v>-0.10220444909097801</v>
      </c>
      <c r="Q909">
        <v>7.5677868780073404E-2</v>
      </c>
      <c r="R909">
        <v>0.98880645031083803</v>
      </c>
      <c r="S909" t="s">
        <v>4741</v>
      </c>
      <c r="T909" t="s">
        <v>7662</v>
      </c>
      <c r="U909" t="s">
        <v>7662</v>
      </c>
      <c r="V909" t="s">
        <v>7662</v>
      </c>
      <c r="W909">
        <v>1</v>
      </c>
      <c r="X909" t="s">
        <v>8571</v>
      </c>
      <c r="Y909">
        <v>0.39649540235793829</v>
      </c>
      <c r="Z909" t="str">
        <f>HYPERLINK("Melting_Curves/meltCurve_sp_P35240_4_MERL_HUMAN_.pdf", "Melting_Curves/meltCurve_sp_P35240_4_MERL_HUMAN_.pdf")</f>
        <v>Melting_Curves/meltCurve_sp_P35240_4_MERL_HUMAN_.pdf</v>
      </c>
      <c r="AA909" t="s">
        <v>12385</v>
      </c>
      <c r="AB909" t="s">
        <v>16150</v>
      </c>
    </row>
    <row r="910" spans="1:28" x14ac:dyDescent="0.25">
      <c r="A910" t="s">
        <v>914</v>
      </c>
      <c r="B910">
        <v>0.98876768158843997</v>
      </c>
      <c r="C910">
        <v>1.0778991819355701</v>
      </c>
      <c r="D910">
        <v>0.92586954299707602</v>
      </c>
      <c r="E910">
        <v>0.89055705483996705</v>
      </c>
      <c r="F910">
        <v>0.973858879768571</v>
      </c>
      <c r="G910">
        <v>0.59219088490766303</v>
      </c>
      <c r="H910">
        <v>0.389112831232238</v>
      </c>
      <c r="I910">
        <v>0.11584756400813601</v>
      </c>
      <c r="J910">
        <v>0.11109893982159499</v>
      </c>
      <c r="K910">
        <v>0.10762407391057401</v>
      </c>
      <c r="L910">
        <v>1234.5512798362799</v>
      </c>
      <c r="M910">
        <v>21.176029026146999</v>
      </c>
      <c r="N910">
        <v>58.633394450811601</v>
      </c>
      <c r="O910">
        <v>57.787033225164201</v>
      </c>
      <c r="P910">
        <v>-8.6410770327876904E-2</v>
      </c>
      <c r="Q910">
        <v>5.6802879215156601E-2</v>
      </c>
      <c r="R910">
        <v>0.97594240987232495</v>
      </c>
      <c r="S910" t="s">
        <v>4742</v>
      </c>
      <c r="T910" t="s">
        <v>7662</v>
      </c>
      <c r="U910" t="s">
        <v>7662</v>
      </c>
      <c r="V910" t="s">
        <v>7662</v>
      </c>
      <c r="W910">
        <v>45</v>
      </c>
      <c r="X910" t="s">
        <v>8572</v>
      </c>
      <c r="Y910">
        <v>0.64196320694691045</v>
      </c>
      <c r="Z910" t="str">
        <f>HYPERLINK("Melting_Curves/meltCurve_sp_P35241_RADI_HUMAN_.pdf", "Melting_Curves/meltCurve_sp_P35241_RADI_HUMAN_.pdf")</f>
        <v>Melting_Curves/meltCurve_sp_P35241_RADI_HUMAN_.pdf</v>
      </c>
      <c r="AA910" t="s">
        <v>12386</v>
      </c>
      <c r="AB910" t="s">
        <v>16151</v>
      </c>
    </row>
    <row r="911" spans="1:28" x14ac:dyDescent="0.25">
      <c r="A911" t="s">
        <v>915</v>
      </c>
      <c r="B911">
        <v>0.98876768158843997</v>
      </c>
      <c r="C911">
        <v>1.1579570328987601</v>
      </c>
      <c r="D911">
        <v>0.90715822833423998</v>
      </c>
      <c r="E911">
        <v>0.78278291743608297</v>
      </c>
      <c r="F911">
        <v>0.81925096801004904</v>
      </c>
      <c r="G911">
        <v>0.59145034313350298</v>
      </c>
      <c r="H911">
        <v>0.41667294067273097</v>
      </c>
      <c r="I911">
        <v>0.534536924202482</v>
      </c>
      <c r="J911">
        <v>0.61432419682386497</v>
      </c>
      <c r="K911">
        <v>0.71284047975245701</v>
      </c>
      <c r="L911">
        <v>1067.1529610484099</v>
      </c>
      <c r="M911">
        <v>20.808927027087801</v>
      </c>
      <c r="O911">
        <v>50.816845560541097</v>
      </c>
      <c r="P911">
        <v>-4.4028924180459401E-2</v>
      </c>
      <c r="Q911">
        <v>0.56992516084987999</v>
      </c>
      <c r="R911">
        <v>0.786826946564817</v>
      </c>
      <c r="S911" t="s">
        <v>4743</v>
      </c>
      <c r="T911" t="s">
        <v>7662</v>
      </c>
      <c r="U911" t="s">
        <v>7662</v>
      </c>
      <c r="V911" t="s">
        <v>7662</v>
      </c>
      <c r="W911">
        <v>4</v>
      </c>
      <c r="X911" t="s">
        <v>8573</v>
      </c>
      <c r="Y911">
        <v>0.73722366558825458</v>
      </c>
      <c r="Z911" t="str">
        <f>HYPERLINK("Melting_Curves/meltCurve_sp_P35251_2_RFC1_HUMAN_.pdf", "Melting_Curves/meltCurve_sp_P35251_2_RFC1_HUMAN_.pdf")</f>
        <v>Melting_Curves/meltCurve_sp_P35251_2_RFC1_HUMAN_.pdf</v>
      </c>
      <c r="AA911" t="s">
        <v>12387</v>
      </c>
      <c r="AB911" t="s">
        <v>16152</v>
      </c>
    </row>
    <row r="912" spans="1:28" x14ac:dyDescent="0.25">
      <c r="A912" t="s">
        <v>916</v>
      </c>
      <c r="B912">
        <v>0.98876768158843997</v>
      </c>
      <c r="C912">
        <v>0.99722551067263199</v>
      </c>
      <c r="D912">
        <v>0.95225828669000001</v>
      </c>
      <c r="E912">
        <v>0.833451684442439</v>
      </c>
      <c r="F912">
        <v>0.77348153543374698</v>
      </c>
      <c r="G912">
        <v>0.58207730396247304</v>
      </c>
      <c r="H912">
        <v>0.484788710938717</v>
      </c>
      <c r="I912">
        <v>0.40159136984786697</v>
      </c>
      <c r="J912">
        <v>0.324139670059025</v>
      </c>
      <c r="K912">
        <v>0.164519532938008</v>
      </c>
      <c r="L912">
        <v>527.80398042571005</v>
      </c>
      <c r="M912">
        <v>8.7781430466596504</v>
      </c>
      <c r="N912">
        <v>60.127063216347302</v>
      </c>
      <c r="O912">
        <v>57.251540867897504</v>
      </c>
      <c r="P912">
        <v>-3.8362055605821802E-2</v>
      </c>
      <c r="Q912">
        <v>0</v>
      </c>
      <c r="R912">
        <v>0.98905929807236703</v>
      </c>
      <c r="S912" t="s">
        <v>4744</v>
      </c>
      <c r="T912" t="s">
        <v>7662</v>
      </c>
      <c r="U912" t="s">
        <v>7662</v>
      </c>
      <c r="V912" t="s">
        <v>7662</v>
      </c>
      <c r="W912">
        <v>3</v>
      </c>
      <c r="X912" t="s">
        <v>8574</v>
      </c>
      <c r="Y912">
        <v>0.65967960528947178</v>
      </c>
      <c r="Z912" t="str">
        <f>HYPERLINK("Melting_Curves/meltCurve_sp_P35268_RL22_HUMAN_.pdf", "Melting_Curves/meltCurve_sp_P35268_RL22_HUMAN_.pdf")</f>
        <v>Melting_Curves/meltCurve_sp_P35268_RL22_HUMAN_.pdf</v>
      </c>
      <c r="AA912" t="s">
        <v>12388</v>
      </c>
      <c r="AB912" t="s">
        <v>16153</v>
      </c>
    </row>
    <row r="913" spans="1:28" x14ac:dyDescent="0.25">
      <c r="A913" t="s">
        <v>917</v>
      </c>
      <c r="B913">
        <v>0.98876768158843997</v>
      </c>
      <c r="C913">
        <v>1.1256280030245001</v>
      </c>
      <c r="D913">
        <v>0.825574908671317</v>
      </c>
      <c r="E913">
        <v>0.53094056350459995</v>
      </c>
      <c r="F913">
        <v>0.29454195449207898</v>
      </c>
      <c r="G913">
        <v>0.181659990074581</v>
      </c>
      <c r="H913">
        <v>0.11919002362435201</v>
      </c>
      <c r="I913">
        <v>9.9735120023796794E-2</v>
      </c>
      <c r="J913">
        <v>9.1685891367572894E-2</v>
      </c>
      <c r="K913">
        <v>6.72317434808401E-2</v>
      </c>
      <c r="L913">
        <v>1066.28937665224</v>
      </c>
      <c r="M913">
        <v>21.377811285946699</v>
      </c>
      <c r="N913">
        <v>50.361942768006301</v>
      </c>
      <c r="O913">
        <v>49.448020453912001</v>
      </c>
      <c r="P913">
        <v>-9.8055372627327594E-2</v>
      </c>
      <c r="Q913">
        <v>9.2793331393785206E-2</v>
      </c>
      <c r="R913">
        <v>0.981741423232104</v>
      </c>
      <c r="S913" t="s">
        <v>4745</v>
      </c>
      <c r="T913" t="s">
        <v>7662</v>
      </c>
      <c r="U913" t="s">
        <v>7662</v>
      </c>
      <c r="V913" t="s">
        <v>7662</v>
      </c>
      <c r="W913">
        <v>12</v>
      </c>
      <c r="X913" t="s">
        <v>8575</v>
      </c>
      <c r="Y913">
        <v>0.40259565867776331</v>
      </c>
      <c r="Z913" t="str">
        <f>HYPERLINK("Melting_Curves/meltCurve_sp_P35270_SPRE_HUMAN_.pdf", "Melting_Curves/meltCurve_sp_P35270_SPRE_HUMAN_.pdf")</f>
        <v>Melting_Curves/meltCurve_sp_P35270_SPRE_HUMAN_.pdf</v>
      </c>
      <c r="AA913" t="s">
        <v>12389</v>
      </c>
      <c r="AB913" t="s">
        <v>16154</v>
      </c>
    </row>
    <row r="914" spans="1:28" x14ac:dyDescent="0.25">
      <c r="A914" t="s">
        <v>918</v>
      </c>
      <c r="B914">
        <v>0.98876768158843997</v>
      </c>
      <c r="C914">
        <v>0.95719253746820099</v>
      </c>
      <c r="D914">
        <v>1.0451661739681399</v>
      </c>
      <c r="E914">
        <v>0.89992006335247299</v>
      </c>
      <c r="F914">
        <v>0.35001721925540802</v>
      </c>
      <c r="G914">
        <v>0.101858211807986</v>
      </c>
      <c r="H914">
        <v>4.9831638280578398E-2</v>
      </c>
      <c r="I914">
        <v>3.88953162602945E-2</v>
      </c>
      <c r="J914">
        <v>4.1715861356178899E-2</v>
      </c>
      <c r="K914">
        <v>3.9759018359527998E-2</v>
      </c>
      <c r="L914">
        <v>2501.2398932979299</v>
      </c>
      <c r="M914">
        <v>47.941336868473101</v>
      </c>
      <c r="N914">
        <v>52.288468001735403</v>
      </c>
      <c r="O914">
        <v>52.082390220216197</v>
      </c>
      <c r="P914">
        <v>-0.21855720790702601</v>
      </c>
      <c r="Q914">
        <v>5.0258413040066202E-2</v>
      </c>
      <c r="R914">
        <v>0.99696355909384105</v>
      </c>
      <c r="S914" t="s">
        <v>4746</v>
      </c>
      <c r="T914" t="s">
        <v>7662</v>
      </c>
      <c r="U914" t="s">
        <v>7662</v>
      </c>
      <c r="V914" t="s">
        <v>7662</v>
      </c>
      <c r="W914">
        <v>21</v>
      </c>
      <c r="X914" t="s">
        <v>8576</v>
      </c>
      <c r="Y914">
        <v>0.43800790705044129</v>
      </c>
      <c r="Z914" t="str">
        <f>HYPERLINK("Melting_Curves/meltCurve_sp_P35520_CBS_HUMAN_.pdf", "Melting_Curves/meltCurve_sp_P35520_CBS_HUMAN_.pdf")</f>
        <v>Melting_Curves/meltCurve_sp_P35520_CBS_HUMAN_.pdf</v>
      </c>
      <c r="AA914" t="s">
        <v>12390</v>
      </c>
      <c r="AB914" t="s">
        <v>16155</v>
      </c>
    </row>
    <row r="915" spans="1:28" x14ac:dyDescent="0.25">
      <c r="A915" t="s">
        <v>919</v>
      </c>
      <c r="B915">
        <v>0.98876768158843997</v>
      </c>
      <c r="C915">
        <v>0.94896964525205496</v>
      </c>
      <c r="D915">
        <v>0.80982134422052299</v>
      </c>
      <c r="E915">
        <v>0.44818585809464001</v>
      </c>
      <c r="F915">
        <v>0.18825997411869499</v>
      </c>
      <c r="G915">
        <v>9.0205115689122997E-2</v>
      </c>
      <c r="H915">
        <v>6.36379447801564E-2</v>
      </c>
      <c r="I915">
        <v>4.7706770408592301E-2</v>
      </c>
      <c r="J915">
        <v>7.8801841427475594E-2</v>
      </c>
      <c r="K915">
        <v>4.9386633094209001E-2</v>
      </c>
      <c r="L915">
        <v>1062.53760634328</v>
      </c>
      <c r="M915">
        <v>21.663930614734099</v>
      </c>
      <c r="N915">
        <v>49.2913763110055</v>
      </c>
      <c r="O915">
        <v>48.634217871945502</v>
      </c>
      <c r="P915">
        <v>-0.105680252427603</v>
      </c>
      <c r="Q915">
        <v>5.1039348315176702E-2</v>
      </c>
      <c r="R915">
        <v>0.99879886480237801</v>
      </c>
      <c r="S915" t="s">
        <v>4747</v>
      </c>
      <c r="T915" t="s">
        <v>7662</v>
      </c>
      <c r="U915" t="s">
        <v>7662</v>
      </c>
      <c r="V915" t="s">
        <v>7662</v>
      </c>
      <c r="W915">
        <v>30</v>
      </c>
      <c r="X915" t="s">
        <v>8577</v>
      </c>
      <c r="Y915">
        <v>0.34848442456588302</v>
      </c>
      <c r="Z915" t="str">
        <f>HYPERLINK("Melting_Curves/meltCurve_sp_P35558_PCKGC_HUMAN_.pdf", "Melting_Curves/meltCurve_sp_P35558_PCKGC_HUMAN_.pdf")</f>
        <v>Melting_Curves/meltCurve_sp_P35558_PCKGC_HUMAN_.pdf</v>
      </c>
      <c r="AA915" t="s">
        <v>12391</v>
      </c>
      <c r="AB915" t="s">
        <v>16156</v>
      </c>
    </row>
    <row r="916" spans="1:28" x14ac:dyDescent="0.25">
      <c r="A916" t="s">
        <v>920</v>
      </c>
      <c r="B916">
        <v>0.98876768158843997</v>
      </c>
      <c r="C916">
        <v>1.00645005426152</v>
      </c>
      <c r="D916">
        <v>0.85364320532167604</v>
      </c>
      <c r="E916">
        <v>0.61325470954808103</v>
      </c>
      <c r="F916">
        <v>0.68090874743851504</v>
      </c>
      <c r="G916">
        <v>0.49393069245166898</v>
      </c>
      <c r="H916">
        <v>0.36926452863040898</v>
      </c>
      <c r="I916">
        <v>0.43597526950202797</v>
      </c>
      <c r="J916">
        <v>0.62325854111412204</v>
      </c>
      <c r="K916">
        <v>0.62716464672102801</v>
      </c>
      <c r="L916">
        <v>1068.9203458688301</v>
      </c>
      <c r="M916">
        <v>22.315543767059001</v>
      </c>
      <c r="O916">
        <v>47.5205787890349</v>
      </c>
      <c r="P916">
        <v>-5.6338765836519498E-2</v>
      </c>
      <c r="Q916">
        <v>0.52012027125370897</v>
      </c>
      <c r="R916">
        <v>0.83703589408462198</v>
      </c>
      <c r="S916" t="s">
        <v>4748</v>
      </c>
      <c r="T916" t="s">
        <v>7662</v>
      </c>
      <c r="U916" t="s">
        <v>7662</v>
      </c>
      <c r="V916" t="s">
        <v>7662</v>
      </c>
      <c r="W916">
        <v>6</v>
      </c>
      <c r="X916" t="s">
        <v>8578</v>
      </c>
      <c r="Y916">
        <v>0.65190096497887473</v>
      </c>
      <c r="Z916" t="str">
        <f>HYPERLINK("Melting_Curves/meltCurve_sp_P35568_IRS1_HUMAN_.pdf", "Melting_Curves/meltCurve_sp_P35568_IRS1_HUMAN_.pdf")</f>
        <v>Melting_Curves/meltCurve_sp_P35568_IRS1_HUMAN_.pdf</v>
      </c>
      <c r="AA916" t="s">
        <v>12392</v>
      </c>
      <c r="AB916" t="s">
        <v>16157</v>
      </c>
    </row>
    <row r="917" spans="1:28" x14ac:dyDescent="0.25">
      <c r="A917" t="s">
        <v>921</v>
      </c>
      <c r="B917">
        <v>0.98876768158843997</v>
      </c>
      <c r="C917">
        <v>0.89957222836464301</v>
      </c>
      <c r="D917">
        <v>0.96530283284229601</v>
      </c>
      <c r="E917">
        <v>0.34588711152236401</v>
      </c>
      <c r="F917">
        <v>0.122218349037462</v>
      </c>
      <c r="G917">
        <v>6.9205535168950602E-2</v>
      </c>
      <c r="H917">
        <v>4.5566166064486997E-2</v>
      </c>
      <c r="I917">
        <v>4.1903852904435102E-2</v>
      </c>
      <c r="J917">
        <v>4.8375352034547202E-2</v>
      </c>
      <c r="K917">
        <v>3.7715980567736299E-2</v>
      </c>
      <c r="L917">
        <v>1998.6556252740199</v>
      </c>
      <c r="M917">
        <v>40.720560716322403</v>
      </c>
      <c r="N917">
        <v>49.213820727614703</v>
      </c>
      <c r="O917">
        <v>48.964295079976203</v>
      </c>
      <c r="P917">
        <v>-0.19718608864709999</v>
      </c>
      <c r="Q917">
        <v>5.1578952969737399E-2</v>
      </c>
      <c r="R917">
        <v>0.99275036946330197</v>
      </c>
      <c r="S917" t="s">
        <v>4749</v>
      </c>
      <c r="T917" t="s">
        <v>7662</v>
      </c>
      <c r="U917" t="s">
        <v>7662</v>
      </c>
      <c r="V917" t="s">
        <v>7662</v>
      </c>
      <c r="W917">
        <v>38</v>
      </c>
      <c r="X917" t="s">
        <v>8579</v>
      </c>
      <c r="Y917">
        <v>0.34181133891500159</v>
      </c>
      <c r="Z917" t="str">
        <f>HYPERLINK("Melting_Curves/meltCurve_sp_P35573_GDE_HUMAN_.pdf", "Melting_Curves/meltCurve_sp_P35573_GDE_HUMAN_.pdf")</f>
        <v>Melting_Curves/meltCurve_sp_P35573_GDE_HUMAN_.pdf</v>
      </c>
      <c r="AA917" t="s">
        <v>12393</v>
      </c>
      <c r="AB917" t="s">
        <v>16158</v>
      </c>
    </row>
    <row r="918" spans="1:28" x14ac:dyDescent="0.25">
      <c r="A918" t="s">
        <v>922</v>
      </c>
      <c r="B918">
        <v>0.98876768158843997</v>
      </c>
      <c r="C918">
        <v>0.87419793301571602</v>
      </c>
      <c r="D918">
        <v>1.0783490345117099</v>
      </c>
      <c r="E918">
        <v>0.67133149594902297</v>
      </c>
      <c r="F918">
        <v>0.17994923160746501</v>
      </c>
      <c r="G918">
        <v>9.9792195444112594E-2</v>
      </c>
      <c r="H918">
        <v>6.04670967678392E-2</v>
      </c>
      <c r="I918">
        <v>5.9885436201182203E-2</v>
      </c>
      <c r="J918">
        <v>7.3887993894877199E-2</v>
      </c>
      <c r="K918">
        <v>7.1066052526745194E-2</v>
      </c>
      <c r="L918">
        <v>2429.7198970147801</v>
      </c>
      <c r="M918">
        <v>47.964869166253997</v>
      </c>
      <c r="N918">
        <v>50.823685869266001</v>
      </c>
      <c r="O918">
        <v>50.568419990442102</v>
      </c>
      <c r="P918">
        <v>-0.21979743252695599</v>
      </c>
      <c r="Q918">
        <v>7.3088455086446E-2</v>
      </c>
      <c r="R918">
        <v>0.98567338958655104</v>
      </c>
      <c r="S918" t="s">
        <v>4750</v>
      </c>
      <c r="T918" t="s">
        <v>7662</v>
      </c>
      <c r="U918" t="s">
        <v>7662</v>
      </c>
      <c r="V918" t="s">
        <v>7662</v>
      </c>
      <c r="W918">
        <v>113</v>
      </c>
      <c r="X918" t="s">
        <v>8580</v>
      </c>
      <c r="Y918">
        <v>0.40458651496189069</v>
      </c>
      <c r="Z918" t="str">
        <f>HYPERLINK("Melting_Curves/meltCurve_sp_P35579_MYH9_HUMAN_.pdf", "Melting_Curves/meltCurve_sp_P35579_MYH9_HUMAN_.pdf")</f>
        <v>Melting_Curves/meltCurve_sp_P35579_MYH9_HUMAN_.pdf</v>
      </c>
      <c r="AA918" t="s">
        <v>12394</v>
      </c>
      <c r="AB918" t="s">
        <v>16159</v>
      </c>
    </row>
    <row r="919" spans="1:28" x14ac:dyDescent="0.25">
      <c r="A919" t="s">
        <v>923</v>
      </c>
      <c r="B919">
        <v>0.98876768158843997</v>
      </c>
      <c r="C919">
        <v>0.92187084888244397</v>
      </c>
      <c r="D919">
        <v>1.09854371985403</v>
      </c>
      <c r="E919">
        <v>0.54719358831819598</v>
      </c>
      <c r="F919">
        <v>0.27900756760568601</v>
      </c>
      <c r="G919">
        <v>0.13387982166677101</v>
      </c>
      <c r="H919">
        <v>8.2321854282425597E-2</v>
      </c>
      <c r="I919">
        <v>6.7390171286813405E-2</v>
      </c>
      <c r="J919">
        <v>8.8773090362580007E-2</v>
      </c>
      <c r="K919">
        <v>7.5161251142226299E-2</v>
      </c>
      <c r="L919">
        <v>1704.6859172218301</v>
      </c>
      <c r="M919">
        <v>33.874960877806998</v>
      </c>
      <c r="N919">
        <v>50.621344547059699</v>
      </c>
      <c r="O919">
        <v>50.148486528091198</v>
      </c>
      <c r="P919">
        <v>-0.15358814065469101</v>
      </c>
      <c r="Q919">
        <v>9.0516221380082598E-2</v>
      </c>
      <c r="R919">
        <v>0.98129416629349497</v>
      </c>
      <c r="S919" t="s">
        <v>4751</v>
      </c>
      <c r="T919" t="s">
        <v>7662</v>
      </c>
      <c r="U919" t="s">
        <v>7662</v>
      </c>
      <c r="V919" t="s">
        <v>7662</v>
      </c>
      <c r="W919">
        <v>51</v>
      </c>
      <c r="X919" t="s">
        <v>8581</v>
      </c>
      <c r="Y919">
        <v>0.40789159563617799</v>
      </c>
      <c r="Z919" t="str">
        <f>HYPERLINK("Melting_Curves/meltCurve_sp_P35580_MYH10_HUMAN_.pdf", "Melting_Curves/meltCurve_sp_P35580_MYH10_HUMAN_.pdf")</f>
        <v>Melting_Curves/meltCurve_sp_P35580_MYH10_HUMAN_.pdf</v>
      </c>
      <c r="AA919" t="s">
        <v>12395</v>
      </c>
      <c r="AB919" t="s">
        <v>16160</v>
      </c>
    </row>
    <row r="920" spans="1:28" x14ac:dyDescent="0.25">
      <c r="A920" t="s">
        <v>924</v>
      </c>
      <c r="B920">
        <v>0.98876768158843997</v>
      </c>
      <c r="C920">
        <v>0.94358107388075596</v>
      </c>
      <c r="D920">
        <v>1.1145204967243301</v>
      </c>
      <c r="E920">
        <v>0.83866276275568996</v>
      </c>
      <c r="F920">
        <v>0.38284801710624</v>
      </c>
      <c r="G920">
        <v>0.16099834758206799</v>
      </c>
      <c r="H920">
        <v>8.1247725145983593E-2</v>
      </c>
      <c r="I920">
        <v>7.3651199786305604E-2</v>
      </c>
      <c r="J920">
        <v>8.23729296029342E-2</v>
      </c>
      <c r="K920">
        <v>8.32738906836481E-2</v>
      </c>
      <c r="L920">
        <v>1996.28907919325</v>
      </c>
      <c r="M920">
        <v>38.3667681734685</v>
      </c>
      <c r="N920">
        <v>52.295673979405301</v>
      </c>
      <c r="O920">
        <v>51.890971085202104</v>
      </c>
      <c r="P920">
        <v>-0.16857261996719899</v>
      </c>
      <c r="Q920">
        <v>8.8025814343135306E-2</v>
      </c>
      <c r="R920">
        <v>0.98861334032683301</v>
      </c>
      <c r="S920" t="s">
        <v>4752</v>
      </c>
      <c r="T920" t="s">
        <v>7662</v>
      </c>
      <c r="U920" t="s">
        <v>7662</v>
      </c>
      <c r="V920" t="s">
        <v>7662</v>
      </c>
      <c r="W920">
        <v>24</v>
      </c>
      <c r="X920" t="s">
        <v>8582</v>
      </c>
      <c r="Y920">
        <v>0.4573448176680171</v>
      </c>
      <c r="Z920" t="str">
        <f>HYPERLINK("Melting_Curves/meltCurve_sp_P35606_COPB2_HUMAN_.pdf", "Melting_Curves/meltCurve_sp_P35606_COPB2_HUMAN_.pdf")</f>
        <v>Melting_Curves/meltCurve_sp_P35606_COPB2_HUMAN_.pdf</v>
      </c>
      <c r="AA920" t="s">
        <v>12396</v>
      </c>
      <c r="AB920" t="s">
        <v>16161</v>
      </c>
    </row>
    <row r="921" spans="1:28" x14ac:dyDescent="0.25">
      <c r="A921" t="s">
        <v>925</v>
      </c>
      <c r="B921">
        <v>0.98876768158843997</v>
      </c>
      <c r="C921">
        <v>1.03071594261424</v>
      </c>
      <c r="D921">
        <v>0.92534543594247198</v>
      </c>
      <c r="E921">
        <v>0.79161661475037004</v>
      </c>
      <c r="F921">
        <v>0.70268460163252899</v>
      </c>
      <c r="G921">
        <v>0.51305862959912696</v>
      </c>
      <c r="H921">
        <v>0.39491374504164001</v>
      </c>
      <c r="I921">
        <v>0.43096304759626902</v>
      </c>
      <c r="J921">
        <v>0.485416901284841</v>
      </c>
      <c r="K921">
        <v>0.46702418755304298</v>
      </c>
      <c r="L921">
        <v>986.983670522426</v>
      </c>
      <c r="M921">
        <v>19.033311572052099</v>
      </c>
      <c r="N921">
        <v>58.026165457600499</v>
      </c>
      <c r="O921">
        <v>51.293344201258002</v>
      </c>
      <c r="P921">
        <v>-5.2513869266551001E-2</v>
      </c>
      <c r="Q921">
        <v>0.43393868567793398</v>
      </c>
      <c r="R921">
        <v>0.97629321201289798</v>
      </c>
      <c r="S921" t="s">
        <v>4753</v>
      </c>
      <c r="T921" t="s">
        <v>7662</v>
      </c>
      <c r="U921" t="s">
        <v>7662</v>
      </c>
      <c r="V921" t="s">
        <v>7662</v>
      </c>
      <c r="W921">
        <v>12</v>
      </c>
      <c r="X921" t="s">
        <v>8583</v>
      </c>
      <c r="Y921">
        <v>0.66620135769998368</v>
      </c>
      <c r="Z921" t="str">
        <f>HYPERLINK("Melting_Curves/meltCurve_sp_P35611_2_ADDA_HUMAN_.pdf", "Melting_Curves/meltCurve_sp_P35611_2_ADDA_HUMAN_.pdf")</f>
        <v>Melting_Curves/meltCurve_sp_P35611_2_ADDA_HUMAN_.pdf</v>
      </c>
      <c r="AA921" t="s">
        <v>12397</v>
      </c>
      <c r="AB921" t="s">
        <v>16162</v>
      </c>
    </row>
    <row r="922" spans="1:28" x14ac:dyDescent="0.25">
      <c r="A922" t="s">
        <v>926</v>
      </c>
      <c r="B922">
        <v>0.98876768158843997</v>
      </c>
      <c r="C922">
        <v>1.00543127492868</v>
      </c>
      <c r="D922">
        <v>0.84294856220094405</v>
      </c>
      <c r="E922">
        <v>0.66171408856005698</v>
      </c>
      <c r="F922">
        <v>0.66333868093194404</v>
      </c>
      <c r="G922">
        <v>0.47350804241063099</v>
      </c>
      <c r="H922">
        <v>0.371720471266338</v>
      </c>
      <c r="I922">
        <v>0.434892958468863</v>
      </c>
      <c r="J922">
        <v>0.481714383317699</v>
      </c>
      <c r="K922">
        <v>0.63884926534340503</v>
      </c>
      <c r="L922">
        <v>910.52427235549601</v>
      </c>
      <c r="M922">
        <v>18.661241204307299</v>
      </c>
      <c r="N922">
        <v>59.080266073402903</v>
      </c>
      <c r="O922">
        <v>48.242323569473598</v>
      </c>
      <c r="P922">
        <v>-5.0230633356446799E-2</v>
      </c>
      <c r="Q922">
        <v>0.48060500973661302</v>
      </c>
      <c r="R922">
        <v>0.88278589996965695</v>
      </c>
      <c r="S922" t="s">
        <v>4754</v>
      </c>
      <c r="T922" t="s">
        <v>7662</v>
      </c>
      <c r="U922" t="s">
        <v>7662</v>
      </c>
      <c r="V922" t="s">
        <v>7662</v>
      </c>
      <c r="W922">
        <v>8</v>
      </c>
      <c r="X922" t="s">
        <v>8584</v>
      </c>
      <c r="Y922">
        <v>0.64122505233814098</v>
      </c>
      <c r="Z922" t="str">
        <f>HYPERLINK("Melting_Curves/meltCurve_sp_P35637_2_FUS_HUMAN_.pdf", "Melting_Curves/meltCurve_sp_P35637_2_FUS_HUMAN_.pdf")</f>
        <v>Melting_Curves/meltCurve_sp_P35637_2_FUS_HUMAN_.pdf</v>
      </c>
      <c r="AA922" t="s">
        <v>12398</v>
      </c>
      <c r="AB922" t="s">
        <v>16163</v>
      </c>
    </row>
    <row r="923" spans="1:28" x14ac:dyDescent="0.25">
      <c r="A923" t="s">
        <v>927</v>
      </c>
      <c r="B923">
        <v>0.98876768158843997</v>
      </c>
      <c r="C923">
        <v>1.0358220879753699</v>
      </c>
      <c r="D923">
        <v>0.84634763973537697</v>
      </c>
      <c r="E923">
        <v>0.60334965137794705</v>
      </c>
      <c r="F923">
        <v>0.61709190506227696</v>
      </c>
      <c r="G923">
        <v>0.43329659935602</v>
      </c>
      <c r="H923">
        <v>0.33606067173283599</v>
      </c>
      <c r="I923">
        <v>0.37648247000820101</v>
      </c>
      <c r="J923">
        <v>0.49850763407481702</v>
      </c>
      <c r="K923">
        <v>0.54480357390673995</v>
      </c>
      <c r="L923">
        <v>1028.87547599809</v>
      </c>
      <c r="M923">
        <v>21.180577127830102</v>
      </c>
      <c r="N923">
        <v>54.081813092540102</v>
      </c>
      <c r="O923">
        <v>48.149585014197797</v>
      </c>
      <c r="P923">
        <v>-6.1353772504317797E-2</v>
      </c>
      <c r="Q923">
        <v>0.44211504431373699</v>
      </c>
      <c r="R923">
        <v>0.914864226137028</v>
      </c>
      <c r="S923" t="s">
        <v>4755</v>
      </c>
      <c r="T923" t="s">
        <v>7662</v>
      </c>
      <c r="U923" t="s">
        <v>7662</v>
      </c>
      <c r="V923" t="s">
        <v>7662</v>
      </c>
      <c r="W923">
        <v>9</v>
      </c>
      <c r="X923" t="s">
        <v>8585</v>
      </c>
      <c r="Y923">
        <v>0.60857347243689375</v>
      </c>
      <c r="Z923" t="str">
        <f>HYPERLINK("Melting_Curves/meltCurve_sp_P35658_2_NU214_HUMAN_.pdf", "Melting_Curves/meltCurve_sp_P35658_2_NU214_HUMAN_.pdf")</f>
        <v>Melting_Curves/meltCurve_sp_P35658_2_NU214_HUMAN_.pdf</v>
      </c>
      <c r="AA923" t="s">
        <v>12399</v>
      </c>
      <c r="AB923" t="s">
        <v>16164</v>
      </c>
    </row>
    <row r="924" spans="1:28" x14ac:dyDescent="0.25">
      <c r="A924" t="s">
        <v>928</v>
      </c>
      <c r="B924">
        <v>0.98876768158843997</v>
      </c>
      <c r="C924">
        <v>1.23682519250228</v>
      </c>
      <c r="D924">
        <v>0.880481994802223</v>
      </c>
      <c r="E924">
        <v>0.81293755773292797</v>
      </c>
      <c r="F924">
        <v>0.82252481719973602</v>
      </c>
      <c r="G924">
        <v>0.56537048555290104</v>
      </c>
      <c r="H924">
        <v>0.448274044272233</v>
      </c>
      <c r="I924">
        <v>0.53998596885236305</v>
      </c>
      <c r="J924">
        <v>0.63868571323535595</v>
      </c>
      <c r="K924">
        <v>0.773205912838131</v>
      </c>
      <c r="L924">
        <v>1182.4789123455801</v>
      </c>
      <c r="M924">
        <v>23.077002866598399</v>
      </c>
      <c r="O924">
        <v>50.8604335376356</v>
      </c>
      <c r="P924">
        <v>-4.6002715642912001E-2</v>
      </c>
      <c r="Q924">
        <v>0.59445759748717897</v>
      </c>
      <c r="R924">
        <v>0.71120643318906895</v>
      </c>
      <c r="S924" t="s">
        <v>4756</v>
      </c>
      <c r="T924" t="s">
        <v>7662</v>
      </c>
      <c r="U924" t="s">
        <v>7662</v>
      </c>
      <c r="V924" t="s">
        <v>7662</v>
      </c>
      <c r="W924">
        <v>8</v>
      </c>
      <c r="X924" t="s">
        <v>8586</v>
      </c>
      <c r="Y924">
        <v>0.75069993426175397</v>
      </c>
      <c r="Z924" t="str">
        <f>HYPERLINK("Melting_Curves/meltCurve_sp_P35659_DEK_HUMAN_.pdf", "Melting_Curves/meltCurve_sp_P35659_DEK_HUMAN_.pdf")</f>
        <v>Melting_Curves/meltCurve_sp_P35659_DEK_HUMAN_.pdf</v>
      </c>
      <c r="AA924" t="s">
        <v>12400</v>
      </c>
      <c r="AB924" t="s">
        <v>16165</v>
      </c>
    </row>
    <row r="925" spans="1:28" x14ac:dyDescent="0.25">
      <c r="A925" t="s">
        <v>929</v>
      </c>
      <c r="B925">
        <v>0.98876768158843997</v>
      </c>
      <c r="C925">
        <v>1.22085644808746</v>
      </c>
      <c r="D925">
        <v>0.86706385103959005</v>
      </c>
      <c r="E925">
        <v>0.77470980072157902</v>
      </c>
      <c r="F925">
        <v>0.86292856312084898</v>
      </c>
      <c r="G925">
        <v>0.58791493824020402</v>
      </c>
      <c r="H925">
        <v>0.44843981852123199</v>
      </c>
      <c r="I925">
        <v>0.68360738601974702</v>
      </c>
      <c r="J925">
        <v>0.56222029415996599</v>
      </c>
      <c r="K925">
        <v>0.70162392349825098</v>
      </c>
      <c r="L925">
        <v>982.41943858497996</v>
      </c>
      <c r="M925">
        <v>19.215941069400898</v>
      </c>
      <c r="O925">
        <v>50.581202964442603</v>
      </c>
      <c r="P925">
        <v>-3.8518132773650099E-2</v>
      </c>
      <c r="Q925">
        <v>0.59445770303479795</v>
      </c>
      <c r="R925">
        <v>0.71391271071720896</v>
      </c>
      <c r="S925" t="s">
        <v>4757</v>
      </c>
      <c r="T925" t="s">
        <v>7662</v>
      </c>
      <c r="U925" t="s">
        <v>7662</v>
      </c>
      <c r="V925" t="s">
        <v>7662</v>
      </c>
      <c r="W925">
        <v>4</v>
      </c>
      <c r="X925" t="s">
        <v>8587</v>
      </c>
      <c r="Y925">
        <v>0.75090932190664395</v>
      </c>
      <c r="Z925" t="str">
        <f>HYPERLINK("Melting_Curves/meltCurve_sp_P35754_GLRX1_HUMAN_.pdf", "Melting_Curves/meltCurve_sp_P35754_GLRX1_HUMAN_.pdf")</f>
        <v>Melting_Curves/meltCurve_sp_P35754_GLRX1_HUMAN_.pdf</v>
      </c>
      <c r="AA925" t="s">
        <v>12401</v>
      </c>
      <c r="AB925" t="s">
        <v>16166</v>
      </c>
    </row>
    <row r="926" spans="1:28" x14ac:dyDescent="0.25">
      <c r="A926" t="s">
        <v>930</v>
      </c>
      <c r="B926">
        <v>0.98876768158843997</v>
      </c>
      <c r="C926">
        <v>0.94115211740172799</v>
      </c>
      <c r="D926">
        <v>0.87632723425743997</v>
      </c>
      <c r="E926">
        <v>0.581661040043841</v>
      </c>
      <c r="F926">
        <v>0.19818007776041999</v>
      </c>
      <c r="G926">
        <v>9.3078787185791198E-2</v>
      </c>
      <c r="H926">
        <v>5.3429961992988599E-2</v>
      </c>
      <c r="I926">
        <v>4.7775205557295898E-2</v>
      </c>
      <c r="J926">
        <v>5.2135811315068198E-2</v>
      </c>
      <c r="K926">
        <v>4.8395501747428002E-2</v>
      </c>
      <c r="L926">
        <v>1259.3520431172501</v>
      </c>
      <c r="M926">
        <v>25.106708169626199</v>
      </c>
      <c r="N926">
        <v>50.339628874835199</v>
      </c>
      <c r="O926">
        <v>49.845005916564801</v>
      </c>
      <c r="P926">
        <v>-0.12052956145127799</v>
      </c>
      <c r="Q926">
        <v>4.2850630184635502E-2</v>
      </c>
      <c r="R926">
        <v>0.99546098249630799</v>
      </c>
      <c r="S926" t="s">
        <v>4758</v>
      </c>
      <c r="T926" t="s">
        <v>7662</v>
      </c>
      <c r="U926" t="s">
        <v>7662</v>
      </c>
      <c r="V926" t="s">
        <v>7662</v>
      </c>
      <c r="W926">
        <v>15</v>
      </c>
      <c r="X926" t="s">
        <v>8588</v>
      </c>
      <c r="Y926">
        <v>0.37550066413678629</v>
      </c>
      <c r="Z926" t="str">
        <f>HYPERLINK("Melting_Curves/meltCurve_sp_P35813_PPM1A_HUMAN_.pdf", "Melting_Curves/meltCurve_sp_P35813_PPM1A_HUMAN_.pdf")</f>
        <v>Melting_Curves/meltCurve_sp_P35813_PPM1A_HUMAN_.pdf</v>
      </c>
      <c r="AA926" t="s">
        <v>12402</v>
      </c>
      <c r="AB926" t="s">
        <v>16167</v>
      </c>
    </row>
    <row r="927" spans="1:28" x14ac:dyDescent="0.25">
      <c r="A927" t="s">
        <v>931</v>
      </c>
      <c r="B927">
        <v>0.98876768158843997</v>
      </c>
      <c r="C927">
        <v>0.98372864708928598</v>
      </c>
      <c r="D927">
        <v>0.84128178387216801</v>
      </c>
      <c r="E927">
        <v>0.64088335771742599</v>
      </c>
      <c r="F927">
        <v>0.32487114038090598</v>
      </c>
      <c r="G927">
        <v>0.144631211825757</v>
      </c>
      <c r="H927">
        <v>7.2263210339738607E-2</v>
      </c>
      <c r="I927">
        <v>4.6410427185006597E-2</v>
      </c>
      <c r="J927">
        <v>4.4797042865066403E-2</v>
      </c>
      <c r="K927">
        <v>3.6033018157447E-2</v>
      </c>
      <c r="L927">
        <v>940.23516183004699</v>
      </c>
      <c r="M927">
        <v>18.442930013100199</v>
      </c>
      <c r="N927">
        <v>51.132807051765603</v>
      </c>
      <c r="O927">
        <v>50.3927610677217</v>
      </c>
      <c r="P927">
        <v>-8.9059086331878104E-2</v>
      </c>
      <c r="Q927">
        <v>2.6677036541593199E-2</v>
      </c>
      <c r="R927">
        <v>0.99714543711354398</v>
      </c>
      <c r="S927" t="s">
        <v>4759</v>
      </c>
      <c r="T927" t="s">
        <v>7662</v>
      </c>
      <c r="U927" t="s">
        <v>7662</v>
      </c>
      <c r="V927" t="s">
        <v>7662</v>
      </c>
      <c r="W927">
        <v>18</v>
      </c>
      <c r="X927" t="s">
        <v>8589</v>
      </c>
      <c r="Y927">
        <v>0.39863481925823502</v>
      </c>
      <c r="Z927" t="str">
        <f>HYPERLINK("Melting_Curves/meltCurve_sp_P35914_HMGCL_HUMAN_.pdf", "Melting_Curves/meltCurve_sp_P35914_HMGCL_HUMAN_.pdf")</f>
        <v>Melting_Curves/meltCurve_sp_P35914_HMGCL_HUMAN_.pdf</v>
      </c>
      <c r="AA927" t="s">
        <v>12403</v>
      </c>
      <c r="AB927" t="s">
        <v>16168</v>
      </c>
    </row>
    <row r="928" spans="1:28" x14ac:dyDescent="0.25">
      <c r="A928" t="s">
        <v>932</v>
      </c>
      <c r="B928">
        <v>0.98876768158843997</v>
      </c>
      <c r="C928">
        <v>0.87138332086293901</v>
      </c>
      <c r="D928">
        <v>0.78981721661577198</v>
      </c>
      <c r="E928">
        <v>0.38757874728898201</v>
      </c>
      <c r="F928">
        <v>0.16588340299125401</v>
      </c>
      <c r="G928">
        <v>7.6091760553061993E-2</v>
      </c>
      <c r="H928">
        <v>3.5369152454754998E-2</v>
      </c>
      <c r="I928">
        <v>2.9406837137577399E-2</v>
      </c>
      <c r="J928">
        <v>3.3568452234772797E-2</v>
      </c>
      <c r="K928">
        <v>2.79612898692496E-2</v>
      </c>
      <c r="L928">
        <v>946.93441240055404</v>
      </c>
      <c r="M928">
        <v>19.465884824039001</v>
      </c>
      <c r="N928">
        <v>48.7515458360933</v>
      </c>
      <c r="O928">
        <v>48.141177405096897</v>
      </c>
      <c r="P928">
        <v>-9.9002264976977505E-2</v>
      </c>
      <c r="Q928">
        <v>2.0663426572589499E-2</v>
      </c>
      <c r="R928">
        <v>0.99623943675394999</v>
      </c>
      <c r="S928" t="s">
        <v>4760</v>
      </c>
      <c r="T928" t="s">
        <v>7662</v>
      </c>
      <c r="U928" t="s">
        <v>7662</v>
      </c>
      <c r="V928" t="s">
        <v>7662</v>
      </c>
      <c r="W928">
        <v>17</v>
      </c>
      <c r="X928" t="s">
        <v>8590</v>
      </c>
      <c r="Y928">
        <v>0.31746409392092179</v>
      </c>
      <c r="Z928" t="str">
        <f>HYPERLINK("Melting_Curves/meltCurve_sp_P35998_PRS7_HUMAN_.pdf", "Melting_Curves/meltCurve_sp_P35998_PRS7_HUMAN_.pdf")</f>
        <v>Melting_Curves/meltCurve_sp_P35998_PRS7_HUMAN_.pdf</v>
      </c>
      <c r="AA928" t="s">
        <v>12404</v>
      </c>
      <c r="AB928" t="s">
        <v>16169</v>
      </c>
    </row>
    <row r="929" spans="1:28" x14ac:dyDescent="0.25">
      <c r="A929" t="s">
        <v>933</v>
      </c>
      <c r="B929">
        <v>0.98876768158843997</v>
      </c>
      <c r="C929">
        <v>1.1702853300154501</v>
      </c>
      <c r="D929">
        <v>0.864307367277797</v>
      </c>
      <c r="E929">
        <v>0.74821855742409105</v>
      </c>
      <c r="F929">
        <v>1.0223856836257701</v>
      </c>
      <c r="G929">
        <v>0.46019324282933399</v>
      </c>
      <c r="H929">
        <v>0.26277621354951203</v>
      </c>
      <c r="I929">
        <v>0.22227392291183201</v>
      </c>
      <c r="J929">
        <v>0.25596044909599303</v>
      </c>
      <c r="K929">
        <v>0.239020127044974</v>
      </c>
      <c r="L929">
        <v>12864.403355684601</v>
      </c>
      <c r="M929">
        <v>226.61099891512399</v>
      </c>
      <c r="N929">
        <v>56.937854803940901</v>
      </c>
      <c r="O929">
        <v>56.764219478338397</v>
      </c>
      <c r="P929">
        <v>-0.75350947531219103</v>
      </c>
      <c r="Q929">
        <v>0.245007631017362</v>
      </c>
      <c r="R929">
        <v>0.91118242027099805</v>
      </c>
      <c r="S929" t="s">
        <v>4761</v>
      </c>
      <c r="T929" t="s">
        <v>7662</v>
      </c>
      <c r="U929" t="s">
        <v>7662</v>
      </c>
      <c r="V929" t="s">
        <v>7662</v>
      </c>
      <c r="W929">
        <v>2</v>
      </c>
      <c r="X929" t="s">
        <v>8591</v>
      </c>
      <c r="Y929">
        <v>0.66710626065244372</v>
      </c>
      <c r="Z929" t="str">
        <f>HYPERLINK("Melting_Curves/meltCurve_sp_P36405_ARL3_HUMAN_.pdf", "Melting_Curves/meltCurve_sp_P36405_ARL3_HUMAN_.pdf")</f>
        <v>Melting_Curves/meltCurve_sp_P36405_ARL3_HUMAN_.pdf</v>
      </c>
      <c r="AA929" t="s">
        <v>12405</v>
      </c>
      <c r="AB929" t="s">
        <v>16170</v>
      </c>
    </row>
    <row r="930" spans="1:28" x14ac:dyDescent="0.25">
      <c r="A930" t="s">
        <v>934</v>
      </c>
      <c r="B930">
        <v>0.98876768158843997</v>
      </c>
      <c r="C930">
        <v>1.0461693612846801</v>
      </c>
      <c r="D930">
        <v>0.77409473671141704</v>
      </c>
      <c r="E930">
        <v>0.43803887456392598</v>
      </c>
      <c r="F930">
        <v>0.114474003027475</v>
      </c>
      <c r="G930">
        <v>4.7170975230709199E-2</v>
      </c>
      <c r="H930">
        <v>2.0551256622644901E-2</v>
      </c>
      <c r="I930">
        <v>2.01652188392073E-2</v>
      </c>
      <c r="J930">
        <v>2.62734177942247E-2</v>
      </c>
      <c r="K930">
        <v>1.8740995714762999E-2</v>
      </c>
      <c r="L930">
        <v>1165.6852742347601</v>
      </c>
      <c r="M930">
        <v>23.7800649757082</v>
      </c>
      <c r="N930">
        <v>49.076852855027497</v>
      </c>
      <c r="O930">
        <v>48.676726351682603</v>
      </c>
      <c r="P930">
        <v>-0.120458957739997</v>
      </c>
      <c r="Q930">
        <v>1.3719842755860299E-2</v>
      </c>
      <c r="R930">
        <v>0.99220510659938799</v>
      </c>
      <c r="S930" t="s">
        <v>4762</v>
      </c>
      <c r="T930" t="s">
        <v>7662</v>
      </c>
      <c r="U930" t="s">
        <v>7662</v>
      </c>
      <c r="V930" t="s">
        <v>7662</v>
      </c>
      <c r="W930">
        <v>10</v>
      </c>
      <c r="X930" t="s">
        <v>8592</v>
      </c>
      <c r="Y930">
        <v>0.31993213893278077</v>
      </c>
      <c r="Z930" t="str">
        <f>HYPERLINK("Melting_Curves/meltCurve_sp_P36507_MP2K2_HUMAN_.pdf", "Melting_Curves/meltCurve_sp_P36507_MP2K2_HUMAN_.pdf")</f>
        <v>Melting_Curves/meltCurve_sp_P36507_MP2K2_HUMAN_.pdf</v>
      </c>
      <c r="AA930" t="s">
        <v>12406</v>
      </c>
      <c r="AB930" t="s">
        <v>16171</v>
      </c>
    </row>
    <row r="931" spans="1:28" x14ac:dyDescent="0.25">
      <c r="A931" t="s">
        <v>935</v>
      </c>
      <c r="B931">
        <v>0.98876768158843997</v>
      </c>
      <c r="C931">
        <v>0.97681018718214596</v>
      </c>
      <c r="D931">
        <v>1.05050765035881</v>
      </c>
      <c r="E931">
        <v>0.88379564112776898</v>
      </c>
      <c r="F931">
        <v>0.399550012731134</v>
      </c>
      <c r="G931">
        <v>0.142804253190213</v>
      </c>
      <c r="H931">
        <v>8.3341248049686595E-2</v>
      </c>
      <c r="I931">
        <v>7.0757012688989498E-2</v>
      </c>
      <c r="J931">
        <v>5.8419124701706703E-2</v>
      </c>
      <c r="K931">
        <v>7.0068178226371805E-2</v>
      </c>
      <c r="L931">
        <v>2163.7635474609601</v>
      </c>
      <c r="M931">
        <v>41.405670361389802</v>
      </c>
      <c r="N931">
        <v>52.471384982203901</v>
      </c>
      <c r="O931">
        <v>52.136202350709603</v>
      </c>
      <c r="P931">
        <v>-0.18313988787476501</v>
      </c>
      <c r="Q931">
        <v>7.7594698979029098E-2</v>
      </c>
      <c r="R931">
        <v>0.99690395790713504</v>
      </c>
      <c r="S931" t="s">
        <v>4763</v>
      </c>
      <c r="T931" t="s">
        <v>7662</v>
      </c>
      <c r="U931" t="s">
        <v>7662</v>
      </c>
      <c r="V931" t="s">
        <v>7662</v>
      </c>
      <c r="W931">
        <v>7</v>
      </c>
      <c r="X931" t="s">
        <v>8593</v>
      </c>
      <c r="Y931">
        <v>0.45758570191558751</v>
      </c>
      <c r="Z931" t="str">
        <f>HYPERLINK("Melting_Curves/meltCurve_sp_P36543_VATE1_HUMAN_.pdf", "Melting_Curves/meltCurve_sp_P36543_VATE1_HUMAN_.pdf")</f>
        <v>Melting_Curves/meltCurve_sp_P36543_VATE1_HUMAN_.pdf</v>
      </c>
      <c r="AA931" t="s">
        <v>12407</v>
      </c>
      <c r="AB931" t="s">
        <v>16172</v>
      </c>
    </row>
    <row r="932" spans="1:28" x14ac:dyDescent="0.25">
      <c r="A932" t="s">
        <v>936</v>
      </c>
      <c r="B932">
        <v>0.98876768158843997</v>
      </c>
      <c r="C932">
        <v>0.986663985600717</v>
      </c>
      <c r="D932">
        <v>0.9173469279623</v>
      </c>
      <c r="E932">
        <v>0.82636964168248905</v>
      </c>
      <c r="F932">
        <v>0.70409258955518494</v>
      </c>
      <c r="G932">
        <v>0.44647350077968001</v>
      </c>
      <c r="H932">
        <v>0.24283713520233999</v>
      </c>
      <c r="I932">
        <v>0.13064147166479501</v>
      </c>
      <c r="J932">
        <v>0.12758613468250399</v>
      </c>
      <c r="K932">
        <v>9.4039872770943903E-2</v>
      </c>
      <c r="L932">
        <v>778.14499445277397</v>
      </c>
      <c r="M932">
        <v>13.960004568159899</v>
      </c>
      <c r="N932">
        <v>55.960902502096701</v>
      </c>
      <c r="O932">
        <v>54.634583217831498</v>
      </c>
      <c r="P932">
        <v>-6.2182659942684002E-2</v>
      </c>
      <c r="Q932">
        <v>2.66853321430323E-2</v>
      </c>
      <c r="R932">
        <v>0.99721563978240602</v>
      </c>
      <c r="S932" t="s">
        <v>4764</v>
      </c>
      <c r="T932" t="s">
        <v>7662</v>
      </c>
      <c r="U932" t="s">
        <v>7662</v>
      </c>
      <c r="V932" t="s">
        <v>7662</v>
      </c>
      <c r="W932">
        <v>21</v>
      </c>
      <c r="X932" t="s">
        <v>8594</v>
      </c>
      <c r="Y932">
        <v>0.55617573565847733</v>
      </c>
      <c r="Z932" t="str">
        <f>HYPERLINK("Melting_Curves/meltCurve_sp_P36551_HEM6_HUMAN_.pdf", "Melting_Curves/meltCurve_sp_P36551_HEM6_HUMAN_.pdf")</f>
        <v>Melting_Curves/meltCurve_sp_P36551_HEM6_HUMAN_.pdf</v>
      </c>
      <c r="AA932" t="s">
        <v>12408</v>
      </c>
      <c r="AB932" t="s">
        <v>16173</v>
      </c>
    </row>
    <row r="933" spans="1:28" x14ac:dyDescent="0.25">
      <c r="A933" t="s">
        <v>937</v>
      </c>
      <c r="B933">
        <v>0.98876768158843997</v>
      </c>
      <c r="C933">
        <v>1.01321269075204</v>
      </c>
      <c r="D933">
        <v>0.90090123728193705</v>
      </c>
      <c r="E933">
        <v>0.78420553698988105</v>
      </c>
      <c r="F933">
        <v>0.53554288435459896</v>
      </c>
      <c r="G933">
        <v>0.15629024084434101</v>
      </c>
      <c r="H933">
        <v>5.6361631168301597E-2</v>
      </c>
      <c r="I933">
        <v>4.33659705527513E-2</v>
      </c>
      <c r="J933">
        <v>4.6509067866794401E-2</v>
      </c>
      <c r="K933">
        <v>3.79868905403421E-2</v>
      </c>
      <c r="L933">
        <v>1172.6330648805799</v>
      </c>
      <c r="M933">
        <v>22.156513184309699</v>
      </c>
      <c r="N933">
        <v>53.031968512984598</v>
      </c>
      <c r="O933">
        <v>52.499516155073998</v>
      </c>
      <c r="P933">
        <v>-0.103204330484162</v>
      </c>
      <c r="Q933">
        <v>2.1857079972392401E-2</v>
      </c>
      <c r="R933">
        <v>0.99553515003306803</v>
      </c>
      <c r="S933" t="s">
        <v>4765</v>
      </c>
      <c r="T933" t="s">
        <v>7662</v>
      </c>
      <c r="U933" t="s">
        <v>7662</v>
      </c>
      <c r="V933" t="s">
        <v>7662</v>
      </c>
      <c r="W933">
        <v>42</v>
      </c>
      <c r="X933" t="s">
        <v>8595</v>
      </c>
      <c r="Y933">
        <v>0.45451699457821382</v>
      </c>
      <c r="Z933" t="str">
        <f>HYPERLINK("Melting_Curves/meltCurve_sp_P36871_PGM1_HUMAN_.pdf", "Melting_Curves/meltCurve_sp_P36871_PGM1_HUMAN_.pdf")</f>
        <v>Melting_Curves/meltCurve_sp_P36871_PGM1_HUMAN_.pdf</v>
      </c>
      <c r="AA933" t="s">
        <v>12409</v>
      </c>
      <c r="AB933" t="s">
        <v>16174</v>
      </c>
    </row>
    <row r="934" spans="1:28" x14ac:dyDescent="0.25">
      <c r="A934" t="s">
        <v>938</v>
      </c>
      <c r="B934">
        <v>0.98876768158843997</v>
      </c>
      <c r="C934">
        <v>0.95670463007116302</v>
      </c>
      <c r="D934">
        <v>0.91924857088414302</v>
      </c>
      <c r="E934">
        <v>0.78532745198562803</v>
      </c>
      <c r="F934">
        <v>0.40961197550216699</v>
      </c>
      <c r="G934">
        <v>0.26352045464485202</v>
      </c>
      <c r="H934">
        <v>0.18688067261122099</v>
      </c>
      <c r="I934">
        <v>0.11551004073488499</v>
      </c>
      <c r="J934">
        <v>7.6749622468077594E-2</v>
      </c>
      <c r="K934">
        <v>7.9236537837201998E-2</v>
      </c>
      <c r="L934">
        <v>1010.59227313004</v>
      </c>
      <c r="M934">
        <v>19.370375882045799</v>
      </c>
      <c r="N934">
        <v>52.712019933530399</v>
      </c>
      <c r="O934">
        <v>51.625548729749603</v>
      </c>
      <c r="P934">
        <v>-8.5364284326601494E-2</v>
      </c>
      <c r="Q934">
        <v>8.9988696163579407E-2</v>
      </c>
      <c r="R934">
        <v>0.99053044790310096</v>
      </c>
      <c r="S934" t="s">
        <v>4766</v>
      </c>
      <c r="T934" t="s">
        <v>7662</v>
      </c>
      <c r="U934" t="s">
        <v>7662</v>
      </c>
      <c r="V934" t="s">
        <v>7662</v>
      </c>
      <c r="W934">
        <v>11</v>
      </c>
      <c r="X934" t="s">
        <v>8596</v>
      </c>
      <c r="Y934">
        <v>0.47252695311871362</v>
      </c>
      <c r="Z934" t="str">
        <f>HYPERLINK("Melting_Curves/meltCurve_sp_P36873_PP1G_HUMAN_.pdf", "Melting_Curves/meltCurve_sp_P36873_PP1G_HUMAN_.pdf")</f>
        <v>Melting_Curves/meltCurve_sp_P36873_PP1G_HUMAN_.pdf</v>
      </c>
      <c r="AA934" t="s">
        <v>12410</v>
      </c>
      <c r="AB934" t="s">
        <v>16175</v>
      </c>
    </row>
    <row r="935" spans="1:28" x14ac:dyDescent="0.25">
      <c r="A935" t="s">
        <v>939</v>
      </c>
      <c r="B935">
        <v>0.98876768158843997</v>
      </c>
      <c r="C935">
        <v>0.952452876519293</v>
      </c>
      <c r="D935">
        <v>0.88003688732343999</v>
      </c>
      <c r="E935">
        <v>0.636896131861312</v>
      </c>
      <c r="F935">
        <v>0.130763474905435</v>
      </c>
      <c r="G935">
        <v>0.10938357123424</v>
      </c>
      <c r="H935">
        <v>6.7213857506983402E-2</v>
      </c>
      <c r="I935">
        <v>7.3260924216089707E-2</v>
      </c>
      <c r="J935">
        <v>7.5791545672612606E-2</v>
      </c>
      <c r="K935">
        <v>6.3905214062539406E-2</v>
      </c>
      <c r="L935">
        <v>2376.9433587665499</v>
      </c>
      <c r="M935">
        <v>47.158494754808302</v>
      </c>
      <c r="N935">
        <v>50.572892174608498</v>
      </c>
      <c r="O935">
        <v>50.312906945853904</v>
      </c>
      <c r="P935">
        <v>-0.21718897591466599</v>
      </c>
      <c r="Q935">
        <v>7.3134389322354901E-2</v>
      </c>
      <c r="R935">
        <v>0.98923902245561801</v>
      </c>
      <c r="S935" t="s">
        <v>4767</v>
      </c>
      <c r="T935" t="s">
        <v>7662</v>
      </c>
      <c r="U935" t="s">
        <v>7662</v>
      </c>
      <c r="V935" t="s">
        <v>7662</v>
      </c>
      <c r="W935">
        <v>8</v>
      </c>
      <c r="X935" t="s">
        <v>8597</v>
      </c>
      <c r="Y935">
        <v>0.39686761446902818</v>
      </c>
      <c r="Z935" t="str">
        <f>HYPERLINK("Melting_Curves/meltCurve_sp_P36915_GNL1_HUMAN_.pdf", "Melting_Curves/meltCurve_sp_P36915_GNL1_HUMAN_.pdf")</f>
        <v>Melting_Curves/meltCurve_sp_P36915_GNL1_HUMAN_.pdf</v>
      </c>
      <c r="AA935" t="s">
        <v>12411</v>
      </c>
      <c r="AB935" t="s">
        <v>16176</v>
      </c>
    </row>
    <row r="936" spans="1:28" x14ac:dyDescent="0.25">
      <c r="A936" t="s">
        <v>940</v>
      </c>
      <c r="B936">
        <v>0.98876768158843997</v>
      </c>
      <c r="C936">
        <v>0.99237366237181202</v>
      </c>
      <c r="D936">
        <v>0.84506558407763199</v>
      </c>
      <c r="E936">
        <v>0.75255931854297897</v>
      </c>
      <c r="F936">
        <v>0.65716347974892597</v>
      </c>
      <c r="G936">
        <v>0.29658586355710997</v>
      </c>
      <c r="H936">
        <v>0.117246988195817</v>
      </c>
      <c r="I936">
        <v>0.102460023380315</v>
      </c>
      <c r="J936">
        <v>0.110407521740573</v>
      </c>
      <c r="K936">
        <v>0.100733758989543</v>
      </c>
      <c r="L936">
        <v>829.69948336987102</v>
      </c>
      <c r="M936">
        <v>15.4328097260747</v>
      </c>
      <c r="N936">
        <v>54.071146316462602</v>
      </c>
      <c r="O936">
        <v>52.883622191278</v>
      </c>
      <c r="P936">
        <v>-6.9882577381282299E-2</v>
      </c>
      <c r="Q936">
        <v>4.2219798543237999E-2</v>
      </c>
      <c r="R936">
        <v>0.98420524267454002</v>
      </c>
      <c r="S936" t="s">
        <v>4768</v>
      </c>
      <c r="T936" t="s">
        <v>7662</v>
      </c>
      <c r="U936" t="s">
        <v>7662</v>
      </c>
      <c r="V936" t="s">
        <v>7662</v>
      </c>
      <c r="W936">
        <v>6</v>
      </c>
      <c r="X936" t="s">
        <v>8598</v>
      </c>
      <c r="Y936">
        <v>0.50076372670578573</v>
      </c>
      <c r="Z936" t="str">
        <f>HYPERLINK("Melting_Curves/meltCurve_sp_P36955_PEDF_HUMAN_.pdf", "Melting_Curves/meltCurve_sp_P36955_PEDF_HUMAN_.pdf")</f>
        <v>Melting_Curves/meltCurve_sp_P36955_PEDF_HUMAN_.pdf</v>
      </c>
      <c r="AA936" t="s">
        <v>12412</v>
      </c>
      <c r="AB936" t="s">
        <v>16177</v>
      </c>
    </row>
    <row r="937" spans="1:28" x14ac:dyDescent="0.25">
      <c r="A937" t="s">
        <v>941</v>
      </c>
      <c r="B937">
        <v>0.98876768158843997</v>
      </c>
      <c r="C937">
        <v>1.0400666350985299</v>
      </c>
      <c r="D937">
        <v>1.19472026986845</v>
      </c>
      <c r="E937">
        <v>1.0156537714762</v>
      </c>
      <c r="F937">
        <v>0.65490502712961696</v>
      </c>
      <c r="G937">
        <v>0.53489282899258495</v>
      </c>
      <c r="H937">
        <v>0.50082310321117096</v>
      </c>
      <c r="I937">
        <v>0.57408819272098099</v>
      </c>
      <c r="J937">
        <v>0.62537640560371299</v>
      </c>
      <c r="K937">
        <v>0.61212798569994897</v>
      </c>
      <c r="L937">
        <v>13176.013900542601</v>
      </c>
      <c r="M937">
        <v>250</v>
      </c>
      <c r="O937">
        <v>52.700683041437699</v>
      </c>
      <c r="P937">
        <v>-0.51059385314139505</v>
      </c>
      <c r="Q937">
        <v>0.56946168464690305</v>
      </c>
      <c r="R937">
        <v>0.91344891548312601</v>
      </c>
      <c r="S937" t="s">
        <v>4769</v>
      </c>
      <c r="T937" t="s">
        <v>7662</v>
      </c>
      <c r="U937" t="s">
        <v>7662</v>
      </c>
      <c r="V937" t="s">
        <v>7662</v>
      </c>
      <c r="W937">
        <v>14</v>
      </c>
      <c r="X937" t="s">
        <v>8599</v>
      </c>
      <c r="Y937">
        <v>0.75182093043814568</v>
      </c>
      <c r="Z937" t="str">
        <f>HYPERLINK("Melting_Curves/meltCurve_sp_P36957_ODO2_HUMAN_.pdf", "Melting_Curves/meltCurve_sp_P36957_ODO2_HUMAN_.pdf")</f>
        <v>Melting_Curves/meltCurve_sp_P36957_ODO2_HUMAN_.pdf</v>
      </c>
      <c r="AA937" t="s">
        <v>12413</v>
      </c>
      <c r="AB937" t="s">
        <v>16178</v>
      </c>
    </row>
    <row r="938" spans="1:28" x14ac:dyDescent="0.25">
      <c r="A938" t="s">
        <v>942</v>
      </c>
      <c r="B938">
        <v>0.98876768158843997</v>
      </c>
      <c r="C938">
        <v>1.08531504497969</v>
      </c>
      <c r="D938">
        <v>0.824573082564378</v>
      </c>
      <c r="E938">
        <v>0.565783083075177</v>
      </c>
      <c r="F938">
        <v>0.18395894329130799</v>
      </c>
      <c r="G938">
        <v>9.47693783371997E-2</v>
      </c>
      <c r="H938">
        <v>5.4362459601066698E-2</v>
      </c>
      <c r="I938">
        <v>5.0188306990342699E-2</v>
      </c>
      <c r="J938">
        <v>5.9441777859765399E-2</v>
      </c>
      <c r="K938">
        <v>4.9265148955642199E-2</v>
      </c>
      <c r="L938">
        <v>1249.9162892367301</v>
      </c>
      <c r="M938">
        <v>25.024169988867001</v>
      </c>
      <c r="N938">
        <v>50.143558781946702</v>
      </c>
      <c r="O938">
        <v>49.632671498754</v>
      </c>
      <c r="P938">
        <v>-0.12019871656857201</v>
      </c>
      <c r="Q938">
        <v>4.6409500145367301E-2</v>
      </c>
      <c r="R938">
        <v>0.98750274023977203</v>
      </c>
      <c r="S938" t="s">
        <v>4770</v>
      </c>
      <c r="T938" t="s">
        <v>7662</v>
      </c>
      <c r="U938" t="s">
        <v>7662</v>
      </c>
      <c r="V938" t="s">
        <v>7662</v>
      </c>
      <c r="W938">
        <v>14</v>
      </c>
      <c r="X938" t="s">
        <v>8600</v>
      </c>
      <c r="Y938">
        <v>0.37113356046870749</v>
      </c>
      <c r="Z938" t="str">
        <f>HYPERLINK("Melting_Curves/meltCurve_sp_P36969_2_GPX4_HUMAN_.pdf", "Melting_Curves/meltCurve_sp_P36969_2_GPX4_HUMAN_.pdf")</f>
        <v>Melting_Curves/meltCurve_sp_P36969_2_GPX4_HUMAN_.pdf</v>
      </c>
      <c r="AA938" t="s">
        <v>12414</v>
      </c>
      <c r="AB938" t="s">
        <v>16179</v>
      </c>
    </row>
    <row r="939" spans="1:28" x14ac:dyDescent="0.25">
      <c r="A939" t="s">
        <v>943</v>
      </c>
      <c r="B939">
        <v>0.98876768158843997</v>
      </c>
      <c r="C939">
        <v>0.90009024638422996</v>
      </c>
      <c r="D939">
        <v>0.89515085159019303</v>
      </c>
      <c r="E939">
        <v>0.48532987062198801</v>
      </c>
      <c r="F939">
        <v>0.30092821508918399</v>
      </c>
      <c r="G939">
        <v>0.19086001040852901</v>
      </c>
      <c r="H939">
        <v>0.16463977399811999</v>
      </c>
      <c r="I939">
        <v>0.13429839653954201</v>
      </c>
      <c r="J939">
        <v>0.156099579038214</v>
      </c>
      <c r="K939">
        <v>0.22133318946267899</v>
      </c>
      <c r="L939">
        <v>1169.99330374484</v>
      </c>
      <c r="M939">
        <v>23.809435233792701</v>
      </c>
      <c r="N939">
        <v>49.9840075416964</v>
      </c>
      <c r="O939">
        <v>48.797179509526799</v>
      </c>
      <c r="P939">
        <v>-0.101790981290576</v>
      </c>
      <c r="Q939">
        <v>0.16553536874924901</v>
      </c>
      <c r="R939">
        <v>0.98964882200281001</v>
      </c>
      <c r="S939" t="s">
        <v>4771</v>
      </c>
      <c r="T939" t="s">
        <v>7662</v>
      </c>
      <c r="U939" t="s">
        <v>7662</v>
      </c>
      <c r="V939" t="s">
        <v>7662</v>
      </c>
      <c r="W939">
        <v>6</v>
      </c>
      <c r="X939" t="s">
        <v>8601</v>
      </c>
      <c r="Y939">
        <v>0.42794729896915767</v>
      </c>
      <c r="Z939" t="str">
        <f>HYPERLINK("Melting_Curves/meltCurve_sp_P36980_2_FHR2_HUMAN_.pdf", "Melting_Curves/meltCurve_sp_P36980_2_FHR2_HUMAN_.pdf")</f>
        <v>Melting_Curves/meltCurve_sp_P36980_2_FHR2_HUMAN_.pdf</v>
      </c>
      <c r="AA939" t="s">
        <v>12415</v>
      </c>
      <c r="AB939" t="s">
        <v>16180</v>
      </c>
    </row>
    <row r="940" spans="1:28" x14ac:dyDescent="0.25">
      <c r="A940" t="s">
        <v>944</v>
      </c>
      <c r="B940">
        <v>0.98876768158843997</v>
      </c>
      <c r="C940">
        <v>1.0489877476650999</v>
      </c>
      <c r="D940">
        <v>1.05803003385294</v>
      </c>
      <c r="E940">
        <v>1.0099278715431901</v>
      </c>
      <c r="F940">
        <v>0.83749060161080702</v>
      </c>
      <c r="G940">
        <v>0.61429018891579301</v>
      </c>
      <c r="H940">
        <v>0.46270181453918602</v>
      </c>
      <c r="I940">
        <v>0.339243751024912</v>
      </c>
      <c r="J940">
        <v>0.29262598011013902</v>
      </c>
      <c r="K940">
        <v>0.28677250876580201</v>
      </c>
      <c r="L940">
        <v>1130.85778550235</v>
      </c>
      <c r="M940">
        <v>19.854514102676202</v>
      </c>
      <c r="N940">
        <v>59.285940212040302</v>
      </c>
      <c r="O940">
        <v>56.388850360556198</v>
      </c>
      <c r="P940">
        <v>-6.4192731722767293E-2</v>
      </c>
      <c r="Q940">
        <v>0.27076873987356898</v>
      </c>
      <c r="R940">
        <v>0.98738453438038698</v>
      </c>
      <c r="S940" t="s">
        <v>4772</v>
      </c>
      <c r="T940" t="s">
        <v>7662</v>
      </c>
      <c r="U940" t="s">
        <v>7662</v>
      </c>
      <c r="V940" t="s">
        <v>7662</v>
      </c>
      <c r="W940">
        <v>5</v>
      </c>
      <c r="X940" t="s">
        <v>8602</v>
      </c>
      <c r="Y940">
        <v>0.69198783941960806</v>
      </c>
      <c r="Z940" t="str">
        <f>HYPERLINK("Melting_Curves/meltCurve_sp_P37108_SRP14_HUMAN_.pdf", "Melting_Curves/meltCurve_sp_P37108_SRP14_HUMAN_.pdf")</f>
        <v>Melting_Curves/meltCurve_sp_P37108_SRP14_HUMAN_.pdf</v>
      </c>
      <c r="AA940" t="s">
        <v>12416</v>
      </c>
      <c r="AB940" t="s">
        <v>16181</v>
      </c>
    </row>
    <row r="941" spans="1:28" x14ac:dyDescent="0.25">
      <c r="A941" t="s">
        <v>945</v>
      </c>
      <c r="B941">
        <v>0.98876768158843997</v>
      </c>
      <c r="C941">
        <v>0.97084854839217005</v>
      </c>
      <c r="D941">
        <v>0.89816777933861403</v>
      </c>
      <c r="E941">
        <v>0.72047339997702797</v>
      </c>
      <c r="F941">
        <v>0.65380440447446397</v>
      </c>
      <c r="G941">
        <v>0.48710882797248101</v>
      </c>
      <c r="H941">
        <v>0.37045856598355198</v>
      </c>
      <c r="I941">
        <v>0.403164710661157</v>
      </c>
      <c r="J941">
        <v>0.47490204851908702</v>
      </c>
      <c r="K941">
        <v>0.521425160427896</v>
      </c>
      <c r="L941">
        <v>886.35419976231401</v>
      </c>
      <c r="M941">
        <v>17.597475134376801</v>
      </c>
      <c r="N941">
        <v>56.987584219482301</v>
      </c>
      <c r="O941">
        <v>49.731333540059303</v>
      </c>
      <c r="P941">
        <v>-4.99623705135393E-2</v>
      </c>
      <c r="Q941">
        <v>0.43524606252268599</v>
      </c>
      <c r="R941">
        <v>0.95723586776251102</v>
      </c>
      <c r="S941" t="s">
        <v>4773</v>
      </c>
      <c r="T941" t="s">
        <v>7662</v>
      </c>
      <c r="U941" t="s">
        <v>7662</v>
      </c>
      <c r="V941" t="s">
        <v>7662</v>
      </c>
      <c r="W941">
        <v>4</v>
      </c>
      <c r="X941" t="s">
        <v>8603</v>
      </c>
      <c r="Y941">
        <v>0.64042774706238625</v>
      </c>
      <c r="Z941" t="str">
        <f>HYPERLINK("Melting_Curves/meltCurve_sp_P37198_NUP62_HUMAN_.pdf", "Melting_Curves/meltCurve_sp_P37198_NUP62_HUMAN_.pdf")</f>
        <v>Melting_Curves/meltCurve_sp_P37198_NUP62_HUMAN_.pdf</v>
      </c>
      <c r="AA941" t="s">
        <v>12417</v>
      </c>
      <c r="AB941" t="s">
        <v>16182</v>
      </c>
    </row>
    <row r="942" spans="1:28" x14ac:dyDescent="0.25">
      <c r="A942" t="s">
        <v>946</v>
      </c>
      <c r="B942">
        <v>0.98876768158843997</v>
      </c>
      <c r="C942">
        <v>1.10086932234044</v>
      </c>
      <c r="D942">
        <v>0.972045244408825</v>
      </c>
      <c r="E942">
        <v>0.65579187704352304</v>
      </c>
      <c r="F942">
        <v>0.62664141592644795</v>
      </c>
      <c r="G942">
        <v>0.45176962040017299</v>
      </c>
      <c r="H942">
        <v>0.38134670806663101</v>
      </c>
      <c r="I942">
        <v>0.36494070799984102</v>
      </c>
      <c r="J942">
        <v>0.53559734745585297</v>
      </c>
      <c r="K942">
        <v>0.482782982996045</v>
      </c>
      <c r="L942">
        <v>1290.92662783783</v>
      </c>
      <c r="M942">
        <v>25.876969635862999</v>
      </c>
      <c r="N942">
        <v>54.577496205290203</v>
      </c>
      <c r="O942">
        <v>49.5920177744906</v>
      </c>
      <c r="P942">
        <v>-7.2282068921306203E-2</v>
      </c>
      <c r="Q942">
        <v>0.44590551769914399</v>
      </c>
      <c r="R942">
        <v>0.93287527868707898</v>
      </c>
      <c r="S942" t="s">
        <v>4774</v>
      </c>
      <c r="T942" t="s">
        <v>7662</v>
      </c>
      <c r="U942" t="s">
        <v>7662</v>
      </c>
      <c r="V942" t="s">
        <v>7662</v>
      </c>
      <c r="W942">
        <v>2</v>
      </c>
      <c r="X942" t="s">
        <v>8604</v>
      </c>
      <c r="Y942">
        <v>0.63313248436070535</v>
      </c>
      <c r="Z942" t="str">
        <f>HYPERLINK("Melting_Curves/meltCurve_sp_P37235_HPCL1_HUMAN_.pdf", "Melting_Curves/meltCurve_sp_P37235_HPCL1_HUMAN_.pdf")</f>
        <v>Melting_Curves/meltCurve_sp_P37235_HPCL1_HUMAN_.pdf</v>
      </c>
      <c r="AA942" t="s">
        <v>12418</v>
      </c>
      <c r="AB942" t="s">
        <v>16183</v>
      </c>
    </row>
    <row r="943" spans="1:28" x14ac:dyDescent="0.25">
      <c r="A943" t="s">
        <v>947</v>
      </c>
      <c r="B943">
        <v>0.98876768158843997</v>
      </c>
      <c r="C943">
        <v>1.1456467985436001</v>
      </c>
      <c r="D943">
        <v>0.890807215162435</v>
      </c>
      <c r="E943">
        <v>0.76043396273934805</v>
      </c>
      <c r="F943">
        <v>0.92771851845857201</v>
      </c>
      <c r="G943">
        <v>0.54160718065256397</v>
      </c>
      <c r="H943">
        <v>0.29525742217375001</v>
      </c>
      <c r="I943">
        <v>0.27991957853044402</v>
      </c>
      <c r="J943">
        <v>0.33477579558626902</v>
      </c>
      <c r="K943">
        <v>0.37088485190822101</v>
      </c>
      <c r="L943">
        <v>1442.09409383669</v>
      </c>
      <c r="M943">
        <v>25.9917189990785</v>
      </c>
      <c r="N943">
        <v>57.531379627832997</v>
      </c>
      <c r="O943">
        <v>55.157524126561803</v>
      </c>
      <c r="P943">
        <v>-8.2249700357346398E-2</v>
      </c>
      <c r="Q943">
        <v>0.30183339351612998</v>
      </c>
      <c r="R943">
        <v>0.90387634373511805</v>
      </c>
      <c r="S943" t="s">
        <v>4775</v>
      </c>
      <c r="T943" t="s">
        <v>7662</v>
      </c>
      <c r="U943" t="s">
        <v>7662</v>
      </c>
      <c r="V943" t="s">
        <v>7662</v>
      </c>
      <c r="W943">
        <v>14</v>
      </c>
      <c r="X943" t="s">
        <v>8605</v>
      </c>
      <c r="Y943">
        <v>0.66817607421934933</v>
      </c>
      <c r="Z943" t="str">
        <f>HYPERLINK("Melting_Curves/meltCurve_sp_P37802_TAGL2_HUMAN_.pdf", "Melting_Curves/meltCurve_sp_P37802_TAGL2_HUMAN_.pdf")</f>
        <v>Melting_Curves/meltCurve_sp_P37802_TAGL2_HUMAN_.pdf</v>
      </c>
      <c r="AA943" t="s">
        <v>12419</v>
      </c>
      <c r="AB943" t="s">
        <v>16184</v>
      </c>
    </row>
    <row r="944" spans="1:28" x14ac:dyDescent="0.25">
      <c r="A944" t="s">
        <v>948</v>
      </c>
      <c r="B944">
        <v>0.98876768158843997</v>
      </c>
      <c r="C944">
        <v>0.999414824537458</v>
      </c>
      <c r="D944">
        <v>0.90548905163375004</v>
      </c>
      <c r="E944">
        <v>0.80764993939132002</v>
      </c>
      <c r="F944">
        <v>0.403511076583905</v>
      </c>
      <c r="G944">
        <v>0.22087474231711299</v>
      </c>
      <c r="H944">
        <v>0.145226229563931</v>
      </c>
      <c r="I944">
        <v>0.123299193624011</v>
      </c>
      <c r="J944">
        <v>0.116698301217335</v>
      </c>
      <c r="K944">
        <v>9.7033578768371098E-2</v>
      </c>
      <c r="L944">
        <v>1386.7785683489799</v>
      </c>
      <c r="M944">
        <v>26.716000022817301</v>
      </c>
      <c r="N944">
        <v>52.433406260531598</v>
      </c>
      <c r="O944">
        <v>51.619948776626103</v>
      </c>
      <c r="P944">
        <v>-0.114198817261335</v>
      </c>
      <c r="Q944">
        <v>0.117401385091754</v>
      </c>
      <c r="R944">
        <v>0.99351923353350502</v>
      </c>
      <c r="S944" t="s">
        <v>4776</v>
      </c>
      <c r="T944" t="s">
        <v>7662</v>
      </c>
      <c r="U944" t="s">
        <v>7662</v>
      </c>
      <c r="V944" t="s">
        <v>7662</v>
      </c>
      <c r="W944">
        <v>30</v>
      </c>
      <c r="X944" t="s">
        <v>8606</v>
      </c>
      <c r="Y944">
        <v>0.47481543440880369</v>
      </c>
      <c r="Z944" t="str">
        <f>HYPERLINK("Melting_Curves/meltCurve_sp_P37837_TALDO_HUMAN_.pdf", "Melting_Curves/meltCurve_sp_P37837_TALDO_HUMAN_.pdf")</f>
        <v>Melting_Curves/meltCurve_sp_P37837_TALDO_HUMAN_.pdf</v>
      </c>
      <c r="AA944" t="s">
        <v>12420</v>
      </c>
      <c r="AB944" t="s">
        <v>16185</v>
      </c>
    </row>
    <row r="945" spans="1:28" x14ac:dyDescent="0.25">
      <c r="A945" t="s">
        <v>949</v>
      </c>
      <c r="B945">
        <v>0.98876768158843997</v>
      </c>
      <c r="C945">
        <v>0.98771817700267694</v>
      </c>
      <c r="D945">
        <v>0.90677316665502905</v>
      </c>
      <c r="E945">
        <v>0.74284850760749199</v>
      </c>
      <c r="F945">
        <v>0.63717305423702097</v>
      </c>
      <c r="G945">
        <v>0.24508173508294301</v>
      </c>
      <c r="H945">
        <v>7.9245624019126104E-2</v>
      </c>
      <c r="I945">
        <v>5.0080358944815398E-2</v>
      </c>
      <c r="J945">
        <v>4.3255183214621303E-2</v>
      </c>
      <c r="K945">
        <v>3.2830288029125201E-2</v>
      </c>
      <c r="L945">
        <v>933.97893679491494</v>
      </c>
      <c r="M945">
        <v>17.368637129633399</v>
      </c>
      <c r="N945">
        <v>53.773876557552697</v>
      </c>
      <c r="O945">
        <v>53.076222351004397</v>
      </c>
      <c r="P945">
        <v>-8.1814519609123199E-2</v>
      </c>
      <c r="Q945">
        <v>0</v>
      </c>
      <c r="R945">
        <v>0.99257431674350904</v>
      </c>
      <c r="S945" t="s">
        <v>4777</v>
      </c>
      <c r="T945" t="s">
        <v>7662</v>
      </c>
      <c r="U945" t="s">
        <v>7662</v>
      </c>
      <c r="V945" t="s">
        <v>7662</v>
      </c>
      <c r="W945">
        <v>20</v>
      </c>
      <c r="X945" t="s">
        <v>8607</v>
      </c>
      <c r="Y945">
        <v>0.4761051175238224</v>
      </c>
      <c r="Z945" t="str">
        <f>HYPERLINK("Melting_Curves/meltCurve_sp_P38117_ETFB_HUMAN_.pdf", "Melting_Curves/meltCurve_sp_P38117_ETFB_HUMAN_.pdf")</f>
        <v>Melting_Curves/meltCurve_sp_P38117_ETFB_HUMAN_.pdf</v>
      </c>
      <c r="AA945" t="s">
        <v>12421</v>
      </c>
      <c r="AB945" t="s">
        <v>16186</v>
      </c>
    </row>
    <row r="946" spans="1:28" x14ac:dyDescent="0.25">
      <c r="A946" t="s">
        <v>950</v>
      </c>
      <c r="B946">
        <v>0.98876768158843997</v>
      </c>
      <c r="C946">
        <v>1.10075645381015</v>
      </c>
      <c r="D946">
        <v>0.89638445399919597</v>
      </c>
      <c r="E946">
        <v>0.71919581897146401</v>
      </c>
      <c r="F946">
        <v>0.69907717373048806</v>
      </c>
      <c r="G946">
        <v>0.46390438800879702</v>
      </c>
      <c r="H946">
        <v>0.33686986816589598</v>
      </c>
      <c r="I946">
        <v>0.36721656835451499</v>
      </c>
      <c r="J946">
        <v>0.437535938519442</v>
      </c>
      <c r="K946">
        <v>0.50336048799524402</v>
      </c>
      <c r="L946">
        <v>967.44204941938301</v>
      </c>
      <c r="M946">
        <v>18.879728837741101</v>
      </c>
      <c r="N946">
        <v>56.166198242314103</v>
      </c>
      <c r="O946">
        <v>50.677858855085603</v>
      </c>
      <c r="P946">
        <v>-5.5468127723643797E-2</v>
      </c>
      <c r="Q946">
        <v>0.40446367938317801</v>
      </c>
      <c r="R946">
        <v>0.92918089057034703</v>
      </c>
      <c r="S946" t="s">
        <v>4778</v>
      </c>
      <c r="T946" t="s">
        <v>7662</v>
      </c>
      <c r="U946" t="s">
        <v>7662</v>
      </c>
      <c r="V946" t="s">
        <v>7662</v>
      </c>
      <c r="W946">
        <v>7</v>
      </c>
      <c r="X946" t="s">
        <v>8608</v>
      </c>
      <c r="Y946">
        <v>0.63682161792071679</v>
      </c>
      <c r="Z946" t="str">
        <f>HYPERLINK("Melting_Curves/meltCurve_sp_P38159_RBMX_HUMAN_.pdf", "Melting_Curves/meltCurve_sp_P38159_RBMX_HUMAN_.pdf")</f>
        <v>Melting_Curves/meltCurve_sp_P38159_RBMX_HUMAN_.pdf</v>
      </c>
      <c r="AA946" t="s">
        <v>12422</v>
      </c>
      <c r="AB946" t="s">
        <v>16187</v>
      </c>
    </row>
    <row r="947" spans="1:28" x14ac:dyDescent="0.25">
      <c r="A947" t="s">
        <v>951</v>
      </c>
      <c r="B947">
        <v>0.98876768158843997</v>
      </c>
      <c r="C947">
        <v>0.93167179473812101</v>
      </c>
      <c r="D947">
        <v>0.81711430658136297</v>
      </c>
      <c r="E947">
        <v>0.58918451280401896</v>
      </c>
      <c r="F947">
        <v>0.67767670353921206</v>
      </c>
      <c r="G947">
        <v>0.53218345718845195</v>
      </c>
      <c r="H947">
        <v>0.36141211716583799</v>
      </c>
      <c r="I947">
        <v>0.32014425463273499</v>
      </c>
      <c r="J947">
        <v>0.38406374589863701</v>
      </c>
      <c r="K947">
        <v>0.44395791809974899</v>
      </c>
      <c r="L947">
        <v>557.20300064611604</v>
      </c>
      <c r="M947">
        <v>11.102634149449001</v>
      </c>
      <c r="N947">
        <v>56.116397219991399</v>
      </c>
      <c r="O947">
        <v>48.640960833723703</v>
      </c>
      <c r="P947">
        <v>-3.7371235082675598E-2</v>
      </c>
      <c r="Q947">
        <v>0.345315291235401</v>
      </c>
      <c r="R947">
        <v>0.92952794276640605</v>
      </c>
      <c r="S947" t="s">
        <v>4779</v>
      </c>
      <c r="T947" t="s">
        <v>7662</v>
      </c>
      <c r="U947" t="s">
        <v>7662</v>
      </c>
      <c r="V947" t="s">
        <v>7662</v>
      </c>
      <c r="W947">
        <v>2</v>
      </c>
      <c r="X947" t="s">
        <v>8609</v>
      </c>
      <c r="Y947">
        <v>0.59279628787560168</v>
      </c>
      <c r="Z947" t="str">
        <f>HYPERLINK("Melting_Curves/meltCurve_sp_P38432_COIL_HUMAN_.pdf", "Melting_Curves/meltCurve_sp_P38432_COIL_HUMAN_.pdf")</f>
        <v>Melting_Curves/meltCurve_sp_P38432_COIL_HUMAN_.pdf</v>
      </c>
      <c r="AA947" t="s">
        <v>12423</v>
      </c>
      <c r="AB947" t="s">
        <v>16188</v>
      </c>
    </row>
    <row r="948" spans="1:28" x14ac:dyDescent="0.25">
      <c r="A948" t="s">
        <v>952</v>
      </c>
      <c r="B948">
        <v>0.98876768158843997</v>
      </c>
      <c r="C948">
        <v>0.916653871002021</v>
      </c>
      <c r="D948">
        <v>0.935174009366467</v>
      </c>
      <c r="E948">
        <v>0.71518217301182396</v>
      </c>
      <c r="F948">
        <v>0.41169049901214699</v>
      </c>
      <c r="G948">
        <v>0.14003984405863201</v>
      </c>
      <c r="H948">
        <v>6.5132849249157701E-2</v>
      </c>
      <c r="I948">
        <v>5.0281014059959599E-2</v>
      </c>
      <c r="J948">
        <v>5.8865479690284897E-2</v>
      </c>
      <c r="K948">
        <v>4.8160387036110898E-2</v>
      </c>
      <c r="L948">
        <v>1139.7873189284801</v>
      </c>
      <c r="M948">
        <v>21.979348705827299</v>
      </c>
      <c r="N948">
        <v>52.048059002646902</v>
      </c>
      <c r="O948">
        <v>51.433643497181698</v>
      </c>
      <c r="P948">
        <v>-0.102699321718617</v>
      </c>
      <c r="Q948">
        <v>3.8719034250795301E-2</v>
      </c>
      <c r="R948">
        <v>0.99591701807877298</v>
      </c>
      <c r="S948" t="s">
        <v>4780</v>
      </c>
      <c r="T948" t="s">
        <v>7662</v>
      </c>
      <c r="U948" t="s">
        <v>7662</v>
      </c>
      <c r="V948" t="s">
        <v>7662</v>
      </c>
      <c r="W948">
        <v>46</v>
      </c>
      <c r="X948" t="s">
        <v>8610</v>
      </c>
      <c r="Y948">
        <v>0.4298485091739685</v>
      </c>
      <c r="Z948" t="str">
        <f>HYPERLINK("Melting_Curves/meltCurve_sp_P38646_GRP75_HUMAN_.pdf", "Melting_Curves/meltCurve_sp_P38646_GRP75_HUMAN_.pdf")</f>
        <v>Melting_Curves/meltCurve_sp_P38646_GRP75_HUMAN_.pdf</v>
      </c>
      <c r="AA948" t="s">
        <v>12424</v>
      </c>
      <c r="AB948" t="s">
        <v>16189</v>
      </c>
    </row>
    <row r="949" spans="1:28" x14ac:dyDescent="0.25">
      <c r="A949" t="s">
        <v>953</v>
      </c>
      <c r="B949">
        <v>0.98876768158843997</v>
      </c>
      <c r="C949">
        <v>1.0100477968922901</v>
      </c>
      <c r="D949">
        <v>0.74786829285688095</v>
      </c>
      <c r="E949">
        <v>0.36466227496694598</v>
      </c>
      <c r="F949">
        <v>0.16072994924628201</v>
      </c>
      <c r="G949">
        <v>9.8303006203167301E-2</v>
      </c>
      <c r="H949">
        <v>5.6286267722792702E-2</v>
      </c>
      <c r="I949">
        <v>4.4740900045660503E-2</v>
      </c>
      <c r="J949">
        <v>6.24787482698567E-2</v>
      </c>
      <c r="K949">
        <v>4.7906223914642498E-2</v>
      </c>
      <c r="L949">
        <v>1112.1884852534999</v>
      </c>
      <c r="M949">
        <v>23.0072534937737</v>
      </c>
      <c r="N949">
        <v>48.580228185818001</v>
      </c>
      <c r="O949">
        <v>47.980023361273197</v>
      </c>
      <c r="P949">
        <v>-0.11345539758791801</v>
      </c>
      <c r="Q949">
        <v>5.3604554696573402E-2</v>
      </c>
      <c r="R949">
        <v>0.99662660358313104</v>
      </c>
      <c r="S949" t="s">
        <v>4781</v>
      </c>
      <c r="T949" t="s">
        <v>7662</v>
      </c>
      <c r="U949" t="s">
        <v>7662</v>
      </c>
      <c r="V949" t="s">
        <v>7662</v>
      </c>
      <c r="W949">
        <v>8</v>
      </c>
      <c r="X949" t="s">
        <v>8611</v>
      </c>
      <c r="Y949">
        <v>0.32668703942953697</v>
      </c>
      <c r="Z949" t="str">
        <f>HYPERLINK("Melting_Curves/meltCurve_sp_P38919_IF4A3_HUMAN_.pdf", "Melting_Curves/meltCurve_sp_P38919_IF4A3_HUMAN_.pdf")</f>
        <v>Melting_Curves/meltCurve_sp_P38919_IF4A3_HUMAN_.pdf</v>
      </c>
      <c r="AA949" t="s">
        <v>12425</v>
      </c>
      <c r="AB949" t="s">
        <v>16190</v>
      </c>
    </row>
    <row r="950" spans="1:28" x14ac:dyDescent="0.25">
      <c r="A950" t="s">
        <v>954</v>
      </c>
      <c r="B950">
        <v>0.98876768158843997</v>
      </c>
      <c r="C950">
        <v>1.0778188118887799</v>
      </c>
      <c r="D950">
        <v>0.82298513066009804</v>
      </c>
      <c r="E950">
        <v>0.45212320688610302</v>
      </c>
      <c r="F950">
        <v>0.29130361252894699</v>
      </c>
      <c r="G950">
        <v>0.164979668104583</v>
      </c>
      <c r="H950">
        <v>0.109927456651547</v>
      </c>
      <c r="I950">
        <v>0.10718134444122999</v>
      </c>
      <c r="J950">
        <v>0.138444774828337</v>
      </c>
      <c r="K950">
        <v>0.140002795702661</v>
      </c>
      <c r="L950">
        <v>1155.32601966466</v>
      </c>
      <c r="M950">
        <v>23.547080985324701</v>
      </c>
      <c r="N950">
        <v>49.680679418345697</v>
      </c>
      <c r="O950">
        <v>48.714762139947602</v>
      </c>
      <c r="P950">
        <v>-0.105541088830509</v>
      </c>
      <c r="Q950">
        <v>0.12663143949674999</v>
      </c>
      <c r="R950">
        <v>0.98884833247984605</v>
      </c>
      <c r="S950" t="s">
        <v>4782</v>
      </c>
      <c r="T950" t="s">
        <v>7662</v>
      </c>
      <c r="U950" t="s">
        <v>7662</v>
      </c>
      <c r="V950" t="s">
        <v>7662</v>
      </c>
      <c r="W950">
        <v>3</v>
      </c>
      <c r="X950" t="s">
        <v>8612</v>
      </c>
      <c r="Y950">
        <v>0.39927708949465113</v>
      </c>
      <c r="Z950" t="str">
        <f>HYPERLINK("Melting_Curves/meltCurve_sp_P39019_RS19_HUMAN_.pdf", "Melting_Curves/meltCurve_sp_P39019_RS19_HUMAN_.pdf")</f>
        <v>Melting_Curves/meltCurve_sp_P39019_RS19_HUMAN_.pdf</v>
      </c>
      <c r="AA950" t="s">
        <v>12426</v>
      </c>
      <c r="AB950" t="s">
        <v>16191</v>
      </c>
    </row>
    <row r="951" spans="1:28" x14ac:dyDescent="0.25">
      <c r="A951" t="s">
        <v>955</v>
      </c>
      <c r="B951">
        <v>0.98876768158843997</v>
      </c>
      <c r="C951">
        <v>1.06112908425623</v>
      </c>
      <c r="D951">
        <v>0.79046322973591598</v>
      </c>
      <c r="E951">
        <v>0.33503203088470102</v>
      </c>
      <c r="F951">
        <v>0.15180278230796301</v>
      </c>
      <c r="G951">
        <v>0.12020990762950801</v>
      </c>
      <c r="H951">
        <v>8.3242936079617996E-2</v>
      </c>
      <c r="I951">
        <v>5.3663305273304499E-2</v>
      </c>
      <c r="J951">
        <v>5.8338632995319398E-2</v>
      </c>
      <c r="K951">
        <v>4.3493387855823101E-2</v>
      </c>
      <c r="L951">
        <v>1326.0810927170801</v>
      </c>
      <c r="M951">
        <v>27.439750360860401</v>
      </c>
      <c r="N951">
        <v>48.589209417242103</v>
      </c>
      <c r="O951">
        <v>48.072522653604899</v>
      </c>
      <c r="P951">
        <v>-0.13288106342695</v>
      </c>
      <c r="Q951">
        <v>6.8815347857466805E-2</v>
      </c>
      <c r="R951">
        <v>0.99271431305249602</v>
      </c>
      <c r="S951" t="s">
        <v>4783</v>
      </c>
      <c r="T951" t="s">
        <v>7662</v>
      </c>
      <c r="U951" t="s">
        <v>7662</v>
      </c>
      <c r="V951" t="s">
        <v>7662</v>
      </c>
      <c r="W951">
        <v>7</v>
      </c>
      <c r="X951" t="s">
        <v>8613</v>
      </c>
      <c r="Y951">
        <v>0.334051726922313</v>
      </c>
      <c r="Z951" t="str">
        <f>HYPERLINK("Melting_Curves/meltCurve_sp_P39748_FEN1_HUMAN_.pdf", "Melting_Curves/meltCurve_sp_P39748_FEN1_HUMAN_.pdf")</f>
        <v>Melting_Curves/meltCurve_sp_P39748_FEN1_HUMAN_.pdf</v>
      </c>
      <c r="AA951" t="s">
        <v>12427</v>
      </c>
      <c r="AB951" t="s">
        <v>16192</v>
      </c>
    </row>
    <row r="952" spans="1:28" x14ac:dyDescent="0.25">
      <c r="A952" t="s">
        <v>956</v>
      </c>
      <c r="B952">
        <v>0.98876768158843997</v>
      </c>
      <c r="C952">
        <v>0.98183131839675697</v>
      </c>
      <c r="D952">
        <v>0.87634327485428798</v>
      </c>
      <c r="E952">
        <v>0.73025590091881898</v>
      </c>
      <c r="F952">
        <v>0.64436633381520703</v>
      </c>
      <c r="G952">
        <v>0.429445514774076</v>
      </c>
      <c r="H952">
        <v>0.32360032949192202</v>
      </c>
      <c r="I952">
        <v>0.36663789142315201</v>
      </c>
      <c r="J952">
        <v>0.41935385874902398</v>
      </c>
      <c r="K952">
        <v>0.51469229651102399</v>
      </c>
      <c r="L952">
        <v>916.26042935921203</v>
      </c>
      <c r="M952">
        <v>18.090851194043999</v>
      </c>
      <c r="N952">
        <v>55.4353295008478</v>
      </c>
      <c r="O952">
        <v>50.041030955408701</v>
      </c>
      <c r="P952">
        <v>-5.46659675390627E-2</v>
      </c>
      <c r="Q952">
        <v>0.39518403512565797</v>
      </c>
      <c r="R952">
        <v>0.94535789049533103</v>
      </c>
      <c r="S952" t="s">
        <v>4784</v>
      </c>
      <c r="T952" t="s">
        <v>7662</v>
      </c>
      <c r="U952" t="s">
        <v>7662</v>
      </c>
      <c r="V952" t="s">
        <v>7662</v>
      </c>
      <c r="W952">
        <v>17</v>
      </c>
      <c r="X952" t="s">
        <v>8614</v>
      </c>
      <c r="Y952">
        <v>0.61998620154147943</v>
      </c>
      <c r="Z952" t="str">
        <f>HYPERLINK("Melting_Curves/meltCurve_sp_P40222_TXLNA_HUMAN_.pdf", "Melting_Curves/meltCurve_sp_P40222_TXLNA_HUMAN_.pdf")</f>
        <v>Melting_Curves/meltCurve_sp_P40222_TXLNA_HUMAN_.pdf</v>
      </c>
      <c r="AA952" t="s">
        <v>12428</v>
      </c>
      <c r="AB952" t="s">
        <v>16193</v>
      </c>
    </row>
    <row r="953" spans="1:28" x14ac:dyDescent="0.25">
      <c r="A953" t="s">
        <v>957</v>
      </c>
      <c r="B953">
        <v>0.98876768158843997</v>
      </c>
      <c r="C953">
        <v>1.01016969045381</v>
      </c>
      <c r="D953">
        <v>1.1447347797162299</v>
      </c>
      <c r="E953">
        <v>1.02875789424078</v>
      </c>
      <c r="F953">
        <v>0.50128330916270802</v>
      </c>
      <c r="G953">
        <v>0.17764354641513799</v>
      </c>
      <c r="H953">
        <v>8.5202689309382906E-2</v>
      </c>
      <c r="I953">
        <v>7.2054773060737196E-2</v>
      </c>
      <c r="J953">
        <v>6.83170926480198E-2</v>
      </c>
      <c r="K953">
        <v>5.3730290660611198E-2</v>
      </c>
      <c r="L953">
        <v>13239.6045674053</v>
      </c>
      <c r="M953">
        <v>250</v>
      </c>
      <c r="N953">
        <v>53.0012115614457</v>
      </c>
      <c r="O953">
        <v>52.955029335985998</v>
      </c>
      <c r="P953">
        <v>-1.0723843689642301</v>
      </c>
      <c r="Q953">
        <v>9.1389670502035197E-2</v>
      </c>
      <c r="R953">
        <v>0.98438790692211997</v>
      </c>
      <c r="S953" t="s">
        <v>4785</v>
      </c>
      <c r="T953" t="s">
        <v>7662</v>
      </c>
      <c r="U953" t="s">
        <v>7662</v>
      </c>
      <c r="V953" t="s">
        <v>7662</v>
      </c>
      <c r="W953">
        <v>16</v>
      </c>
      <c r="X953" t="s">
        <v>8615</v>
      </c>
      <c r="Y953">
        <v>0.48394587429401981</v>
      </c>
      <c r="Z953" t="str">
        <f>HYPERLINK("Melting_Curves/meltCurve_sp_P40227_TCPZ_HUMAN_.pdf", "Melting_Curves/meltCurve_sp_P40227_TCPZ_HUMAN_.pdf")</f>
        <v>Melting_Curves/meltCurve_sp_P40227_TCPZ_HUMAN_.pdf</v>
      </c>
      <c r="AA953" t="s">
        <v>12429</v>
      </c>
      <c r="AB953" t="s">
        <v>16194</v>
      </c>
    </row>
    <row r="954" spans="1:28" x14ac:dyDescent="0.25">
      <c r="A954" t="s">
        <v>958</v>
      </c>
      <c r="B954">
        <v>0.98876768158843997</v>
      </c>
      <c r="C954">
        <v>0.959907361921567</v>
      </c>
      <c r="D954">
        <v>0.80627259693754105</v>
      </c>
      <c r="E954">
        <v>0.73528238527595902</v>
      </c>
      <c r="F954">
        <v>0.704553427570632</v>
      </c>
      <c r="G954">
        <v>0.14666695031980501</v>
      </c>
      <c r="H954">
        <v>4.70366479706536E-2</v>
      </c>
      <c r="I954">
        <v>4.1473909868802603E-2</v>
      </c>
      <c r="J954">
        <v>4.6600714603555297E-2</v>
      </c>
      <c r="K954">
        <v>3.8415094117340003E-2</v>
      </c>
      <c r="L954">
        <v>1013.35577954143</v>
      </c>
      <c r="M954">
        <v>18.905642781427801</v>
      </c>
      <c r="N954">
        <v>53.600705340994402</v>
      </c>
      <c r="O954">
        <v>53.0117843546888</v>
      </c>
      <c r="P954">
        <v>-8.9161332013676098E-2</v>
      </c>
      <c r="Q954">
        <v>0</v>
      </c>
      <c r="R954">
        <v>0.95973489853428895</v>
      </c>
      <c r="S954" t="s">
        <v>4786</v>
      </c>
      <c r="T954" t="s">
        <v>7662</v>
      </c>
      <c r="U954" t="s">
        <v>7662</v>
      </c>
      <c r="V954" t="s">
        <v>7662</v>
      </c>
      <c r="W954">
        <v>13</v>
      </c>
      <c r="X954" t="s">
        <v>8616</v>
      </c>
      <c r="Y954">
        <v>0.46832936430979899</v>
      </c>
      <c r="Z954" t="str">
        <f>HYPERLINK("Melting_Curves/meltCurve_sp_P40261_NNMT_HUMAN_.pdf", "Melting_Curves/meltCurve_sp_P40261_NNMT_HUMAN_.pdf")</f>
        <v>Melting_Curves/meltCurve_sp_P40261_NNMT_HUMAN_.pdf</v>
      </c>
      <c r="AA954" t="s">
        <v>12430</v>
      </c>
      <c r="AB954" t="s">
        <v>16195</v>
      </c>
    </row>
    <row r="955" spans="1:28" x14ac:dyDescent="0.25">
      <c r="A955" t="s">
        <v>959</v>
      </c>
      <c r="B955">
        <v>0.98876768158843997</v>
      </c>
      <c r="C955">
        <v>1.05760419343471</v>
      </c>
      <c r="D955">
        <v>1.26111652683467</v>
      </c>
      <c r="E955">
        <v>1.22070439272459</v>
      </c>
      <c r="F955">
        <v>0.68375621953838095</v>
      </c>
      <c r="G955">
        <v>0.66760861449945297</v>
      </c>
      <c r="H955">
        <v>0.63323449789667396</v>
      </c>
      <c r="I955">
        <v>0.80176912493519403</v>
      </c>
      <c r="J955">
        <v>0.80676162098404602</v>
      </c>
      <c r="K955">
        <v>0.71847304810291501</v>
      </c>
      <c r="L955">
        <v>12912.835978241101</v>
      </c>
      <c r="M955">
        <v>250</v>
      </c>
      <c r="O955">
        <v>51.648038726970803</v>
      </c>
      <c r="P955">
        <v>-0.34059940356138002</v>
      </c>
      <c r="Q955">
        <v>0.71853934221941396</v>
      </c>
      <c r="R955">
        <v>0.69958146439676205</v>
      </c>
      <c r="S955" t="s">
        <v>4787</v>
      </c>
      <c r="T955" t="s">
        <v>7662</v>
      </c>
      <c r="U955" t="s">
        <v>7662</v>
      </c>
      <c r="V955" t="s">
        <v>7662</v>
      </c>
      <c r="W955">
        <v>4</v>
      </c>
      <c r="X955" t="s">
        <v>8617</v>
      </c>
      <c r="Y955">
        <v>0.82787801992844523</v>
      </c>
      <c r="Z955" t="str">
        <f>HYPERLINK("Melting_Curves/meltCurve_sp_P40306_PSB10_HUMAN_.pdf", "Melting_Curves/meltCurve_sp_P40306_PSB10_HUMAN_.pdf")</f>
        <v>Melting_Curves/meltCurve_sp_P40306_PSB10_HUMAN_.pdf</v>
      </c>
      <c r="AA955" t="s">
        <v>12431</v>
      </c>
      <c r="AB955" t="s">
        <v>16196</v>
      </c>
    </row>
    <row r="956" spans="1:28" x14ac:dyDescent="0.25">
      <c r="A956" t="s">
        <v>960</v>
      </c>
      <c r="B956">
        <v>0.98876768158843997</v>
      </c>
      <c r="C956">
        <v>0.99746066071645501</v>
      </c>
      <c r="D956">
        <v>0.84485288155082106</v>
      </c>
      <c r="E956">
        <v>0.73335573616149796</v>
      </c>
      <c r="F956">
        <v>0.62692550095455901</v>
      </c>
      <c r="G956">
        <v>0.42896775909391399</v>
      </c>
      <c r="H956">
        <v>0.30428984314136598</v>
      </c>
      <c r="I956">
        <v>0.28283447832379699</v>
      </c>
      <c r="J956">
        <v>0.18999084736413399</v>
      </c>
      <c r="K956">
        <v>0.16383441102476901</v>
      </c>
      <c r="L956">
        <v>563.91944150716097</v>
      </c>
      <c r="M956">
        <v>10.3528435837133</v>
      </c>
      <c r="N956">
        <v>55.502958986972303</v>
      </c>
      <c r="O956">
        <v>52.555212704503198</v>
      </c>
      <c r="P956">
        <v>-4.4951292769952501E-2</v>
      </c>
      <c r="Q956">
        <v>8.7624972072497698E-2</v>
      </c>
      <c r="R956">
        <v>0.99364358972268596</v>
      </c>
      <c r="S956" t="s">
        <v>4788</v>
      </c>
      <c r="T956" t="s">
        <v>7662</v>
      </c>
      <c r="U956" t="s">
        <v>7662</v>
      </c>
      <c r="V956" t="s">
        <v>7662</v>
      </c>
      <c r="W956">
        <v>3</v>
      </c>
      <c r="X956" t="s">
        <v>8618</v>
      </c>
      <c r="Y956">
        <v>0.55293078206812207</v>
      </c>
      <c r="Z956" t="str">
        <f>HYPERLINK("Melting_Curves/meltCurve_sp_P40394_ADH7_HUMAN_.pdf", "Melting_Curves/meltCurve_sp_P40394_ADH7_HUMAN_.pdf")</f>
        <v>Melting_Curves/meltCurve_sp_P40394_ADH7_HUMAN_.pdf</v>
      </c>
      <c r="AA956" t="s">
        <v>12432</v>
      </c>
      <c r="AB956" t="s">
        <v>16197</v>
      </c>
    </row>
    <row r="957" spans="1:28" x14ac:dyDescent="0.25">
      <c r="A957" t="s">
        <v>961</v>
      </c>
      <c r="B957">
        <v>0.98876768158843997</v>
      </c>
      <c r="C957">
        <v>0.98709393825383096</v>
      </c>
      <c r="D957">
        <v>0.84020072034395998</v>
      </c>
      <c r="E957">
        <v>0.68286134678885302</v>
      </c>
      <c r="F957">
        <v>0.40124195468863499</v>
      </c>
      <c r="G957">
        <v>0.29175431178288602</v>
      </c>
      <c r="H957">
        <v>0.179886215953004</v>
      </c>
      <c r="I957">
        <v>0.19967815150173901</v>
      </c>
      <c r="J957">
        <v>0.186253712863714</v>
      </c>
      <c r="K957">
        <v>0.23821938595561101</v>
      </c>
      <c r="L957">
        <v>937.88884061478404</v>
      </c>
      <c r="M957">
        <v>18.547056305813399</v>
      </c>
      <c r="N957">
        <v>51.884399539093501</v>
      </c>
      <c r="O957">
        <v>49.991204924242801</v>
      </c>
      <c r="P957">
        <v>-7.5348236111891106E-2</v>
      </c>
      <c r="Q957">
        <v>0.187669696592037</v>
      </c>
      <c r="R957">
        <v>0.990620224671799</v>
      </c>
      <c r="S957" t="s">
        <v>4789</v>
      </c>
      <c r="T957" t="s">
        <v>7662</v>
      </c>
      <c r="U957" t="s">
        <v>7662</v>
      </c>
      <c r="V957" t="s">
        <v>7662</v>
      </c>
      <c r="W957">
        <v>20</v>
      </c>
      <c r="X957" t="s">
        <v>8619</v>
      </c>
      <c r="Y957">
        <v>0.48684198990949379</v>
      </c>
      <c r="Z957" t="str">
        <f>HYPERLINK("Melting_Curves/meltCurve_sp_P40763_2_STAT3_HUMAN_.pdf", "Melting_Curves/meltCurve_sp_P40763_2_STAT3_HUMAN_.pdf")</f>
        <v>Melting_Curves/meltCurve_sp_P40763_2_STAT3_HUMAN_.pdf</v>
      </c>
      <c r="AA957" t="s">
        <v>12433</v>
      </c>
      <c r="AB957" t="s">
        <v>16198</v>
      </c>
    </row>
    <row r="958" spans="1:28" x14ac:dyDescent="0.25">
      <c r="A958" t="s">
        <v>962</v>
      </c>
      <c r="B958">
        <v>0.98876768158843997</v>
      </c>
      <c r="C958">
        <v>0.94571999670690199</v>
      </c>
      <c r="D958">
        <v>0.91668948708812403</v>
      </c>
      <c r="E958">
        <v>0.71771153172540303</v>
      </c>
      <c r="F958">
        <v>0.32189013782777898</v>
      </c>
      <c r="G958">
        <v>0.122128978199151</v>
      </c>
      <c r="H958">
        <v>7.06927392497122E-2</v>
      </c>
      <c r="I958">
        <v>6.1058657461123898E-2</v>
      </c>
      <c r="J958">
        <v>7.2747886980369006E-2</v>
      </c>
      <c r="K958">
        <v>6.1776565072076697E-2</v>
      </c>
      <c r="L958">
        <v>1398.7071340473999</v>
      </c>
      <c r="M958">
        <v>27.254330167797601</v>
      </c>
      <c r="N958">
        <v>51.566736491159503</v>
      </c>
      <c r="O958">
        <v>51.046638895585801</v>
      </c>
      <c r="P958">
        <v>-0.125335698352882</v>
      </c>
      <c r="Q958">
        <v>6.1007181399414898E-2</v>
      </c>
      <c r="R958">
        <v>0.99628898456889503</v>
      </c>
      <c r="S958" t="s">
        <v>4790</v>
      </c>
      <c r="T958" t="s">
        <v>7662</v>
      </c>
      <c r="U958" t="s">
        <v>7662</v>
      </c>
      <c r="V958" t="s">
        <v>7662</v>
      </c>
      <c r="W958">
        <v>20</v>
      </c>
      <c r="X958" t="s">
        <v>8620</v>
      </c>
      <c r="Y958">
        <v>0.42252039664980778</v>
      </c>
      <c r="Z958" t="str">
        <f>HYPERLINK("Melting_Curves/meltCurve_sp_P40763_STAT3_HUMAN_.pdf", "Melting_Curves/meltCurve_sp_P40763_STAT3_HUMAN_.pdf")</f>
        <v>Melting_Curves/meltCurve_sp_P40763_STAT3_HUMAN_.pdf</v>
      </c>
      <c r="AA958" t="s">
        <v>12433</v>
      </c>
      <c r="AB958" t="s">
        <v>16199</v>
      </c>
    </row>
    <row r="959" spans="1:28" x14ac:dyDescent="0.25">
      <c r="A959" t="s">
        <v>963</v>
      </c>
      <c r="B959">
        <v>0.98876768158843997</v>
      </c>
      <c r="C959">
        <v>0.958043124952068</v>
      </c>
      <c r="D959">
        <v>0.88456161289880497</v>
      </c>
      <c r="E959">
        <v>0.43378134529822898</v>
      </c>
      <c r="F959">
        <v>0.186212676127261</v>
      </c>
      <c r="G959">
        <v>9.9296486717009205E-2</v>
      </c>
      <c r="H959">
        <v>8.6293901765279193E-2</v>
      </c>
      <c r="I959">
        <v>8.9997713374719096E-2</v>
      </c>
      <c r="J959">
        <v>8.4755942145417901E-2</v>
      </c>
      <c r="K959">
        <v>6.4365368677657603E-2</v>
      </c>
      <c r="L959">
        <v>1349.47370911548</v>
      </c>
      <c r="M959">
        <v>27.457123303035701</v>
      </c>
      <c r="N959">
        <v>49.458234825415701</v>
      </c>
      <c r="O959">
        <v>48.889921213488201</v>
      </c>
      <c r="P959">
        <v>-0.12931050215015299</v>
      </c>
      <c r="Q959">
        <v>7.9011951495595006E-2</v>
      </c>
      <c r="R959">
        <v>0.99921110338793495</v>
      </c>
      <c r="S959" t="s">
        <v>4791</v>
      </c>
      <c r="T959" t="s">
        <v>7662</v>
      </c>
      <c r="U959" t="s">
        <v>7662</v>
      </c>
      <c r="V959" t="s">
        <v>7662</v>
      </c>
      <c r="W959">
        <v>11</v>
      </c>
      <c r="X959" t="s">
        <v>8621</v>
      </c>
      <c r="Y959">
        <v>0.36660390892707279</v>
      </c>
      <c r="Z959" t="str">
        <f>HYPERLINK("Melting_Curves/meltCurve_sp_P40818_UBP8_HUMAN_.pdf", "Melting_Curves/meltCurve_sp_P40818_UBP8_HUMAN_.pdf")</f>
        <v>Melting_Curves/meltCurve_sp_P40818_UBP8_HUMAN_.pdf</v>
      </c>
      <c r="AA959" t="s">
        <v>12434</v>
      </c>
      <c r="AB959" t="s">
        <v>16200</v>
      </c>
    </row>
    <row r="960" spans="1:28" x14ac:dyDescent="0.25">
      <c r="A960" t="s">
        <v>964</v>
      </c>
      <c r="B960">
        <v>0.98876768158843997</v>
      </c>
      <c r="C960">
        <v>0.96697726336838496</v>
      </c>
      <c r="D960">
        <v>0.87033309957969296</v>
      </c>
      <c r="E960">
        <v>0.88788343316051199</v>
      </c>
      <c r="F960">
        <v>1.0351516897511901</v>
      </c>
      <c r="G960">
        <v>0.62050868015583105</v>
      </c>
      <c r="H960">
        <v>0.109106259287369</v>
      </c>
      <c r="I960">
        <v>4.3476744313529901E-2</v>
      </c>
      <c r="J960">
        <v>3.86740790236429E-2</v>
      </c>
      <c r="K960">
        <v>3.5107496646199998E-2</v>
      </c>
      <c r="L960">
        <v>2821.5174570559602</v>
      </c>
      <c r="M960">
        <v>49.050470556229897</v>
      </c>
      <c r="N960">
        <v>57.621383081595702</v>
      </c>
      <c r="O960">
        <v>57.427369966844203</v>
      </c>
      <c r="P960">
        <v>-0.20493413465299301</v>
      </c>
      <c r="Q960">
        <v>4.0268735270934601E-2</v>
      </c>
      <c r="R960">
        <v>0.98156553821458703</v>
      </c>
      <c r="S960" t="s">
        <v>4792</v>
      </c>
      <c r="T960" t="s">
        <v>7662</v>
      </c>
      <c r="U960" t="s">
        <v>7662</v>
      </c>
      <c r="V960" t="s">
        <v>7662</v>
      </c>
      <c r="W960">
        <v>20</v>
      </c>
      <c r="X960" t="s">
        <v>8622</v>
      </c>
      <c r="Y960">
        <v>0.6033610336398767</v>
      </c>
      <c r="Z960" t="str">
        <f>HYPERLINK("Melting_Curves/meltCurve_sp_P40925_MDHC_HUMAN_.pdf", "Melting_Curves/meltCurve_sp_P40925_MDHC_HUMAN_.pdf")</f>
        <v>Melting_Curves/meltCurve_sp_P40925_MDHC_HUMAN_.pdf</v>
      </c>
      <c r="AA960" t="s">
        <v>12435</v>
      </c>
      <c r="AB960" t="s">
        <v>16201</v>
      </c>
    </row>
    <row r="961" spans="1:28" x14ac:dyDescent="0.25">
      <c r="A961" t="s">
        <v>965</v>
      </c>
      <c r="B961">
        <v>0.98876768158843997</v>
      </c>
      <c r="C961">
        <v>0.90190435705327798</v>
      </c>
      <c r="D961">
        <v>0.84257120585559497</v>
      </c>
      <c r="E961">
        <v>0.82452839132542599</v>
      </c>
      <c r="F961">
        <v>0.89326996977597295</v>
      </c>
      <c r="G961">
        <v>0.60252874829981096</v>
      </c>
      <c r="H961">
        <v>0.220068243138304</v>
      </c>
      <c r="I961">
        <v>4.5423335170619299E-2</v>
      </c>
      <c r="J961">
        <v>3.1255155686584699E-2</v>
      </c>
      <c r="K961">
        <v>2.7212348818463999E-2</v>
      </c>
      <c r="L961">
        <v>1291.1864791093899</v>
      </c>
      <c r="M961">
        <v>22.3934096418221</v>
      </c>
      <c r="N961">
        <v>57.659225124692398</v>
      </c>
      <c r="O961">
        <v>57.205313482261701</v>
      </c>
      <c r="P961">
        <v>-9.7866239433627905E-2</v>
      </c>
      <c r="Q961">
        <v>0</v>
      </c>
      <c r="R961">
        <v>0.96081924564141596</v>
      </c>
      <c r="S961" t="s">
        <v>4793</v>
      </c>
      <c r="T961" t="s">
        <v>7662</v>
      </c>
      <c r="U961" t="s">
        <v>7662</v>
      </c>
      <c r="V961" t="s">
        <v>7662</v>
      </c>
      <c r="W961">
        <v>25</v>
      </c>
      <c r="X961" t="s">
        <v>8623</v>
      </c>
      <c r="Y961">
        <v>0.59888664387443491</v>
      </c>
      <c r="Z961" t="str">
        <f>HYPERLINK("Melting_Curves/meltCurve_sp_P40926_MDHM_HUMAN_.pdf", "Melting_Curves/meltCurve_sp_P40926_MDHM_HUMAN_.pdf")</f>
        <v>Melting_Curves/meltCurve_sp_P40926_MDHM_HUMAN_.pdf</v>
      </c>
      <c r="AA961" t="s">
        <v>12436</v>
      </c>
      <c r="AB961" t="s">
        <v>16202</v>
      </c>
    </row>
    <row r="962" spans="1:28" x14ac:dyDescent="0.25">
      <c r="A962" t="s">
        <v>966</v>
      </c>
      <c r="B962">
        <v>0.98876768158843997</v>
      </c>
      <c r="C962">
        <v>0.69052371038541105</v>
      </c>
      <c r="D962">
        <v>1.0091233171821301</v>
      </c>
      <c r="E962">
        <v>0.497894919600397</v>
      </c>
      <c r="F962">
        <v>0.188984622000888</v>
      </c>
      <c r="G962">
        <v>7.9944243825121095E-2</v>
      </c>
      <c r="H962">
        <v>3.4272310273260401E-2</v>
      </c>
      <c r="I962">
        <v>3.0178878792382E-2</v>
      </c>
      <c r="J962">
        <v>3.0179105898150899E-2</v>
      </c>
      <c r="K962">
        <v>2.6967512578533099E-2</v>
      </c>
      <c r="L962">
        <v>1465.77711744415</v>
      </c>
      <c r="M962">
        <v>29.327576000958199</v>
      </c>
      <c r="N962">
        <v>50.0970626493163</v>
      </c>
      <c r="O962">
        <v>49.748841132694999</v>
      </c>
      <c r="P962">
        <v>-0.14247768877317901</v>
      </c>
      <c r="Q962">
        <v>3.3258171112172899E-2</v>
      </c>
      <c r="R962">
        <v>0.93380098510322596</v>
      </c>
      <c r="S962" t="s">
        <v>4794</v>
      </c>
      <c r="T962" t="s">
        <v>7662</v>
      </c>
      <c r="U962" t="s">
        <v>7662</v>
      </c>
      <c r="V962" t="s">
        <v>7662</v>
      </c>
      <c r="W962">
        <v>40</v>
      </c>
      <c r="X962" t="s">
        <v>8624</v>
      </c>
      <c r="Y962">
        <v>0.3611024235895624</v>
      </c>
      <c r="Z962" t="str">
        <f>HYPERLINK("Melting_Curves/meltCurve_sp_P40939_ECHA_HUMAN_.pdf", "Melting_Curves/meltCurve_sp_P40939_ECHA_HUMAN_.pdf")</f>
        <v>Melting_Curves/meltCurve_sp_P40939_ECHA_HUMAN_.pdf</v>
      </c>
      <c r="AA962" t="s">
        <v>12437</v>
      </c>
      <c r="AB962" t="s">
        <v>16203</v>
      </c>
    </row>
    <row r="963" spans="1:28" x14ac:dyDescent="0.25">
      <c r="A963" t="s">
        <v>967</v>
      </c>
      <c r="B963">
        <v>0.98876768158843997</v>
      </c>
      <c r="C963">
        <v>0.939761622441318</v>
      </c>
      <c r="D963">
        <v>0.96890982936942704</v>
      </c>
      <c r="E963">
        <v>0.88880184554550601</v>
      </c>
      <c r="F963">
        <v>0.635383134053079</v>
      </c>
      <c r="G963">
        <v>0.28264193829461598</v>
      </c>
      <c r="H963">
        <v>8.7045261561303697E-2</v>
      </c>
      <c r="I963">
        <v>6.7062397797767195E-2</v>
      </c>
      <c r="J963">
        <v>6.3066924174888905E-2</v>
      </c>
      <c r="K963">
        <v>4.8480394914680099E-2</v>
      </c>
      <c r="L963">
        <v>1258.1606119144601</v>
      </c>
      <c r="M963">
        <v>23.223405948187001</v>
      </c>
      <c r="N963">
        <v>54.3777736096674</v>
      </c>
      <c r="O963">
        <v>53.779490836234501</v>
      </c>
      <c r="P963">
        <v>-0.103510337159267</v>
      </c>
      <c r="Q963">
        <v>4.1202970679919203E-2</v>
      </c>
      <c r="R963">
        <v>0.99720256157855602</v>
      </c>
      <c r="S963" t="s">
        <v>4795</v>
      </c>
      <c r="T963" t="s">
        <v>7662</v>
      </c>
      <c r="U963" t="s">
        <v>7662</v>
      </c>
      <c r="V963" t="s">
        <v>7662</v>
      </c>
      <c r="W963">
        <v>15</v>
      </c>
      <c r="X963" t="s">
        <v>8625</v>
      </c>
      <c r="Y963">
        <v>0.50439952021103884</v>
      </c>
      <c r="Z963" t="str">
        <f>HYPERLINK("Melting_Curves/meltCurve_sp_P41091_IF2G_HUMAN_.pdf", "Melting_Curves/meltCurve_sp_P41091_IF2G_HUMAN_.pdf")</f>
        <v>Melting_Curves/meltCurve_sp_P41091_IF2G_HUMAN_.pdf</v>
      </c>
      <c r="AA963" t="s">
        <v>12438</v>
      </c>
      <c r="AB963" t="s">
        <v>16204</v>
      </c>
    </row>
    <row r="964" spans="1:28" x14ac:dyDescent="0.25">
      <c r="A964" t="s">
        <v>968</v>
      </c>
      <c r="B964">
        <v>0.98876768158843997</v>
      </c>
      <c r="C964">
        <v>1.1375435160243199</v>
      </c>
      <c r="D964">
        <v>0.94204088971819799</v>
      </c>
      <c r="E964">
        <v>0.79465880850201698</v>
      </c>
      <c r="F964">
        <v>0.75328727569092802</v>
      </c>
      <c r="G964">
        <v>0.53579083327629595</v>
      </c>
      <c r="H964">
        <v>0.369940515035387</v>
      </c>
      <c r="I964">
        <v>0.432086172528798</v>
      </c>
      <c r="J964">
        <v>0.54191997501366795</v>
      </c>
      <c r="K964">
        <v>0.65061161590252803</v>
      </c>
      <c r="L964">
        <v>1205.16067758383</v>
      </c>
      <c r="M964">
        <v>23.294803371895402</v>
      </c>
      <c r="N964">
        <v>67.871630634326905</v>
      </c>
      <c r="O964">
        <v>51.358439025230702</v>
      </c>
      <c r="P964">
        <v>-5.6920635898493999E-2</v>
      </c>
      <c r="Q964">
        <v>0.498033456531353</v>
      </c>
      <c r="R964">
        <v>0.86298472186285402</v>
      </c>
      <c r="S964" t="s">
        <v>4796</v>
      </c>
      <c r="T964" t="s">
        <v>7662</v>
      </c>
      <c r="U964" t="s">
        <v>7662</v>
      </c>
      <c r="V964" t="s">
        <v>7662</v>
      </c>
      <c r="W964">
        <v>2</v>
      </c>
      <c r="X964" t="s">
        <v>8626</v>
      </c>
      <c r="Y964">
        <v>0.69962364786311704</v>
      </c>
      <c r="Z964" t="str">
        <f>HYPERLINK("Melting_Curves/meltCurve_sp_P41208_CETN2_HUMAN_.pdf", "Melting_Curves/meltCurve_sp_P41208_CETN2_HUMAN_.pdf")</f>
        <v>Melting_Curves/meltCurve_sp_P41208_CETN2_HUMAN_.pdf</v>
      </c>
      <c r="AA964" t="s">
        <v>12439</v>
      </c>
      <c r="AB964" t="s">
        <v>16205</v>
      </c>
    </row>
    <row r="965" spans="1:28" x14ac:dyDescent="0.25">
      <c r="A965" t="s">
        <v>969</v>
      </c>
      <c r="B965">
        <v>0.98876768158843997</v>
      </c>
      <c r="C965">
        <v>0.89471321308285201</v>
      </c>
      <c r="D965">
        <v>0.85533837342320396</v>
      </c>
      <c r="E965">
        <v>0.469410258663225</v>
      </c>
      <c r="F965">
        <v>0.17939235509832299</v>
      </c>
      <c r="G965">
        <v>0.103365231363118</v>
      </c>
      <c r="H965">
        <v>7.7926180044849302E-2</v>
      </c>
      <c r="I965">
        <v>6.2104654205162903E-2</v>
      </c>
      <c r="J965">
        <v>9.5287732126242503E-2</v>
      </c>
      <c r="K965">
        <v>8.4525331455497801E-2</v>
      </c>
      <c r="L965">
        <v>1154.4634045892501</v>
      </c>
      <c r="M965">
        <v>23.482347658585802</v>
      </c>
      <c r="N965">
        <v>49.486184025268301</v>
      </c>
      <c r="O965">
        <v>48.810645955599298</v>
      </c>
      <c r="P965">
        <v>-0.111725341253279</v>
      </c>
      <c r="Q965">
        <v>7.1082112192618396E-2</v>
      </c>
      <c r="R965">
        <v>0.99362316885797897</v>
      </c>
      <c r="S965" t="s">
        <v>4797</v>
      </c>
      <c r="T965" t="s">
        <v>7662</v>
      </c>
      <c r="U965" t="s">
        <v>7662</v>
      </c>
      <c r="V965" t="s">
        <v>7662</v>
      </c>
      <c r="W965">
        <v>11</v>
      </c>
      <c r="X965" t="s">
        <v>8627</v>
      </c>
      <c r="Y965">
        <v>0.36417552959763022</v>
      </c>
      <c r="Z965" t="str">
        <f>HYPERLINK("Melting_Curves/meltCurve_sp_P41226_UBA7_HUMAN_.pdf", "Melting_Curves/meltCurve_sp_P41226_UBA7_HUMAN_.pdf")</f>
        <v>Melting_Curves/meltCurve_sp_P41226_UBA7_HUMAN_.pdf</v>
      </c>
      <c r="AA965" t="s">
        <v>12440</v>
      </c>
      <c r="AB965" t="s">
        <v>16206</v>
      </c>
    </row>
    <row r="966" spans="1:28" x14ac:dyDescent="0.25">
      <c r="A966" t="s">
        <v>970</v>
      </c>
      <c r="B966">
        <v>0.98876768158843997</v>
      </c>
      <c r="C966">
        <v>0.969137717133285</v>
      </c>
      <c r="D966">
        <v>0.88854082640694598</v>
      </c>
      <c r="E966">
        <v>0.74104511633259396</v>
      </c>
      <c r="F966">
        <v>0.848967157190336</v>
      </c>
      <c r="G966">
        <v>0.62574129953366997</v>
      </c>
      <c r="H966">
        <v>0.47466879070882001</v>
      </c>
      <c r="I966">
        <v>0.48989860294469301</v>
      </c>
      <c r="J966">
        <v>0.75358339858061096</v>
      </c>
      <c r="K966">
        <v>0.79480370509715204</v>
      </c>
      <c r="L966">
        <v>796.33450626969397</v>
      </c>
      <c r="M966">
        <v>16.280367931659399</v>
      </c>
      <c r="O966">
        <v>48.193654284674402</v>
      </c>
      <c r="P966">
        <v>-3.1026175904490999E-2</v>
      </c>
      <c r="Q966">
        <v>0.63264828383498195</v>
      </c>
      <c r="R966">
        <v>0.61586673528692804</v>
      </c>
      <c r="S966" t="s">
        <v>4798</v>
      </c>
      <c r="T966" t="s">
        <v>7662</v>
      </c>
      <c r="U966" t="s">
        <v>7662</v>
      </c>
      <c r="V966" t="s">
        <v>7662</v>
      </c>
      <c r="W966">
        <v>6</v>
      </c>
      <c r="X966" t="s">
        <v>8628</v>
      </c>
      <c r="Y966">
        <v>0.74957054996233785</v>
      </c>
      <c r="Z966" t="str">
        <f>HYPERLINK("Melting_Curves/meltCurve_sp_P41236_IPP2_HUMAN_.pdf", "Melting_Curves/meltCurve_sp_P41236_IPP2_HUMAN_.pdf")</f>
        <v>Melting_Curves/meltCurve_sp_P41236_IPP2_HUMAN_.pdf</v>
      </c>
      <c r="AA966" t="s">
        <v>12441</v>
      </c>
      <c r="AB966" t="s">
        <v>16207</v>
      </c>
    </row>
    <row r="967" spans="1:28" x14ac:dyDescent="0.25">
      <c r="A967" t="s">
        <v>971</v>
      </c>
      <c r="B967">
        <v>0.98876768158843997</v>
      </c>
      <c r="C967">
        <v>0.96680330869099695</v>
      </c>
      <c r="D967">
        <v>0.718908433516113</v>
      </c>
      <c r="E967">
        <v>0.349823981953856</v>
      </c>
      <c r="F967">
        <v>8.3994641041895399E-2</v>
      </c>
      <c r="G967">
        <v>5.3106790293988397E-2</v>
      </c>
      <c r="H967">
        <v>3.71891095291602E-2</v>
      </c>
      <c r="I967">
        <v>3.0332264188125901E-2</v>
      </c>
      <c r="J967">
        <v>3.1745720889363102E-2</v>
      </c>
      <c r="K967">
        <v>2.24718628227056E-2</v>
      </c>
      <c r="L967">
        <v>1098.0843210820599</v>
      </c>
      <c r="M967">
        <v>22.829538702503701</v>
      </c>
      <c r="N967">
        <v>48.199355667123498</v>
      </c>
      <c r="O967">
        <v>47.734779065998403</v>
      </c>
      <c r="P967">
        <v>-0.116799517144482</v>
      </c>
      <c r="Q967">
        <v>2.31442112138169E-2</v>
      </c>
      <c r="R967">
        <v>0.99674366744654397</v>
      </c>
      <c r="S967" t="s">
        <v>4799</v>
      </c>
      <c r="T967" t="s">
        <v>7662</v>
      </c>
      <c r="U967" t="s">
        <v>7662</v>
      </c>
      <c r="V967" t="s">
        <v>7662</v>
      </c>
      <c r="W967">
        <v>11</v>
      </c>
      <c r="X967" t="s">
        <v>8629</v>
      </c>
      <c r="Y967">
        <v>0.29733788606192169</v>
      </c>
      <c r="Z967" t="str">
        <f>HYPERLINK("Melting_Curves/meltCurve_sp_P41240_CSK_HUMAN_.pdf", "Melting_Curves/meltCurve_sp_P41240_CSK_HUMAN_.pdf")</f>
        <v>Melting_Curves/meltCurve_sp_P41240_CSK_HUMAN_.pdf</v>
      </c>
      <c r="AA967" t="s">
        <v>12442</v>
      </c>
      <c r="AB967" t="s">
        <v>16208</v>
      </c>
    </row>
    <row r="968" spans="1:28" x14ac:dyDescent="0.25">
      <c r="A968" t="s">
        <v>972</v>
      </c>
      <c r="B968">
        <v>0.98876768158843997</v>
      </c>
      <c r="C968">
        <v>0.87964713712952503</v>
      </c>
      <c r="D968">
        <v>0.96368564074376395</v>
      </c>
      <c r="E968">
        <v>0.86581029494782702</v>
      </c>
      <c r="F968">
        <v>0.59890064607267002</v>
      </c>
      <c r="G968">
        <v>0.50707866131009705</v>
      </c>
      <c r="H968">
        <v>0.42453822277433001</v>
      </c>
      <c r="I968">
        <v>0.224557512461449</v>
      </c>
      <c r="J968">
        <v>7.6055311417254398E-2</v>
      </c>
      <c r="K968">
        <v>7.56679500473183E-2</v>
      </c>
      <c r="L968">
        <v>626.98881488033601</v>
      </c>
      <c r="M968">
        <v>11.035374765353399</v>
      </c>
      <c r="N968">
        <v>56.816268427628501</v>
      </c>
      <c r="O968">
        <v>55.0461994126319</v>
      </c>
      <c r="P968">
        <v>-5.0135402506341097E-2</v>
      </c>
      <c r="Q968">
        <v>0</v>
      </c>
      <c r="R968">
        <v>0.96567201527601498</v>
      </c>
      <c r="S968" t="s">
        <v>4800</v>
      </c>
      <c r="T968" t="s">
        <v>7662</v>
      </c>
      <c r="U968" t="s">
        <v>7662</v>
      </c>
      <c r="V968" t="s">
        <v>7662</v>
      </c>
      <c r="W968">
        <v>21</v>
      </c>
      <c r="X968" t="s">
        <v>8630</v>
      </c>
      <c r="Y968">
        <v>0.57796638606084805</v>
      </c>
      <c r="Z968" t="str">
        <f>HYPERLINK("Melting_Curves/meltCurve_sp_P41250_SYG_HUMAN_.pdf", "Melting_Curves/meltCurve_sp_P41250_SYG_HUMAN_.pdf")</f>
        <v>Melting_Curves/meltCurve_sp_P41250_SYG_HUMAN_.pdf</v>
      </c>
      <c r="AA968" t="s">
        <v>12443</v>
      </c>
      <c r="AB968" t="s">
        <v>16209</v>
      </c>
    </row>
    <row r="969" spans="1:28" x14ac:dyDescent="0.25">
      <c r="A969" t="s">
        <v>973</v>
      </c>
      <c r="B969">
        <v>0.98876768158843997</v>
      </c>
      <c r="C969">
        <v>0.93571026830983695</v>
      </c>
      <c r="D969">
        <v>0.57602987251532201</v>
      </c>
      <c r="E969">
        <v>0.28194062066744502</v>
      </c>
      <c r="F969">
        <v>0.13121485990270401</v>
      </c>
      <c r="G969">
        <v>9.8254073874495598E-2</v>
      </c>
      <c r="H969">
        <v>6.2231089810550901E-2</v>
      </c>
      <c r="I969">
        <v>4.1933931336822598E-2</v>
      </c>
      <c r="J969">
        <v>6.04045723368739E-2</v>
      </c>
      <c r="K969">
        <v>1.7386993780183001E-2</v>
      </c>
      <c r="L969">
        <v>980.40345113401202</v>
      </c>
      <c r="M969">
        <v>20.896129802639599</v>
      </c>
      <c r="N969">
        <v>47.158668301283498</v>
      </c>
      <c r="O969">
        <v>46.494592015679899</v>
      </c>
      <c r="P969">
        <v>-0.106676939405385</v>
      </c>
      <c r="Q969">
        <v>5.05868623508949E-2</v>
      </c>
      <c r="R969">
        <v>0.99382950978212004</v>
      </c>
      <c r="S969" t="s">
        <v>4801</v>
      </c>
      <c r="T969" t="s">
        <v>7662</v>
      </c>
      <c r="U969" t="s">
        <v>7662</v>
      </c>
      <c r="V969" t="s">
        <v>7662</v>
      </c>
      <c r="W969">
        <v>8</v>
      </c>
      <c r="X969" t="s">
        <v>8631</v>
      </c>
      <c r="Y969">
        <v>0.28217179983139751</v>
      </c>
      <c r="Z969" t="str">
        <f>HYPERLINK("Melting_Curves/meltCurve_sp_P41252_SYIC_HUMAN_.pdf", "Melting_Curves/meltCurve_sp_P41252_SYIC_HUMAN_.pdf")</f>
        <v>Melting_Curves/meltCurve_sp_P41252_SYIC_HUMAN_.pdf</v>
      </c>
      <c r="AA969" t="s">
        <v>12444</v>
      </c>
      <c r="AB969" t="s">
        <v>16210</v>
      </c>
    </row>
    <row r="970" spans="1:28" x14ac:dyDescent="0.25">
      <c r="A970" t="s">
        <v>974</v>
      </c>
      <c r="B970">
        <v>0.98876768158843997</v>
      </c>
      <c r="C970">
        <v>0.98116687142042303</v>
      </c>
      <c r="D970">
        <v>0.931020582601776</v>
      </c>
      <c r="E970">
        <v>0.71833622210266501</v>
      </c>
      <c r="F970">
        <v>0.70033001343190904</v>
      </c>
      <c r="G970">
        <v>0.42517600115660398</v>
      </c>
      <c r="H970">
        <v>0.30203231217912502</v>
      </c>
      <c r="I970">
        <v>0.33823139111449502</v>
      </c>
      <c r="J970">
        <v>0.37515661981333698</v>
      </c>
      <c r="K970">
        <v>0.36862136743264601</v>
      </c>
      <c r="L970">
        <v>873.35895290235999</v>
      </c>
      <c r="M970">
        <v>16.771230414987699</v>
      </c>
      <c r="N970">
        <v>55.512310692906603</v>
      </c>
      <c r="O970">
        <v>51.351334501111197</v>
      </c>
      <c r="P970">
        <v>-5.5279348596587799E-2</v>
      </c>
      <c r="Q970">
        <v>0.32301098825729302</v>
      </c>
      <c r="R970">
        <v>0.97212177761391605</v>
      </c>
      <c r="S970" t="s">
        <v>4802</v>
      </c>
      <c r="T970" t="s">
        <v>7662</v>
      </c>
      <c r="U970" t="s">
        <v>7662</v>
      </c>
      <c r="V970" t="s">
        <v>7662</v>
      </c>
      <c r="W970">
        <v>5</v>
      </c>
      <c r="X970" t="s">
        <v>8632</v>
      </c>
      <c r="Y970">
        <v>0.60815570190862867</v>
      </c>
      <c r="Z970" t="str">
        <f>HYPERLINK("Melting_Curves/meltCurve_sp_P41567_EIF1_HUMAN_.pdf", "Melting_Curves/meltCurve_sp_P41567_EIF1_HUMAN_.pdf")</f>
        <v>Melting_Curves/meltCurve_sp_P41567_EIF1_HUMAN_.pdf</v>
      </c>
      <c r="AA970" t="s">
        <v>12445</v>
      </c>
      <c r="AB970" t="s">
        <v>16211</v>
      </c>
    </row>
    <row r="971" spans="1:28" x14ac:dyDescent="0.25">
      <c r="A971" t="s">
        <v>975</v>
      </c>
      <c r="B971">
        <v>0.98876768158843997</v>
      </c>
      <c r="C971">
        <v>0.99510741748167297</v>
      </c>
      <c r="D971">
        <v>1.17651553328328</v>
      </c>
      <c r="E971">
        <v>0.98541398728048801</v>
      </c>
      <c r="F971">
        <v>0.40818706078393402</v>
      </c>
      <c r="G971">
        <v>0.26492632657855902</v>
      </c>
      <c r="H971">
        <v>7.0401898028353602E-2</v>
      </c>
      <c r="I971">
        <v>0.19071146490684401</v>
      </c>
      <c r="J971">
        <v>0</v>
      </c>
      <c r="K971">
        <v>0</v>
      </c>
      <c r="L971">
        <v>3131.07834740721</v>
      </c>
      <c r="M971">
        <v>59.676195092503299</v>
      </c>
      <c r="N971">
        <v>52.669338804017499</v>
      </c>
      <c r="O971">
        <v>52.408949886360297</v>
      </c>
      <c r="P971">
        <v>-0.255607432163027</v>
      </c>
      <c r="Q971">
        <v>0.102079660520995</v>
      </c>
      <c r="R971">
        <v>0.95733239693824401</v>
      </c>
      <c r="S971" t="s">
        <v>4803</v>
      </c>
      <c r="T971" t="s">
        <v>7662</v>
      </c>
      <c r="U971" t="s">
        <v>7662</v>
      </c>
      <c r="V971" t="s">
        <v>7662</v>
      </c>
      <c r="W971">
        <v>1</v>
      </c>
      <c r="X971" t="s">
        <v>8633</v>
      </c>
      <c r="Y971">
        <v>0.47670559611524188</v>
      </c>
      <c r="Z971" t="str">
        <f>HYPERLINK("Melting_Curves/meltCurve_sp_P41743_KPCI_HUMAN_.pdf", "Melting_Curves/meltCurve_sp_P41743_KPCI_HUMAN_.pdf")</f>
        <v>Melting_Curves/meltCurve_sp_P41743_KPCI_HUMAN_.pdf</v>
      </c>
      <c r="AA971" t="s">
        <v>12446</v>
      </c>
      <c r="AB971" t="s">
        <v>16212</v>
      </c>
    </row>
    <row r="972" spans="1:28" x14ac:dyDescent="0.25">
      <c r="A972" t="s">
        <v>976</v>
      </c>
      <c r="B972">
        <v>0.98876768158843997</v>
      </c>
      <c r="C972">
        <v>0.79621766406726002</v>
      </c>
      <c r="D972">
        <v>0.90324171563676403</v>
      </c>
      <c r="E972">
        <v>0.45392639433566401</v>
      </c>
      <c r="F972">
        <v>0.279266297649233</v>
      </c>
      <c r="G972">
        <v>0.101973006831029</v>
      </c>
      <c r="H972">
        <v>6.1644391378134697E-2</v>
      </c>
      <c r="I972">
        <v>3.5102465975285199E-2</v>
      </c>
      <c r="J972">
        <v>1.2627286252982199E-2</v>
      </c>
      <c r="K972">
        <v>4.6071556834452097E-2</v>
      </c>
      <c r="L972">
        <v>859.66400644975397</v>
      </c>
      <c r="M972">
        <v>17.282708746997699</v>
      </c>
      <c r="N972">
        <v>49.8400164985865</v>
      </c>
      <c r="O972">
        <v>49.089661432603101</v>
      </c>
      <c r="P972">
        <v>-8.6539765314781497E-2</v>
      </c>
      <c r="Q972">
        <v>1.6829837653699099E-2</v>
      </c>
      <c r="R972">
        <v>0.97634541024280797</v>
      </c>
      <c r="S972" t="s">
        <v>4804</v>
      </c>
      <c r="T972" t="s">
        <v>7662</v>
      </c>
      <c r="U972" t="s">
        <v>7662</v>
      </c>
      <c r="V972" t="s">
        <v>7662</v>
      </c>
      <c r="W972">
        <v>5</v>
      </c>
      <c r="X972" t="s">
        <v>8634</v>
      </c>
      <c r="Y972">
        <v>0.3542601989149729</v>
      </c>
      <c r="Z972" t="str">
        <f>HYPERLINK("Melting_Curves/meltCurve_sp_P42025_ACTY_HUMAN_.pdf", "Melting_Curves/meltCurve_sp_P42025_ACTY_HUMAN_.pdf")</f>
        <v>Melting_Curves/meltCurve_sp_P42025_ACTY_HUMAN_.pdf</v>
      </c>
      <c r="AA972" t="s">
        <v>12447</v>
      </c>
      <c r="AB972" t="s">
        <v>16213</v>
      </c>
    </row>
    <row r="973" spans="1:28" x14ac:dyDescent="0.25">
      <c r="A973" t="s">
        <v>977</v>
      </c>
      <c r="B973">
        <v>0.98876768158843997</v>
      </c>
      <c r="C973">
        <v>0.85012678467103198</v>
      </c>
      <c r="D973">
        <v>0.90288660494071404</v>
      </c>
      <c r="E973">
        <v>0.78578586829833297</v>
      </c>
      <c r="F973">
        <v>0.795953579983668</v>
      </c>
      <c r="G973">
        <v>0.55377282971163</v>
      </c>
      <c r="H973">
        <v>0.45403486036933799</v>
      </c>
      <c r="I973">
        <v>0.56300059778505296</v>
      </c>
      <c r="J973">
        <v>0.609433146859369</v>
      </c>
      <c r="K973">
        <v>0.58350995473711897</v>
      </c>
      <c r="L973">
        <v>586.44314920009003</v>
      </c>
      <c r="M973">
        <v>11.6057763254313</v>
      </c>
      <c r="O973">
        <v>49.099967255494299</v>
      </c>
      <c r="P973">
        <v>-2.8277306999676899E-2</v>
      </c>
      <c r="Q973">
        <v>0.52160578707851502</v>
      </c>
      <c r="R973">
        <v>0.84040501465332496</v>
      </c>
      <c r="S973" t="s">
        <v>4805</v>
      </c>
      <c r="T973" t="s">
        <v>7662</v>
      </c>
      <c r="U973" t="s">
        <v>7662</v>
      </c>
      <c r="V973" t="s">
        <v>7662</v>
      </c>
      <c r="W973">
        <v>10</v>
      </c>
      <c r="X973" t="s">
        <v>8635</v>
      </c>
      <c r="Y973">
        <v>0.70638761679894302</v>
      </c>
      <c r="Z973" t="str">
        <f>HYPERLINK("Melting_Curves/meltCurve_sp_P42126_2_ECI1_HUMAN_.pdf", "Melting_Curves/meltCurve_sp_P42126_2_ECI1_HUMAN_.pdf")</f>
        <v>Melting_Curves/meltCurve_sp_P42126_2_ECI1_HUMAN_.pdf</v>
      </c>
      <c r="AA973" t="s">
        <v>12448</v>
      </c>
      <c r="AB973" t="s">
        <v>16214</v>
      </c>
    </row>
    <row r="974" spans="1:28" x14ac:dyDescent="0.25">
      <c r="A974" t="s">
        <v>978</v>
      </c>
      <c r="B974">
        <v>0.98876768158843997</v>
      </c>
      <c r="C974">
        <v>1.05021799857725</v>
      </c>
      <c r="D974">
        <v>0.86360260745256701</v>
      </c>
      <c r="E974">
        <v>0.72062983570749395</v>
      </c>
      <c r="F974">
        <v>0.86944244000220905</v>
      </c>
      <c r="G974">
        <v>0.60789896465116999</v>
      </c>
      <c r="H974">
        <v>0.45268472332089699</v>
      </c>
      <c r="I974">
        <v>0.52456204431826503</v>
      </c>
      <c r="J974">
        <v>0.63845481612330302</v>
      </c>
      <c r="K974">
        <v>0.75277511787822504</v>
      </c>
      <c r="L974">
        <v>798.82317537047902</v>
      </c>
      <c r="M974">
        <v>16.040248523366799</v>
      </c>
      <c r="O974">
        <v>49.046409507747299</v>
      </c>
      <c r="P974">
        <v>-3.3099155450090401E-2</v>
      </c>
      <c r="Q974">
        <v>0.59520111415469101</v>
      </c>
      <c r="R974">
        <v>0.71270893017790404</v>
      </c>
      <c r="S974" t="s">
        <v>4806</v>
      </c>
      <c r="T974" t="s">
        <v>7662</v>
      </c>
      <c r="U974" t="s">
        <v>7662</v>
      </c>
      <c r="V974" t="s">
        <v>7662</v>
      </c>
      <c r="W974">
        <v>12</v>
      </c>
      <c r="X974" t="s">
        <v>8636</v>
      </c>
      <c r="Y974">
        <v>0.73605084016554911</v>
      </c>
      <c r="Z974" t="str">
        <f>HYPERLINK("Melting_Curves/meltCurve_sp_P42166_LAP2A_HUMAN_.pdf", "Melting_Curves/meltCurve_sp_P42166_LAP2A_HUMAN_.pdf")</f>
        <v>Melting_Curves/meltCurve_sp_P42166_LAP2A_HUMAN_.pdf</v>
      </c>
      <c r="AA974" t="s">
        <v>12449</v>
      </c>
      <c r="AB974" t="s">
        <v>16215</v>
      </c>
    </row>
    <row r="975" spans="1:28" x14ac:dyDescent="0.25">
      <c r="A975" t="s">
        <v>979</v>
      </c>
      <c r="B975">
        <v>0.98876768158843997</v>
      </c>
      <c r="C975">
        <v>1.1476436502601</v>
      </c>
      <c r="D975">
        <v>0.89856282527887799</v>
      </c>
      <c r="E975">
        <v>0.78006133157623803</v>
      </c>
      <c r="F975">
        <v>0.90084251514671798</v>
      </c>
      <c r="G975">
        <v>0.66470240444198303</v>
      </c>
      <c r="H975">
        <v>0.56793361955990995</v>
      </c>
      <c r="I975">
        <v>0.83407434804916802</v>
      </c>
      <c r="J975">
        <v>1.18222358502028</v>
      </c>
      <c r="K975">
        <v>1.16663676921295</v>
      </c>
      <c r="L975">
        <v>13652.279484728801</v>
      </c>
      <c r="M975">
        <v>207.158235067524</v>
      </c>
      <c r="O975">
        <v>65.896521202208305</v>
      </c>
      <c r="P975">
        <v>0.13907631145213101</v>
      </c>
      <c r="Q975">
        <v>1.1769593214332199</v>
      </c>
      <c r="R975">
        <v>-3.68038510711797E-2</v>
      </c>
      <c r="S975" t="s">
        <v>4807</v>
      </c>
      <c r="T975" t="s">
        <v>7662</v>
      </c>
      <c r="U975" t="s">
        <v>7662</v>
      </c>
      <c r="V975" t="s">
        <v>7662</v>
      </c>
      <c r="W975">
        <v>10</v>
      </c>
      <c r="X975" t="s">
        <v>8637</v>
      </c>
      <c r="Y975">
        <v>1.0241389298637491</v>
      </c>
      <c r="Z975" t="str">
        <f>HYPERLINK("Melting_Curves/meltCurve_sp_P42167_LAP2B_HUMAN_.pdf", "Melting_Curves/meltCurve_sp_P42167_LAP2B_HUMAN_.pdf")</f>
        <v>Melting_Curves/meltCurve_sp_P42167_LAP2B_HUMAN_.pdf</v>
      </c>
      <c r="AA975" t="s">
        <v>12449</v>
      </c>
      <c r="AB975" t="s">
        <v>16216</v>
      </c>
    </row>
    <row r="976" spans="1:28" x14ac:dyDescent="0.25">
      <c r="A976" t="s">
        <v>980</v>
      </c>
      <c r="B976">
        <v>0.98876768158843997</v>
      </c>
      <c r="C976">
        <v>0.888306766782609</v>
      </c>
      <c r="D976">
        <v>0.83243810355590697</v>
      </c>
      <c r="E976">
        <v>0.285834924002557</v>
      </c>
      <c r="F976">
        <v>0.146379291824389</v>
      </c>
      <c r="G976">
        <v>8.9619252470802602E-2</v>
      </c>
      <c r="H976">
        <v>5.5592682788471799E-2</v>
      </c>
      <c r="I976">
        <v>4.3848238186079198E-2</v>
      </c>
      <c r="J976">
        <v>6.5502488989557406E-2</v>
      </c>
      <c r="K976">
        <v>4.9078283883117503E-2</v>
      </c>
      <c r="L976">
        <v>1316.90772860471</v>
      </c>
      <c r="M976">
        <v>27.339524336764502</v>
      </c>
      <c r="N976">
        <v>48.384984488845497</v>
      </c>
      <c r="O976">
        <v>47.9131407055674</v>
      </c>
      <c r="P976">
        <v>-0.13444553364059</v>
      </c>
      <c r="Q976">
        <v>5.7533412962971202E-2</v>
      </c>
      <c r="R976">
        <v>0.99327728506077595</v>
      </c>
      <c r="S976" t="s">
        <v>4808</v>
      </c>
      <c r="T976" t="s">
        <v>7662</v>
      </c>
      <c r="U976" t="s">
        <v>7662</v>
      </c>
      <c r="V976" t="s">
        <v>7662</v>
      </c>
      <c r="W976">
        <v>23</v>
      </c>
      <c r="X976" t="s">
        <v>8638</v>
      </c>
      <c r="Y976">
        <v>0.32105411884789609</v>
      </c>
      <c r="Z976" t="str">
        <f>HYPERLINK("Melting_Curves/meltCurve_sp_P42224_2_STAT1_HUMAN_.pdf", "Melting_Curves/meltCurve_sp_P42224_2_STAT1_HUMAN_.pdf")</f>
        <v>Melting_Curves/meltCurve_sp_P42224_2_STAT1_HUMAN_.pdf</v>
      </c>
      <c r="AA976" t="s">
        <v>12450</v>
      </c>
      <c r="AB976" t="s">
        <v>16217</v>
      </c>
    </row>
    <row r="977" spans="1:28" x14ac:dyDescent="0.25">
      <c r="A977" t="s">
        <v>981</v>
      </c>
      <c r="B977">
        <v>0.98876768158843997</v>
      </c>
      <c r="C977">
        <v>1.1275575898154599</v>
      </c>
      <c r="D977">
        <v>0.62906724552675497</v>
      </c>
      <c r="E977">
        <v>0.49494417180741201</v>
      </c>
      <c r="F977">
        <v>0.25840310967791602</v>
      </c>
      <c r="G977">
        <v>0.13896546727570899</v>
      </c>
      <c r="H977">
        <v>7.5839627095674794E-2</v>
      </c>
      <c r="I977">
        <v>6.3594613741924294E-2</v>
      </c>
      <c r="J977">
        <v>9.1601954580103104E-2</v>
      </c>
      <c r="K977">
        <v>5.5946480988449197E-2</v>
      </c>
      <c r="L977">
        <v>871.82424960415506</v>
      </c>
      <c r="M977">
        <v>17.810395923998499</v>
      </c>
      <c r="N977">
        <v>49.324213440980799</v>
      </c>
      <c r="O977">
        <v>48.345708215102299</v>
      </c>
      <c r="P977">
        <v>-8.6287656757404005E-2</v>
      </c>
      <c r="Q977">
        <v>6.3148675765643397E-2</v>
      </c>
      <c r="R977">
        <v>0.95640984874123602</v>
      </c>
      <c r="S977" t="s">
        <v>4809</v>
      </c>
      <c r="T977" t="s">
        <v>7662</v>
      </c>
      <c r="U977" t="s">
        <v>7662</v>
      </c>
      <c r="V977" t="s">
        <v>7662</v>
      </c>
      <c r="W977">
        <v>6</v>
      </c>
      <c r="X977" t="s">
        <v>8639</v>
      </c>
      <c r="Y977">
        <v>0.35924146613115421</v>
      </c>
      <c r="Z977" t="str">
        <f>HYPERLINK("Melting_Curves/meltCurve_sp_P42226_3_STAT6_HUMAN_.pdf", "Melting_Curves/meltCurve_sp_P42226_3_STAT6_HUMAN_.pdf")</f>
        <v>Melting_Curves/meltCurve_sp_P42226_3_STAT6_HUMAN_.pdf</v>
      </c>
      <c r="AA977" t="s">
        <v>12451</v>
      </c>
      <c r="AB977" t="s">
        <v>16218</v>
      </c>
    </row>
    <row r="978" spans="1:28" x14ac:dyDescent="0.25">
      <c r="A978" t="s">
        <v>982</v>
      </c>
      <c r="B978">
        <v>0.98876768158843997</v>
      </c>
      <c r="C978">
        <v>1.2262745780961299</v>
      </c>
      <c r="D978">
        <v>0.88852232764323702</v>
      </c>
      <c r="E978">
        <v>0.79841985504267998</v>
      </c>
      <c r="F978">
        <v>1.06017535476132</v>
      </c>
      <c r="G978">
        <v>0.70332407590740798</v>
      </c>
      <c r="H978">
        <v>0.38627535483825998</v>
      </c>
      <c r="I978">
        <v>0.43542904615345102</v>
      </c>
      <c r="J978">
        <v>0.41510112479390199</v>
      </c>
      <c r="K978">
        <v>0.56177663768220099</v>
      </c>
      <c r="L978">
        <v>14241.0753617911</v>
      </c>
      <c r="M978">
        <v>250</v>
      </c>
      <c r="N978">
        <v>57.4921891780103</v>
      </c>
      <c r="O978">
        <v>56.960655759800702</v>
      </c>
      <c r="P978">
        <v>-0.603875665159193</v>
      </c>
      <c r="Q978">
        <v>0.44964553510628602</v>
      </c>
      <c r="R978">
        <v>0.83898024809626603</v>
      </c>
      <c r="S978" t="s">
        <v>4810</v>
      </c>
      <c r="T978" t="s">
        <v>7662</v>
      </c>
      <c r="U978" t="s">
        <v>7662</v>
      </c>
      <c r="V978" t="s">
        <v>7662</v>
      </c>
      <c r="W978">
        <v>3</v>
      </c>
      <c r="X978" t="s">
        <v>8640</v>
      </c>
      <c r="Y978">
        <v>0.76091318968868427</v>
      </c>
      <c r="Z978" t="str">
        <f>HYPERLINK("Melting_Curves/meltCurve_sp_P42285_SK2L2_HUMAN_.pdf", "Melting_Curves/meltCurve_sp_P42285_SK2L2_HUMAN_.pdf")</f>
        <v>Melting_Curves/meltCurve_sp_P42285_SK2L2_HUMAN_.pdf</v>
      </c>
      <c r="AA978" t="s">
        <v>12452</v>
      </c>
      <c r="AB978" t="s">
        <v>16219</v>
      </c>
    </row>
    <row r="979" spans="1:28" x14ac:dyDescent="0.25">
      <c r="A979" t="s">
        <v>983</v>
      </c>
      <c r="B979">
        <v>0.98876768158843997</v>
      </c>
      <c r="C979">
        <v>1.0924824935286701</v>
      </c>
      <c r="D979">
        <v>0.86371101116914395</v>
      </c>
      <c r="E979">
        <v>0.690221921511745</v>
      </c>
      <c r="F979">
        <v>0.35107880060506202</v>
      </c>
      <c r="G979">
        <v>0.21813017917376301</v>
      </c>
      <c r="H979">
        <v>0.147809643397631</v>
      </c>
      <c r="I979">
        <v>0.107433089173326</v>
      </c>
      <c r="J979">
        <v>0.139959530939402</v>
      </c>
      <c r="K979">
        <v>7.7460055616411602E-2</v>
      </c>
      <c r="L979">
        <v>1103.51966141151</v>
      </c>
      <c r="M979">
        <v>21.611483144998299</v>
      </c>
      <c r="N979">
        <v>51.648627630337401</v>
      </c>
      <c r="O979">
        <v>50.630556313682597</v>
      </c>
      <c r="P979">
        <v>-9.5095831408812698E-2</v>
      </c>
      <c r="Q979">
        <v>0.108873743832371</v>
      </c>
      <c r="R979">
        <v>0.98574394921017805</v>
      </c>
      <c r="S979" t="s">
        <v>4811</v>
      </c>
      <c r="T979" t="s">
        <v>7662</v>
      </c>
      <c r="U979" t="s">
        <v>7662</v>
      </c>
      <c r="V979" t="s">
        <v>7662</v>
      </c>
      <c r="W979">
        <v>25</v>
      </c>
      <c r="X979" t="s">
        <v>8641</v>
      </c>
      <c r="Y979">
        <v>0.44813820033488683</v>
      </c>
      <c r="Z979" t="str">
        <f>HYPERLINK("Melting_Curves/meltCurve_sp_P42330_AK1C3_HUMAN_.pdf", "Melting_Curves/meltCurve_sp_P42330_AK1C3_HUMAN_.pdf")</f>
        <v>Melting_Curves/meltCurve_sp_P42330_AK1C3_HUMAN_.pdf</v>
      </c>
      <c r="AA979" t="s">
        <v>12453</v>
      </c>
      <c r="AB979" t="s">
        <v>16220</v>
      </c>
    </row>
    <row r="980" spans="1:28" x14ac:dyDescent="0.25">
      <c r="A980" t="s">
        <v>984</v>
      </c>
      <c r="B980">
        <v>0.98876768158843997</v>
      </c>
      <c r="C980">
        <v>0.99658285161925597</v>
      </c>
      <c r="D980">
        <v>1.07446224509647</v>
      </c>
      <c r="E980">
        <v>0.88891511552498603</v>
      </c>
      <c r="F980">
        <v>0.438476267962703</v>
      </c>
      <c r="G980">
        <v>0.17609838671428299</v>
      </c>
      <c r="H980">
        <v>0.116404077648676</v>
      </c>
      <c r="I980">
        <v>0.15022841590297101</v>
      </c>
      <c r="J980">
        <v>0.15198487896090099</v>
      </c>
      <c r="K980">
        <v>0.18633057990131999</v>
      </c>
      <c r="L980">
        <v>2314.8918520781299</v>
      </c>
      <c r="M980">
        <v>44.356786467674297</v>
      </c>
      <c r="N980">
        <v>52.618005926391099</v>
      </c>
      <c r="O980">
        <v>52.082256910265798</v>
      </c>
      <c r="P980">
        <v>-0.18054719269609701</v>
      </c>
      <c r="Q980">
        <v>0.152031238126666</v>
      </c>
      <c r="R980">
        <v>0.99449084140313504</v>
      </c>
      <c r="S980" t="s">
        <v>4812</v>
      </c>
      <c r="T980" t="s">
        <v>7662</v>
      </c>
      <c r="U980" t="s">
        <v>7662</v>
      </c>
      <c r="V980" t="s">
        <v>7662</v>
      </c>
      <c r="W980">
        <v>3</v>
      </c>
      <c r="X980" t="s">
        <v>8642</v>
      </c>
      <c r="Y980">
        <v>0.49901597100379619</v>
      </c>
      <c r="Z980" t="str">
        <f>HYPERLINK("Melting_Curves/meltCurve_sp_P42336_PK3CA_HUMAN_.pdf", "Melting_Curves/meltCurve_sp_P42336_PK3CA_HUMAN_.pdf")</f>
        <v>Melting_Curves/meltCurve_sp_P42336_PK3CA_HUMAN_.pdf</v>
      </c>
      <c r="AA980" t="s">
        <v>12454</v>
      </c>
      <c r="AB980" t="s">
        <v>16221</v>
      </c>
    </row>
    <row r="981" spans="1:28" x14ac:dyDescent="0.25">
      <c r="A981" t="s">
        <v>985</v>
      </c>
      <c r="B981">
        <v>0.98876768158843997</v>
      </c>
      <c r="C981">
        <v>0.92810631886421102</v>
      </c>
      <c r="D981">
        <v>0.98736304160037902</v>
      </c>
      <c r="E981">
        <v>0.75838440859910305</v>
      </c>
      <c r="F981">
        <v>0.26251751862464201</v>
      </c>
      <c r="G981">
        <v>0.17121136973488499</v>
      </c>
      <c r="H981">
        <v>9.7170732606651794E-2</v>
      </c>
      <c r="I981">
        <v>7.2034909447440204E-2</v>
      </c>
      <c r="J981">
        <v>0.154277899908076</v>
      </c>
      <c r="K981">
        <v>5.7766282574351298E-2</v>
      </c>
      <c r="L981">
        <v>2156.0575613394899</v>
      </c>
      <c r="M981">
        <v>42.155239761043099</v>
      </c>
      <c r="N981">
        <v>51.4375170336792</v>
      </c>
      <c r="O981">
        <v>51.030965975622998</v>
      </c>
      <c r="P981">
        <v>-0.18455077253957999</v>
      </c>
      <c r="Q981">
        <v>0.10637079002828401</v>
      </c>
      <c r="R981">
        <v>0.99069114741481101</v>
      </c>
      <c r="S981" t="s">
        <v>4813</v>
      </c>
      <c r="T981" t="s">
        <v>7662</v>
      </c>
      <c r="U981" t="s">
        <v>7662</v>
      </c>
      <c r="V981" t="s">
        <v>7662</v>
      </c>
      <c r="W981">
        <v>5</v>
      </c>
      <c r="X981" t="s">
        <v>8643</v>
      </c>
      <c r="Y981">
        <v>0.44121581118014641</v>
      </c>
      <c r="Z981" t="str">
        <f>HYPERLINK("Melting_Curves/meltCurve_sp_P42338_PK3CB_HUMAN_.pdf", "Melting_Curves/meltCurve_sp_P42338_PK3CB_HUMAN_.pdf")</f>
        <v>Melting_Curves/meltCurve_sp_P42338_PK3CB_HUMAN_.pdf</v>
      </c>
      <c r="AA981" t="s">
        <v>12455</v>
      </c>
      <c r="AB981" t="s">
        <v>16222</v>
      </c>
    </row>
    <row r="982" spans="1:28" x14ac:dyDescent="0.25">
      <c r="A982" t="s">
        <v>986</v>
      </c>
      <c r="B982">
        <v>0.98876768158843997</v>
      </c>
      <c r="C982">
        <v>0.88665205811410497</v>
      </c>
      <c r="D982">
        <v>1.1040323254688</v>
      </c>
      <c r="E982">
        <v>1.0158910811458399</v>
      </c>
      <c r="F982">
        <v>0.66295709051006702</v>
      </c>
      <c r="G982">
        <v>0.432514129072683</v>
      </c>
      <c r="H982">
        <v>6.8933051983303698E-2</v>
      </c>
      <c r="I982">
        <v>5.0500005925227701E-2</v>
      </c>
      <c r="J982">
        <v>6.06796448951889E-2</v>
      </c>
      <c r="K982">
        <v>4.2069317746817103E-2</v>
      </c>
      <c r="L982">
        <v>1305.81222742809</v>
      </c>
      <c r="M982">
        <v>23.546953072915802</v>
      </c>
      <c r="N982">
        <v>55.566753194209397</v>
      </c>
      <c r="O982">
        <v>55.060375340281198</v>
      </c>
      <c r="P982">
        <v>-0.104458189957308</v>
      </c>
      <c r="Q982">
        <v>2.29892523031743E-2</v>
      </c>
      <c r="R982">
        <v>0.97269378657606198</v>
      </c>
      <c r="S982" t="s">
        <v>4814</v>
      </c>
      <c r="T982" t="s">
        <v>7662</v>
      </c>
      <c r="U982" t="s">
        <v>7662</v>
      </c>
      <c r="V982" t="s">
        <v>7662</v>
      </c>
      <c r="W982">
        <v>25</v>
      </c>
      <c r="X982" t="s">
        <v>8644</v>
      </c>
      <c r="Y982">
        <v>0.53630669860722624</v>
      </c>
      <c r="Z982" t="str">
        <f>HYPERLINK("Melting_Curves/meltCurve_sp_P42357_HUTH_HUMAN_.pdf", "Melting_Curves/meltCurve_sp_P42357_HUTH_HUMAN_.pdf")</f>
        <v>Melting_Curves/meltCurve_sp_P42357_HUTH_HUMAN_.pdf</v>
      </c>
      <c r="AA982" t="s">
        <v>12456</v>
      </c>
      <c r="AB982" t="s">
        <v>16223</v>
      </c>
    </row>
    <row r="983" spans="1:28" x14ac:dyDescent="0.25">
      <c r="A983" t="s">
        <v>987</v>
      </c>
      <c r="B983">
        <v>0.98876768158843997</v>
      </c>
      <c r="C983">
        <v>1.01507058387779</v>
      </c>
      <c r="D983">
        <v>0.96217791911555095</v>
      </c>
      <c r="E983">
        <v>0.77109765760724702</v>
      </c>
      <c r="F983">
        <v>0.71492676123630206</v>
      </c>
      <c r="G983">
        <v>0.544941331544886</v>
      </c>
      <c r="H983">
        <v>0.40605688610652801</v>
      </c>
      <c r="I983">
        <v>0.37019784441789499</v>
      </c>
      <c r="J983">
        <v>0.34266745128072501</v>
      </c>
      <c r="K983">
        <v>0.296675053038644</v>
      </c>
      <c r="L983">
        <v>687.18086208970999</v>
      </c>
      <c r="M983">
        <v>12.6155803586038</v>
      </c>
      <c r="N983">
        <v>57.9894815811097</v>
      </c>
      <c r="O983">
        <v>53.156504441473999</v>
      </c>
      <c r="P983">
        <v>-4.3472710711558102E-2</v>
      </c>
      <c r="Q983">
        <v>0.26744594866849702</v>
      </c>
      <c r="R983">
        <v>0.99225041560635396</v>
      </c>
      <c r="S983" t="s">
        <v>4815</v>
      </c>
      <c r="T983" t="s">
        <v>7662</v>
      </c>
      <c r="U983" t="s">
        <v>7662</v>
      </c>
      <c r="V983" t="s">
        <v>7662</v>
      </c>
      <c r="W983">
        <v>16</v>
      </c>
      <c r="X983" t="s">
        <v>8645</v>
      </c>
      <c r="Y983">
        <v>0.63828008469327357</v>
      </c>
      <c r="Z983" t="str">
        <f>HYPERLINK("Melting_Curves/meltCurve_sp_P42566_EPS15_HUMAN_.pdf", "Melting_Curves/meltCurve_sp_P42566_EPS15_HUMAN_.pdf")</f>
        <v>Melting_Curves/meltCurve_sp_P42566_EPS15_HUMAN_.pdf</v>
      </c>
      <c r="AA983" t="s">
        <v>12457</v>
      </c>
      <c r="AB983" t="s">
        <v>16224</v>
      </c>
    </row>
    <row r="984" spans="1:28" x14ac:dyDescent="0.25">
      <c r="A984" t="s">
        <v>988</v>
      </c>
      <c r="B984">
        <v>0.98876768158843997</v>
      </c>
      <c r="C984">
        <v>1.1605882377094601</v>
      </c>
      <c r="D984">
        <v>0.89280324490738705</v>
      </c>
      <c r="E984">
        <v>0.82556540196335704</v>
      </c>
      <c r="F984">
        <v>0.903987396660209</v>
      </c>
      <c r="G984">
        <v>0.65750187278296401</v>
      </c>
      <c r="H984">
        <v>0.54827036728269696</v>
      </c>
      <c r="I984">
        <v>0.60291120910894203</v>
      </c>
      <c r="J984">
        <v>0.66002451402095497</v>
      </c>
      <c r="K984">
        <v>0.73877517513746405</v>
      </c>
      <c r="L984">
        <v>1008.13081915006</v>
      </c>
      <c r="M984">
        <v>19.282117651477101</v>
      </c>
      <c r="O984">
        <v>51.730619897156203</v>
      </c>
      <c r="P984">
        <v>-3.4332589486603803E-2</v>
      </c>
      <c r="Q984">
        <v>0.63158019840991397</v>
      </c>
      <c r="R984">
        <v>0.76833885726029605</v>
      </c>
      <c r="S984" t="s">
        <v>4816</v>
      </c>
      <c r="T984" t="s">
        <v>7662</v>
      </c>
      <c r="U984" t="s">
        <v>7662</v>
      </c>
      <c r="V984" t="s">
        <v>7662</v>
      </c>
      <c r="W984">
        <v>5</v>
      </c>
      <c r="X984" t="s">
        <v>8646</v>
      </c>
      <c r="Y984">
        <v>0.78785486610823652</v>
      </c>
      <c r="Z984" t="str">
        <f>HYPERLINK("Melting_Curves/meltCurve_sp_P42574_CASP3_HUMAN_.pdf", "Melting_Curves/meltCurve_sp_P42574_CASP3_HUMAN_.pdf")</f>
        <v>Melting_Curves/meltCurve_sp_P42574_CASP3_HUMAN_.pdf</v>
      </c>
      <c r="AA984" t="s">
        <v>12458</v>
      </c>
      <c r="AB984" t="s">
        <v>16225</v>
      </c>
    </row>
    <row r="985" spans="1:28" x14ac:dyDescent="0.25">
      <c r="A985" t="s">
        <v>989</v>
      </c>
      <c r="B985">
        <v>0.98876768158843997</v>
      </c>
      <c r="C985">
        <v>0.79064155328555397</v>
      </c>
      <c r="D985">
        <v>1.0574410795193201</v>
      </c>
      <c r="E985">
        <v>0.412122334187559</v>
      </c>
      <c r="F985">
        <v>0.123823582325278</v>
      </c>
      <c r="G985">
        <v>6.5220425224272599E-2</v>
      </c>
      <c r="H985">
        <v>4.2552069657983201E-2</v>
      </c>
      <c r="I985">
        <v>3.7795517715206298E-2</v>
      </c>
      <c r="J985">
        <v>5.37468771755421E-2</v>
      </c>
      <c r="K985">
        <v>3.7915310520360103E-2</v>
      </c>
      <c r="L985">
        <v>2831.1605122985502</v>
      </c>
      <c r="M985">
        <v>57.0876895194179</v>
      </c>
      <c r="N985">
        <v>49.695234119985997</v>
      </c>
      <c r="O985">
        <v>49.532443055356403</v>
      </c>
      <c r="P985">
        <v>-0.27219715531800698</v>
      </c>
      <c r="Q985">
        <v>5.5307129220126101E-2</v>
      </c>
      <c r="R985">
        <v>0.96809855413557999</v>
      </c>
      <c r="S985" t="s">
        <v>4817</v>
      </c>
      <c r="T985" t="s">
        <v>7662</v>
      </c>
      <c r="U985" t="s">
        <v>7662</v>
      </c>
      <c r="V985" t="s">
        <v>7662</v>
      </c>
      <c r="W985">
        <v>61</v>
      </c>
      <c r="X985" t="s">
        <v>8647</v>
      </c>
      <c r="Y985">
        <v>0.35897756855599222</v>
      </c>
      <c r="Z985" t="str">
        <f>HYPERLINK("Melting_Curves/meltCurve_sp_P42704_LPPRC_HUMAN_.pdf", "Melting_Curves/meltCurve_sp_P42704_LPPRC_HUMAN_.pdf")</f>
        <v>Melting_Curves/meltCurve_sp_P42704_LPPRC_HUMAN_.pdf</v>
      </c>
      <c r="AA985" t="s">
        <v>12459</v>
      </c>
      <c r="AB985" t="s">
        <v>16226</v>
      </c>
    </row>
    <row r="986" spans="1:28" x14ac:dyDescent="0.25">
      <c r="A986" t="s">
        <v>990</v>
      </c>
      <c r="B986">
        <v>0.98876768158843997</v>
      </c>
      <c r="C986">
        <v>0.784370586118872</v>
      </c>
      <c r="D986">
        <v>1.00571621159891</v>
      </c>
      <c r="E986">
        <v>1.07381276761866</v>
      </c>
      <c r="F986">
        <v>0.69332782197491505</v>
      </c>
      <c r="G986">
        <v>0.57490648850995396</v>
      </c>
      <c r="H986">
        <v>0.62588176536931495</v>
      </c>
      <c r="I986">
        <v>0.71057619096019198</v>
      </c>
      <c r="J986">
        <v>0.37880126648956303</v>
      </c>
      <c r="K986">
        <v>7.1457686158749797E-2</v>
      </c>
      <c r="L986">
        <v>552.65568024126003</v>
      </c>
      <c r="M986">
        <v>8.7939797828026496</v>
      </c>
      <c r="N986">
        <v>62.844767512712998</v>
      </c>
      <c r="O986">
        <v>59.849265599112698</v>
      </c>
      <c r="P986">
        <v>-3.6762984577715402E-2</v>
      </c>
      <c r="Q986">
        <v>0</v>
      </c>
      <c r="R986">
        <v>0.73542847884843698</v>
      </c>
      <c r="S986" t="s">
        <v>4818</v>
      </c>
      <c r="T986" t="s">
        <v>7662</v>
      </c>
      <c r="U986" t="s">
        <v>7662</v>
      </c>
      <c r="V986" t="s">
        <v>7662</v>
      </c>
      <c r="W986">
        <v>32</v>
      </c>
      <c r="X986" t="s">
        <v>8648</v>
      </c>
      <c r="Y986">
        <v>0.72237987281266891</v>
      </c>
      <c r="Z986" t="str">
        <f>HYPERLINK("Melting_Curves/meltCurve_sp_P42765_THIM_HUMAN_.pdf", "Melting_Curves/meltCurve_sp_P42765_THIM_HUMAN_.pdf")</f>
        <v>Melting_Curves/meltCurve_sp_P42765_THIM_HUMAN_.pdf</v>
      </c>
      <c r="AA986" t="s">
        <v>12460</v>
      </c>
      <c r="AB986" t="s">
        <v>16227</v>
      </c>
    </row>
    <row r="987" spans="1:28" x14ac:dyDescent="0.25">
      <c r="A987" t="s">
        <v>991</v>
      </c>
      <c r="B987">
        <v>0.98876768158843997</v>
      </c>
      <c r="C987">
        <v>1.0154032109547499</v>
      </c>
      <c r="D987">
        <v>0.81571365761373504</v>
      </c>
      <c r="E987">
        <v>0.61252489197876603</v>
      </c>
      <c r="F987">
        <v>0.72731223275898405</v>
      </c>
      <c r="G987">
        <v>0.47185262355591201</v>
      </c>
      <c r="H987">
        <v>0.34997583928258003</v>
      </c>
      <c r="I987">
        <v>0.24357143071192799</v>
      </c>
      <c r="J987">
        <v>0.29450688370489397</v>
      </c>
      <c r="K987">
        <v>0.61368024384645903</v>
      </c>
      <c r="L987">
        <v>699.46066756424898</v>
      </c>
      <c r="M987">
        <v>13.8942750924721</v>
      </c>
      <c r="N987">
        <v>55.550432289787999</v>
      </c>
      <c r="O987">
        <v>49.333209606491003</v>
      </c>
      <c r="P987">
        <v>-4.47787619018747E-2</v>
      </c>
      <c r="Q987">
        <v>0.36411816999260399</v>
      </c>
      <c r="R987">
        <v>0.81193982773416096</v>
      </c>
      <c r="S987" t="s">
        <v>4819</v>
      </c>
      <c r="T987" t="s">
        <v>7662</v>
      </c>
      <c r="U987" t="s">
        <v>7662</v>
      </c>
      <c r="V987" t="s">
        <v>7662</v>
      </c>
      <c r="W987">
        <v>2</v>
      </c>
      <c r="X987" t="s">
        <v>8649</v>
      </c>
      <c r="Y987">
        <v>0.6004024927147541</v>
      </c>
      <c r="Z987" t="str">
        <f>HYPERLINK("Melting_Curves/meltCurve_sp_P42768_WASP_HUMAN_.pdf", "Melting_Curves/meltCurve_sp_P42768_WASP_HUMAN_.pdf")</f>
        <v>Melting_Curves/meltCurve_sp_P42768_WASP_HUMAN_.pdf</v>
      </c>
      <c r="AA987" t="s">
        <v>12461</v>
      </c>
      <c r="AB987" t="s">
        <v>16228</v>
      </c>
    </row>
    <row r="988" spans="1:28" x14ac:dyDescent="0.25">
      <c r="A988" t="s">
        <v>992</v>
      </c>
      <c r="B988">
        <v>0.98876768158843997</v>
      </c>
      <c r="C988">
        <v>1.12930011719876</v>
      </c>
      <c r="D988">
        <v>0.97126079916777597</v>
      </c>
      <c r="E988">
        <v>0.82528900588532195</v>
      </c>
      <c r="F988">
        <v>0.76453166399670303</v>
      </c>
      <c r="G988">
        <v>0.53984593302269002</v>
      </c>
      <c r="H988">
        <v>0.38952481388802102</v>
      </c>
      <c r="I988">
        <v>0.39585354669780998</v>
      </c>
      <c r="J988">
        <v>0.51926385566661304</v>
      </c>
      <c r="K988">
        <v>0.521107219780506</v>
      </c>
      <c r="L988">
        <v>1216.71111225031</v>
      </c>
      <c r="M988">
        <v>23.049119038475201</v>
      </c>
      <c r="N988">
        <v>58.770287092257298</v>
      </c>
      <c r="O988">
        <v>52.395206109288999</v>
      </c>
      <c r="P988">
        <v>-6.0253429196936402E-2</v>
      </c>
      <c r="Q988">
        <v>0.452138243740699</v>
      </c>
      <c r="R988">
        <v>0.93182335866352395</v>
      </c>
      <c r="S988" t="s">
        <v>4820</v>
      </c>
      <c r="T988" t="s">
        <v>7662</v>
      </c>
      <c r="U988" t="s">
        <v>7662</v>
      </c>
      <c r="V988" t="s">
        <v>7662</v>
      </c>
      <c r="W988">
        <v>5</v>
      </c>
      <c r="X988" t="s">
        <v>8650</v>
      </c>
      <c r="Y988">
        <v>0.69152865198938818</v>
      </c>
      <c r="Z988" t="str">
        <f>HYPERLINK("Melting_Curves/meltCurve_sp_P42773_CDN2C_HUMAN_.pdf", "Melting_Curves/meltCurve_sp_P42773_CDN2C_HUMAN_.pdf")</f>
        <v>Melting_Curves/meltCurve_sp_P42773_CDN2C_HUMAN_.pdf</v>
      </c>
      <c r="AA988" t="s">
        <v>12462</v>
      </c>
      <c r="AB988" t="s">
        <v>16229</v>
      </c>
    </row>
    <row r="989" spans="1:28" x14ac:dyDescent="0.25">
      <c r="A989" t="s">
        <v>993</v>
      </c>
      <c r="B989">
        <v>0.98876768158843997</v>
      </c>
      <c r="C989">
        <v>0.98854526300436296</v>
      </c>
      <c r="D989">
        <v>0.93516950631524098</v>
      </c>
      <c r="E989">
        <v>0.84176648421297595</v>
      </c>
      <c r="F989">
        <v>0.57835273184861802</v>
      </c>
      <c r="G989">
        <v>0.39052969074917199</v>
      </c>
      <c r="H989">
        <v>0.199939931248518</v>
      </c>
      <c r="I989">
        <v>0.116622678260766</v>
      </c>
      <c r="J989">
        <v>0.18966003299252801</v>
      </c>
      <c r="K989">
        <v>0.104901440344213</v>
      </c>
      <c r="L989">
        <v>914.74780445647002</v>
      </c>
      <c r="M989">
        <v>16.979335284027599</v>
      </c>
      <c r="N989">
        <v>54.620051303017199</v>
      </c>
      <c r="O989">
        <v>53.143536945237997</v>
      </c>
      <c r="P989">
        <v>-7.1614468804740206E-2</v>
      </c>
      <c r="Q989">
        <v>0.10347254334711301</v>
      </c>
      <c r="R989">
        <v>0.99282274551984195</v>
      </c>
      <c r="S989" t="s">
        <v>4821</v>
      </c>
      <c r="T989" t="s">
        <v>7662</v>
      </c>
      <c r="U989" t="s">
        <v>7662</v>
      </c>
      <c r="V989" t="s">
        <v>7662</v>
      </c>
      <c r="W989">
        <v>3</v>
      </c>
      <c r="X989" t="s">
        <v>8651</v>
      </c>
      <c r="Y989">
        <v>0.53376873240734279</v>
      </c>
      <c r="Z989" t="str">
        <f>HYPERLINK("Melting_Curves/meltCurve_sp_P42785_PCP_HUMAN_.pdf", "Melting_Curves/meltCurve_sp_P42785_PCP_HUMAN_.pdf")</f>
        <v>Melting_Curves/meltCurve_sp_P42785_PCP_HUMAN_.pdf</v>
      </c>
      <c r="AA989" t="s">
        <v>12463</v>
      </c>
      <c r="AB989" t="s">
        <v>16230</v>
      </c>
    </row>
    <row r="990" spans="1:28" x14ac:dyDescent="0.25">
      <c r="A990" t="s">
        <v>994</v>
      </c>
      <c r="B990">
        <v>0.98876768158843997</v>
      </c>
      <c r="C990">
        <v>0.89858773999529695</v>
      </c>
      <c r="D990">
        <v>0.98677426636471999</v>
      </c>
      <c r="E990">
        <v>0.624165388590734</v>
      </c>
      <c r="F990">
        <v>0.20575549017749001</v>
      </c>
      <c r="G990">
        <v>0.10936084500963</v>
      </c>
      <c r="H990">
        <v>5.7172212797712098E-2</v>
      </c>
      <c r="I990">
        <v>4.4654296127510498E-2</v>
      </c>
      <c r="J990">
        <v>4.3872222879379301E-2</v>
      </c>
      <c r="K990">
        <v>3.09556487102783E-2</v>
      </c>
      <c r="L990">
        <v>1736.7402900792399</v>
      </c>
      <c r="M990">
        <v>34.321297508886097</v>
      </c>
      <c r="N990">
        <v>50.760807886345397</v>
      </c>
      <c r="O990">
        <v>50.431530178680298</v>
      </c>
      <c r="P990">
        <v>-0.16149949849956</v>
      </c>
      <c r="Q990">
        <v>5.0777414109837403E-2</v>
      </c>
      <c r="R990">
        <v>0.99233057297566896</v>
      </c>
      <c r="S990" t="s">
        <v>4822</v>
      </c>
      <c r="T990" t="s">
        <v>7662</v>
      </c>
      <c r="U990" t="s">
        <v>7662</v>
      </c>
      <c r="V990" t="s">
        <v>7662</v>
      </c>
      <c r="W990">
        <v>7</v>
      </c>
      <c r="X990" t="s">
        <v>8652</v>
      </c>
      <c r="Y990">
        <v>0.39076705749541041</v>
      </c>
      <c r="Z990" t="str">
        <f>HYPERLINK("Melting_Curves/meltCurve_sp_P42858_HD_HUMAN_.pdf", "Melting_Curves/meltCurve_sp_P42858_HD_HUMAN_.pdf")</f>
        <v>Melting_Curves/meltCurve_sp_P42858_HD_HUMAN_.pdf</v>
      </c>
      <c r="AA990" t="s">
        <v>12464</v>
      </c>
      <c r="AB990" t="s">
        <v>16231</v>
      </c>
    </row>
    <row r="991" spans="1:28" x14ac:dyDescent="0.25">
      <c r="A991" t="s">
        <v>995</v>
      </c>
      <c r="B991">
        <v>0.98876768158843997</v>
      </c>
      <c r="C991">
        <v>0.92984898743524103</v>
      </c>
      <c r="D991">
        <v>0.98204996316529303</v>
      </c>
      <c r="E991">
        <v>0.61103160446017302</v>
      </c>
      <c r="F991">
        <v>0.262589675875256</v>
      </c>
      <c r="G991">
        <v>0.177591275704614</v>
      </c>
      <c r="H991">
        <v>0.112534951429217</v>
      </c>
      <c r="I991">
        <v>7.9293706156734006E-2</v>
      </c>
      <c r="J991">
        <v>0.108651970408909</v>
      </c>
      <c r="K991">
        <v>9.2842671507571597E-2</v>
      </c>
      <c r="L991">
        <v>1535.3535638866999</v>
      </c>
      <c r="M991">
        <v>30.434257345831</v>
      </c>
      <c r="N991">
        <v>50.844402661606303</v>
      </c>
      <c r="O991">
        <v>50.231895884091301</v>
      </c>
      <c r="P991">
        <v>-0.13547880265214199</v>
      </c>
      <c r="Q991">
        <v>0.10557170431325</v>
      </c>
      <c r="R991">
        <v>0.99416799508547404</v>
      </c>
      <c r="S991" t="s">
        <v>4823</v>
      </c>
      <c r="T991" t="s">
        <v>7662</v>
      </c>
      <c r="U991" t="s">
        <v>7662</v>
      </c>
      <c r="V991" t="s">
        <v>7662</v>
      </c>
      <c r="W991">
        <v>2</v>
      </c>
      <c r="X991" t="s">
        <v>8653</v>
      </c>
      <c r="Y991">
        <v>0.42249110789264982</v>
      </c>
      <c r="Z991" t="str">
        <f>HYPERLINK("Melting_Curves/meltCurve_sp_P42898_MTHR_HUMAN_.pdf", "Melting_Curves/meltCurve_sp_P42898_MTHR_HUMAN_.pdf")</f>
        <v>Melting_Curves/meltCurve_sp_P42898_MTHR_HUMAN_.pdf</v>
      </c>
      <c r="AA991" t="s">
        <v>12465</v>
      </c>
      <c r="AB991" t="s">
        <v>16232</v>
      </c>
    </row>
    <row r="992" spans="1:28" x14ac:dyDescent="0.25">
      <c r="A992" t="s">
        <v>996</v>
      </c>
      <c r="B992">
        <v>0.98876768158843997</v>
      </c>
      <c r="C992">
        <v>0.92206535526254396</v>
      </c>
      <c r="D992">
        <v>0.96217864431304201</v>
      </c>
      <c r="E992">
        <v>0.82711215734566201</v>
      </c>
      <c r="F992">
        <v>0.78157498726379004</v>
      </c>
      <c r="G992">
        <v>0.56218884621210397</v>
      </c>
      <c r="H992">
        <v>0.37010534135716699</v>
      </c>
      <c r="I992">
        <v>0.21705140543804399</v>
      </c>
      <c r="J992">
        <v>6.9565807957578593E-2</v>
      </c>
      <c r="K992">
        <v>6.5938000454720896E-2</v>
      </c>
      <c r="L992">
        <v>767.62995411928102</v>
      </c>
      <c r="M992">
        <v>13.2937274625461</v>
      </c>
      <c r="N992">
        <v>57.743771007489201</v>
      </c>
      <c r="O992">
        <v>56.484064643293699</v>
      </c>
      <c r="P992">
        <v>-5.8847952259855403E-2</v>
      </c>
      <c r="Q992">
        <v>0</v>
      </c>
      <c r="R992">
        <v>0.98730736357690796</v>
      </c>
      <c r="S992" t="s">
        <v>4824</v>
      </c>
      <c r="T992" t="s">
        <v>7662</v>
      </c>
      <c r="U992" t="s">
        <v>7662</v>
      </c>
      <c r="V992" t="s">
        <v>7662</v>
      </c>
      <c r="W992">
        <v>20</v>
      </c>
      <c r="X992" t="s">
        <v>8654</v>
      </c>
      <c r="Y992">
        <v>0.60572180617998639</v>
      </c>
      <c r="Z992" t="str">
        <f>HYPERLINK("Melting_Curves/meltCurve_sp_P43034_LIS1_HUMAN_.pdf", "Melting_Curves/meltCurve_sp_P43034_LIS1_HUMAN_.pdf")</f>
        <v>Melting_Curves/meltCurve_sp_P43034_LIS1_HUMAN_.pdf</v>
      </c>
      <c r="AA992" t="s">
        <v>12466</v>
      </c>
      <c r="AB992" t="s">
        <v>16233</v>
      </c>
    </row>
    <row r="993" spans="1:28" x14ac:dyDescent="0.25">
      <c r="A993" t="s">
        <v>997</v>
      </c>
      <c r="B993">
        <v>0.98876768158843997</v>
      </c>
      <c r="C993">
        <v>0.94169425264195095</v>
      </c>
      <c r="D993">
        <v>0.70888655646757404</v>
      </c>
      <c r="E993">
        <v>0.30034147667531402</v>
      </c>
      <c r="F993">
        <v>0.16610984613544799</v>
      </c>
      <c r="G993">
        <v>9.15049564689559E-2</v>
      </c>
      <c r="H993">
        <v>5.5284775582466597E-2</v>
      </c>
      <c r="I993">
        <v>4.5551712062801897E-2</v>
      </c>
      <c r="J993">
        <v>4.1081098131226797E-2</v>
      </c>
      <c r="K993">
        <v>3.2665643795028898E-2</v>
      </c>
      <c r="L993">
        <v>1026.3898368360601</v>
      </c>
      <c r="M993">
        <v>21.4694048133825</v>
      </c>
      <c r="N993">
        <v>48.0194016183085</v>
      </c>
      <c r="O993">
        <v>47.398125290788201</v>
      </c>
      <c r="P993">
        <v>-0.108115030683956</v>
      </c>
      <c r="Q993">
        <v>4.5278844311219299E-2</v>
      </c>
      <c r="R993">
        <v>0.99904053317610098</v>
      </c>
      <c r="S993" t="s">
        <v>4825</v>
      </c>
      <c r="T993" t="s">
        <v>7662</v>
      </c>
      <c r="U993" t="s">
        <v>7662</v>
      </c>
      <c r="V993" t="s">
        <v>7662</v>
      </c>
      <c r="W993">
        <v>22</v>
      </c>
      <c r="X993" t="s">
        <v>8655</v>
      </c>
      <c r="Y993">
        <v>0.30543746854312692</v>
      </c>
      <c r="Z993" t="str">
        <f>HYPERLINK("Melting_Curves/meltCurve_sp_P43155_2_CACP_HUMAN_.pdf", "Melting_Curves/meltCurve_sp_P43155_2_CACP_HUMAN_.pdf")</f>
        <v>Melting_Curves/meltCurve_sp_P43155_2_CACP_HUMAN_.pdf</v>
      </c>
      <c r="AA993" t="s">
        <v>12467</v>
      </c>
      <c r="AB993" t="s">
        <v>16234</v>
      </c>
    </row>
    <row r="994" spans="1:28" x14ac:dyDescent="0.25">
      <c r="A994" t="s">
        <v>998</v>
      </c>
      <c r="B994">
        <v>0.98876768158843997</v>
      </c>
      <c r="C994">
        <v>1.0674833112958899</v>
      </c>
      <c r="D994">
        <v>0.85854438526129295</v>
      </c>
      <c r="E994">
        <v>0.68855784125518904</v>
      </c>
      <c r="F994">
        <v>0.68592122836328795</v>
      </c>
      <c r="G994">
        <v>0.557476188247371</v>
      </c>
      <c r="H994">
        <v>0.458335734581933</v>
      </c>
      <c r="I994">
        <v>0.61360623419523497</v>
      </c>
      <c r="J994">
        <v>0.76964228659648803</v>
      </c>
      <c r="K994">
        <v>0.90298325709022498</v>
      </c>
      <c r="L994">
        <v>11513.685331070499</v>
      </c>
      <c r="M994">
        <v>250</v>
      </c>
      <c r="O994">
        <v>46.051794014199203</v>
      </c>
      <c r="P994">
        <v>-0.45047826781695999</v>
      </c>
      <c r="Q994">
        <v>0.66807468122288105</v>
      </c>
      <c r="R994">
        <v>0.618639311537731</v>
      </c>
      <c r="S994" t="s">
        <v>4826</v>
      </c>
      <c r="T994" t="s">
        <v>7662</v>
      </c>
      <c r="U994" t="s">
        <v>7662</v>
      </c>
      <c r="V994" t="s">
        <v>7662</v>
      </c>
      <c r="W994">
        <v>10</v>
      </c>
      <c r="X994" t="s">
        <v>8656</v>
      </c>
      <c r="Y994">
        <v>0.73509224067686696</v>
      </c>
      <c r="Z994" t="str">
        <f>HYPERLINK("Melting_Curves/meltCurve_sp_P43243_MATR3_HUMAN_.pdf", "Melting_Curves/meltCurve_sp_P43243_MATR3_HUMAN_.pdf")</f>
        <v>Melting_Curves/meltCurve_sp_P43243_MATR3_HUMAN_.pdf</v>
      </c>
      <c r="AA994" t="s">
        <v>12468</v>
      </c>
      <c r="AB994" t="s">
        <v>16235</v>
      </c>
    </row>
    <row r="995" spans="1:28" x14ac:dyDescent="0.25">
      <c r="A995" t="s">
        <v>999</v>
      </c>
      <c r="B995">
        <v>0.98876768158843997</v>
      </c>
      <c r="C995">
        <v>0.71772042807329495</v>
      </c>
      <c r="D995">
        <v>0.59237642997872697</v>
      </c>
      <c r="E995">
        <v>0.33832742815807498</v>
      </c>
      <c r="F995">
        <v>0.19358056300519899</v>
      </c>
      <c r="G995">
        <v>0.11453767178355399</v>
      </c>
      <c r="H995">
        <v>0.100024796772878</v>
      </c>
      <c r="I995">
        <v>8.9346448057766606E-2</v>
      </c>
      <c r="J995">
        <v>7.16309879499505E-2</v>
      </c>
      <c r="K995">
        <v>7.1196127158876701E-2</v>
      </c>
      <c r="L995">
        <v>660.83422926755497</v>
      </c>
      <c r="M995">
        <v>14.186698928214801</v>
      </c>
      <c r="N995">
        <v>47.025284791872103</v>
      </c>
      <c r="O995">
        <v>45.685014247296998</v>
      </c>
      <c r="P995">
        <v>-7.27758614569083E-2</v>
      </c>
      <c r="Q995">
        <v>6.26858133764783E-2</v>
      </c>
      <c r="R995">
        <v>0.98870436234125603</v>
      </c>
      <c r="S995" t="s">
        <v>4827</v>
      </c>
      <c r="T995" t="s">
        <v>7662</v>
      </c>
      <c r="U995" t="s">
        <v>7662</v>
      </c>
      <c r="V995" t="s">
        <v>7662</v>
      </c>
      <c r="W995">
        <v>3</v>
      </c>
      <c r="X995" t="s">
        <v>8657</v>
      </c>
      <c r="Y995">
        <v>0.29767290336680519</v>
      </c>
      <c r="Z995" t="str">
        <f>HYPERLINK("Melting_Curves/meltCurve_sp_P43246_MSH2_HUMAN_.pdf", "Melting_Curves/meltCurve_sp_P43246_MSH2_HUMAN_.pdf")</f>
        <v>Melting_Curves/meltCurve_sp_P43246_MSH2_HUMAN_.pdf</v>
      </c>
      <c r="AA995" t="s">
        <v>12469</v>
      </c>
      <c r="AB995" t="s">
        <v>16236</v>
      </c>
    </row>
    <row r="996" spans="1:28" x14ac:dyDescent="0.25">
      <c r="A996" t="s">
        <v>1000</v>
      </c>
      <c r="B996">
        <v>0.98876768158843997</v>
      </c>
      <c r="C996">
        <v>1.15099615322242</v>
      </c>
      <c r="D996">
        <v>0.88128411267788898</v>
      </c>
      <c r="E996">
        <v>0.84003210957248697</v>
      </c>
      <c r="F996">
        <v>0.95890037699737796</v>
      </c>
      <c r="G996">
        <v>0.67377270913391496</v>
      </c>
      <c r="H996">
        <v>0.54294050388288695</v>
      </c>
      <c r="I996">
        <v>0.62845843490771702</v>
      </c>
      <c r="J996">
        <v>0.82731426553653098</v>
      </c>
      <c r="K996">
        <v>0.95069994186612305</v>
      </c>
      <c r="L996">
        <v>1053.6257850939401</v>
      </c>
      <c r="M996">
        <v>20.751883279894901</v>
      </c>
      <c r="O996">
        <v>50.308130415533</v>
      </c>
      <c r="P996">
        <v>-2.7334209755831701E-2</v>
      </c>
      <c r="Q996">
        <v>0.73494573778029704</v>
      </c>
      <c r="R996">
        <v>0.44569159527063901</v>
      </c>
      <c r="S996" t="s">
        <v>4828</v>
      </c>
      <c r="T996" t="s">
        <v>7662</v>
      </c>
      <c r="U996" t="s">
        <v>7662</v>
      </c>
      <c r="V996" t="s">
        <v>7662</v>
      </c>
      <c r="W996">
        <v>8</v>
      </c>
      <c r="X996" t="s">
        <v>8658</v>
      </c>
      <c r="Y996">
        <v>0.83355485545937669</v>
      </c>
      <c r="Z996" t="str">
        <f>HYPERLINK("Melting_Curves/meltCurve_sp_P43487_RANG_HUMAN_.pdf", "Melting_Curves/meltCurve_sp_P43487_RANG_HUMAN_.pdf")</f>
        <v>Melting_Curves/meltCurve_sp_P43487_RANG_HUMAN_.pdf</v>
      </c>
      <c r="AA996" t="s">
        <v>12470</v>
      </c>
      <c r="AB996" t="s">
        <v>16237</v>
      </c>
    </row>
    <row r="997" spans="1:28" x14ac:dyDescent="0.25">
      <c r="A997" t="s">
        <v>1001</v>
      </c>
      <c r="B997">
        <v>0.98876768158843997</v>
      </c>
      <c r="C997">
        <v>0.97728395456241501</v>
      </c>
      <c r="D997">
        <v>0.98332471630615104</v>
      </c>
      <c r="E997">
        <v>0.941620248903412</v>
      </c>
      <c r="F997">
        <v>0.79047927073801205</v>
      </c>
      <c r="G997">
        <v>0.38218241385060597</v>
      </c>
      <c r="H997">
        <v>0.113754923023675</v>
      </c>
      <c r="I997">
        <v>0.10186720457186001</v>
      </c>
      <c r="J997">
        <v>7.6772118234497394E-2</v>
      </c>
      <c r="K997">
        <v>5.6795666515455499E-2</v>
      </c>
      <c r="L997">
        <v>1459.8773181700401</v>
      </c>
      <c r="M997">
        <v>26.297484698555198</v>
      </c>
      <c r="N997">
        <v>55.776529586613499</v>
      </c>
      <c r="O997">
        <v>55.195918824920099</v>
      </c>
      <c r="P997">
        <v>-0.112176027818114</v>
      </c>
      <c r="Q997">
        <v>5.8223111765945197E-2</v>
      </c>
      <c r="R997">
        <v>0.99883934134159802</v>
      </c>
      <c r="S997" t="s">
        <v>4829</v>
      </c>
      <c r="T997" t="s">
        <v>7662</v>
      </c>
      <c r="U997" t="s">
        <v>7662</v>
      </c>
      <c r="V997" t="s">
        <v>7662</v>
      </c>
      <c r="W997">
        <v>25</v>
      </c>
      <c r="X997" t="s">
        <v>8659</v>
      </c>
      <c r="Y997">
        <v>0.55320443536635688</v>
      </c>
      <c r="Z997" t="str">
        <f>HYPERLINK("Melting_Curves/meltCurve_sp_P43490_NAMPT_HUMAN_.pdf", "Melting_Curves/meltCurve_sp_P43490_NAMPT_HUMAN_.pdf")</f>
        <v>Melting_Curves/meltCurve_sp_P43490_NAMPT_HUMAN_.pdf</v>
      </c>
      <c r="AA997" t="s">
        <v>12471</v>
      </c>
      <c r="AB997" t="s">
        <v>16238</v>
      </c>
    </row>
    <row r="998" spans="1:28" x14ac:dyDescent="0.25">
      <c r="A998" t="s">
        <v>1002</v>
      </c>
      <c r="B998">
        <v>0.98876768158843997</v>
      </c>
      <c r="C998">
        <v>0.96159095308073095</v>
      </c>
      <c r="D998">
        <v>0.93429177483204595</v>
      </c>
      <c r="E998">
        <v>0.84082834375190496</v>
      </c>
      <c r="F998">
        <v>0.64639362956333801</v>
      </c>
      <c r="G998">
        <v>0.44596558320225599</v>
      </c>
      <c r="H998">
        <v>0.33719468487189003</v>
      </c>
      <c r="I998">
        <v>0.36436121172651698</v>
      </c>
      <c r="J998">
        <v>0.30558165038381702</v>
      </c>
      <c r="K998">
        <v>0.41578175582009003</v>
      </c>
      <c r="L998">
        <v>1125.79850189274</v>
      </c>
      <c r="M998">
        <v>21.444737663918598</v>
      </c>
      <c r="N998">
        <v>55.508513482896298</v>
      </c>
      <c r="O998">
        <v>52.047556989303999</v>
      </c>
      <c r="P998">
        <v>-6.7598321537490805E-2</v>
      </c>
      <c r="Q998">
        <v>0.34375699297318801</v>
      </c>
      <c r="R998">
        <v>0.98492302877156002</v>
      </c>
      <c r="S998" t="s">
        <v>4830</v>
      </c>
      <c r="T998" t="s">
        <v>7662</v>
      </c>
      <c r="U998" t="s">
        <v>7662</v>
      </c>
      <c r="V998" t="s">
        <v>7662</v>
      </c>
      <c r="W998">
        <v>4</v>
      </c>
      <c r="X998" t="s">
        <v>8660</v>
      </c>
      <c r="Y998">
        <v>0.62514213576659428</v>
      </c>
      <c r="Z998" t="str">
        <f>HYPERLINK("Melting_Curves/meltCurve_sp_P43652_AFAM_HUMAN_.pdf", "Melting_Curves/meltCurve_sp_P43652_AFAM_HUMAN_.pdf")</f>
        <v>Melting_Curves/meltCurve_sp_P43652_AFAM_HUMAN_.pdf</v>
      </c>
      <c r="AA998" t="s">
        <v>12472</v>
      </c>
      <c r="AB998" t="s">
        <v>16239</v>
      </c>
    </row>
    <row r="999" spans="1:28" x14ac:dyDescent="0.25">
      <c r="A999" t="s">
        <v>1003</v>
      </c>
      <c r="B999">
        <v>0.98876768158843997</v>
      </c>
      <c r="C999">
        <v>0.804054879039105</v>
      </c>
      <c r="D999">
        <v>0.69116816453474095</v>
      </c>
      <c r="E999">
        <v>0.32674147338939902</v>
      </c>
      <c r="F999">
        <v>0.13744929517014601</v>
      </c>
      <c r="G999">
        <v>6.9807025217274707E-2</v>
      </c>
      <c r="H999">
        <v>5.00642148031884E-2</v>
      </c>
      <c r="I999">
        <v>4.7945132200895899E-2</v>
      </c>
      <c r="J999">
        <v>7.3482505107931001E-2</v>
      </c>
      <c r="K999">
        <v>5.6424294415783803E-2</v>
      </c>
      <c r="L999">
        <v>842.10453428778101</v>
      </c>
      <c r="M999">
        <v>17.750389977091601</v>
      </c>
      <c r="N999">
        <v>47.667812193442401</v>
      </c>
      <c r="O999">
        <v>46.851604079441003</v>
      </c>
      <c r="P999">
        <v>-9.0892703611241493E-2</v>
      </c>
      <c r="Q999">
        <v>4.0415759449450299E-2</v>
      </c>
      <c r="R999">
        <v>0.99214168089328303</v>
      </c>
      <c r="S999" t="s">
        <v>4831</v>
      </c>
      <c r="T999" t="s">
        <v>7662</v>
      </c>
      <c r="U999" t="s">
        <v>7662</v>
      </c>
      <c r="V999" t="s">
        <v>7662</v>
      </c>
      <c r="W999">
        <v>10</v>
      </c>
      <c r="X999" t="s">
        <v>8661</v>
      </c>
      <c r="Y999">
        <v>0.29632569669513581</v>
      </c>
      <c r="Z999" t="str">
        <f>HYPERLINK("Melting_Curves/meltCurve_sp_P43686_PRS6B_HUMAN_.pdf", "Melting_Curves/meltCurve_sp_P43686_PRS6B_HUMAN_.pdf")</f>
        <v>Melting_Curves/meltCurve_sp_P43686_PRS6B_HUMAN_.pdf</v>
      </c>
      <c r="AA999" t="s">
        <v>12473</v>
      </c>
      <c r="AB999" t="s">
        <v>16240</v>
      </c>
    </row>
    <row r="1000" spans="1:28" x14ac:dyDescent="0.25">
      <c r="A1000" t="s">
        <v>1004</v>
      </c>
      <c r="B1000">
        <v>0.98876768158843997</v>
      </c>
      <c r="C1000">
        <v>1.32307169096161</v>
      </c>
      <c r="D1000">
        <v>1.2350069430869399</v>
      </c>
      <c r="E1000">
        <v>0.72853888522601096</v>
      </c>
      <c r="F1000">
        <v>0.49446041632002402</v>
      </c>
      <c r="G1000">
        <v>0.20287973775000101</v>
      </c>
      <c r="H1000">
        <v>0.28099206994123699</v>
      </c>
      <c r="I1000">
        <v>0.146146161909253</v>
      </c>
      <c r="J1000">
        <v>0.76431314611824797</v>
      </c>
      <c r="K1000">
        <v>0.63764284073400501</v>
      </c>
      <c r="L1000">
        <v>2940.9722931391898</v>
      </c>
      <c r="M1000">
        <v>58.589312348933703</v>
      </c>
      <c r="N1000">
        <v>51.769134897756601</v>
      </c>
      <c r="O1000">
        <v>50.138016930244497</v>
      </c>
      <c r="P1000">
        <v>-0.17070475106969299</v>
      </c>
      <c r="Q1000">
        <v>0.41567541991151002</v>
      </c>
      <c r="R1000">
        <v>0.69290998463231102</v>
      </c>
      <c r="S1000" t="s">
        <v>4832</v>
      </c>
      <c r="T1000" t="s">
        <v>7662</v>
      </c>
      <c r="U1000" t="s">
        <v>7662</v>
      </c>
      <c r="V1000" t="s">
        <v>7662</v>
      </c>
      <c r="W1000">
        <v>1</v>
      </c>
      <c r="X1000" t="s">
        <v>8662</v>
      </c>
      <c r="Y1000">
        <v>0.61521639406219109</v>
      </c>
      <c r="Z1000" t="str">
        <f>HYPERLINK("Melting_Curves/meltCurve_sp_P43694_GATA4_HUMAN_.pdf", "Melting_Curves/meltCurve_sp_P43694_GATA4_HUMAN_.pdf")</f>
        <v>Melting_Curves/meltCurve_sp_P43694_GATA4_HUMAN_.pdf</v>
      </c>
      <c r="AA1000" t="s">
        <v>12474</v>
      </c>
      <c r="AB1000" t="s">
        <v>16241</v>
      </c>
    </row>
    <row r="1001" spans="1:28" x14ac:dyDescent="0.25">
      <c r="A1001" t="s">
        <v>1005</v>
      </c>
      <c r="B1001">
        <v>0.98876768158843997</v>
      </c>
      <c r="C1001">
        <v>1.0017771575013099</v>
      </c>
      <c r="D1001">
        <v>0.45387494120025101</v>
      </c>
      <c r="E1001">
        <v>0.15210385685219599</v>
      </c>
      <c r="F1001">
        <v>8.3053181855817601E-2</v>
      </c>
      <c r="G1001">
        <v>4.9586042041431598E-2</v>
      </c>
      <c r="H1001">
        <v>3.74209512964149E-2</v>
      </c>
      <c r="I1001">
        <v>3.3753672387766803E-2</v>
      </c>
      <c r="J1001">
        <v>4.3963031517504698E-2</v>
      </c>
      <c r="K1001">
        <v>3.7892935351019799E-2</v>
      </c>
      <c r="L1001">
        <v>2236.7770455025602</v>
      </c>
      <c r="M1001">
        <v>48.905756463935703</v>
      </c>
      <c r="N1001">
        <v>45.855276164243598</v>
      </c>
      <c r="O1001">
        <v>45.660200345682902</v>
      </c>
      <c r="P1001">
        <v>-0.25183809444293598</v>
      </c>
      <c r="Q1001">
        <v>5.9499896724580698E-2</v>
      </c>
      <c r="R1001">
        <v>0.99268142199618703</v>
      </c>
      <c r="S1001" t="s">
        <v>4833</v>
      </c>
      <c r="T1001" t="s">
        <v>7662</v>
      </c>
      <c r="U1001" t="s">
        <v>7662</v>
      </c>
      <c r="V1001" t="s">
        <v>7662</v>
      </c>
      <c r="W1001">
        <v>11</v>
      </c>
      <c r="X1001" t="s">
        <v>8663</v>
      </c>
      <c r="Y1001">
        <v>0.24134175193662691</v>
      </c>
      <c r="Z1001" t="str">
        <f>HYPERLINK("Melting_Curves/meltCurve_sp_P43897_EFTS_HUMAN_.pdf", "Melting_Curves/meltCurve_sp_P43897_EFTS_HUMAN_.pdf")</f>
        <v>Melting_Curves/meltCurve_sp_P43897_EFTS_HUMAN_.pdf</v>
      </c>
      <c r="AA1001" t="s">
        <v>12475</v>
      </c>
      <c r="AB1001" t="s">
        <v>16242</v>
      </c>
    </row>
    <row r="1002" spans="1:28" x14ac:dyDescent="0.25">
      <c r="A1002" t="s">
        <v>1006</v>
      </c>
      <c r="B1002">
        <v>0.98876768158843997</v>
      </c>
      <c r="C1002">
        <v>1.0033555819344</v>
      </c>
      <c r="D1002">
        <v>0.95246796015396096</v>
      </c>
      <c r="E1002">
        <v>0.83490759286393801</v>
      </c>
      <c r="F1002">
        <v>0.67364546660416103</v>
      </c>
      <c r="G1002">
        <v>0.26165445344843702</v>
      </c>
      <c r="H1002">
        <v>0.10630216993875399</v>
      </c>
      <c r="I1002">
        <v>8.6055000627431405E-2</v>
      </c>
      <c r="J1002">
        <v>0.17611924019598699</v>
      </c>
      <c r="K1002">
        <v>8.6403484094274896E-2</v>
      </c>
      <c r="L1002">
        <v>1325.42911382184</v>
      </c>
      <c r="M1002">
        <v>24.628632418576601</v>
      </c>
      <c r="N1002">
        <v>54.280316701905299</v>
      </c>
      <c r="O1002">
        <v>53.465577301390603</v>
      </c>
      <c r="P1002">
        <v>-0.104237123256332</v>
      </c>
      <c r="Q1002">
        <v>9.4872023228855101E-2</v>
      </c>
      <c r="R1002">
        <v>0.99135767675921904</v>
      </c>
      <c r="S1002" t="s">
        <v>4834</v>
      </c>
      <c r="T1002" t="s">
        <v>7662</v>
      </c>
      <c r="U1002" t="s">
        <v>7662</v>
      </c>
      <c r="V1002" t="s">
        <v>7662</v>
      </c>
      <c r="W1002">
        <v>7</v>
      </c>
      <c r="X1002" t="s">
        <v>8664</v>
      </c>
      <c r="Y1002">
        <v>0.52033445616739471</v>
      </c>
      <c r="Z1002" t="str">
        <f>HYPERLINK("Melting_Curves/meltCurve_sp_P45381_ACY2_HUMAN_.pdf", "Melting_Curves/meltCurve_sp_P45381_ACY2_HUMAN_.pdf")</f>
        <v>Melting_Curves/meltCurve_sp_P45381_ACY2_HUMAN_.pdf</v>
      </c>
      <c r="AA1002" t="s">
        <v>12476</v>
      </c>
      <c r="AB1002" t="s">
        <v>16243</v>
      </c>
    </row>
    <row r="1003" spans="1:28" x14ac:dyDescent="0.25">
      <c r="A1003" t="s">
        <v>1007</v>
      </c>
      <c r="B1003">
        <v>0.98876768158843997</v>
      </c>
      <c r="C1003">
        <v>0.70055718981994297</v>
      </c>
      <c r="D1003">
        <v>0.88351350094080805</v>
      </c>
      <c r="E1003">
        <v>0.55064667391371902</v>
      </c>
      <c r="F1003">
        <v>0.26879653138467102</v>
      </c>
      <c r="G1003">
        <v>0.152785334545297</v>
      </c>
      <c r="H1003">
        <v>0.10186942629490001</v>
      </c>
      <c r="I1003">
        <v>5.82081702120626E-2</v>
      </c>
      <c r="J1003">
        <v>0.14197380691480199</v>
      </c>
      <c r="K1003">
        <v>4.1979708614505701E-2</v>
      </c>
      <c r="L1003">
        <v>690.09118352914402</v>
      </c>
      <c r="M1003">
        <v>13.864637138214301</v>
      </c>
      <c r="N1003">
        <v>50.067184261133796</v>
      </c>
      <c r="O1003">
        <v>48.772304334040598</v>
      </c>
      <c r="P1003">
        <v>-6.8301861121742205E-2</v>
      </c>
      <c r="Q1003">
        <v>3.9057077870739199E-2</v>
      </c>
      <c r="R1003">
        <v>0.94083785524756403</v>
      </c>
      <c r="S1003" t="s">
        <v>4835</v>
      </c>
      <c r="T1003" t="s">
        <v>7662</v>
      </c>
      <c r="U1003" t="s">
        <v>7662</v>
      </c>
      <c r="V1003" t="s">
        <v>7662</v>
      </c>
      <c r="W1003">
        <v>22</v>
      </c>
      <c r="X1003" t="s">
        <v>8665</v>
      </c>
      <c r="Y1003">
        <v>0.37863811104193551</v>
      </c>
      <c r="Z1003" t="str">
        <f>HYPERLINK("Melting_Curves/meltCurve_sp_P45954_ACDSB_HUMAN_.pdf", "Melting_Curves/meltCurve_sp_P45954_ACDSB_HUMAN_.pdf")</f>
        <v>Melting_Curves/meltCurve_sp_P45954_ACDSB_HUMAN_.pdf</v>
      </c>
      <c r="AA1003" t="s">
        <v>12477</v>
      </c>
      <c r="AB1003" t="s">
        <v>16244</v>
      </c>
    </row>
    <row r="1004" spans="1:28" x14ac:dyDescent="0.25">
      <c r="A1004" t="s">
        <v>1008</v>
      </c>
      <c r="B1004">
        <v>0.98876768158843997</v>
      </c>
      <c r="C1004">
        <v>1.01299720509448</v>
      </c>
      <c r="D1004">
        <v>0.81880145230892698</v>
      </c>
      <c r="E1004">
        <v>0.64634279320216803</v>
      </c>
      <c r="F1004">
        <v>0.54519481280951299</v>
      </c>
      <c r="G1004">
        <v>0.36282003327586998</v>
      </c>
      <c r="H1004">
        <v>0.28416492917438202</v>
      </c>
      <c r="I1004">
        <v>0.32179696685619102</v>
      </c>
      <c r="J1004">
        <v>0.41038180535061197</v>
      </c>
      <c r="K1004">
        <v>0.42203031581123601</v>
      </c>
      <c r="L1004">
        <v>908.44379099307901</v>
      </c>
      <c r="M1004">
        <v>18.390428795145301</v>
      </c>
      <c r="N1004">
        <v>52.874571706436697</v>
      </c>
      <c r="O1004">
        <v>48.824696575164197</v>
      </c>
      <c r="P1004">
        <v>-6.1135129575847401E-2</v>
      </c>
      <c r="Q1004">
        <v>0.350799824041999</v>
      </c>
      <c r="R1004">
        <v>0.96209825710718699</v>
      </c>
      <c r="S1004" t="s">
        <v>4836</v>
      </c>
      <c r="T1004" t="s">
        <v>7662</v>
      </c>
      <c r="U1004" t="s">
        <v>7662</v>
      </c>
      <c r="V1004" t="s">
        <v>7662</v>
      </c>
      <c r="W1004">
        <v>4</v>
      </c>
      <c r="X1004" t="s">
        <v>8666</v>
      </c>
      <c r="Y1004">
        <v>0.56487200072459365</v>
      </c>
      <c r="Z1004" t="str">
        <f>HYPERLINK("Melting_Curves/meltCurve_sp_P45973_CBX5_HUMAN_.pdf", "Melting_Curves/meltCurve_sp_P45973_CBX5_HUMAN_.pdf")</f>
        <v>Melting_Curves/meltCurve_sp_P45973_CBX5_HUMAN_.pdf</v>
      </c>
      <c r="AA1004" t="s">
        <v>12478</v>
      </c>
      <c r="AB1004" t="s">
        <v>16245</v>
      </c>
    </row>
    <row r="1005" spans="1:28" x14ac:dyDescent="0.25">
      <c r="A1005" t="s">
        <v>1009</v>
      </c>
      <c r="B1005">
        <v>0.98876768158843997</v>
      </c>
      <c r="C1005">
        <v>0.94091599542071402</v>
      </c>
      <c r="D1005">
        <v>0.91522902363394698</v>
      </c>
      <c r="E1005">
        <v>0.85464932811350502</v>
      </c>
      <c r="F1005">
        <v>0.69036303908918095</v>
      </c>
      <c r="G1005">
        <v>0.20970990743590701</v>
      </c>
      <c r="H1005">
        <v>5.5512783712234101E-2</v>
      </c>
      <c r="I1005">
        <v>3.9262832020197799E-2</v>
      </c>
      <c r="J1005">
        <v>4.3205289375553298E-2</v>
      </c>
      <c r="K1005">
        <v>3.5041048327717698E-2</v>
      </c>
      <c r="L1005">
        <v>1402.61048979932</v>
      </c>
      <c r="M1005">
        <v>25.8882436435999</v>
      </c>
      <c r="N1005">
        <v>54.271075866309303</v>
      </c>
      <c r="O1005">
        <v>53.859260371044897</v>
      </c>
      <c r="P1005">
        <v>-0.117597769760133</v>
      </c>
      <c r="Q1005">
        <v>2.13852566644743E-2</v>
      </c>
      <c r="R1005">
        <v>0.99158939477174401</v>
      </c>
      <c r="S1005" t="s">
        <v>4837</v>
      </c>
      <c r="T1005" t="s">
        <v>7662</v>
      </c>
      <c r="U1005" t="s">
        <v>7662</v>
      </c>
      <c r="V1005" t="s">
        <v>7662</v>
      </c>
      <c r="W1005">
        <v>19</v>
      </c>
      <c r="X1005" t="s">
        <v>8667</v>
      </c>
      <c r="Y1005">
        <v>0.49242638077243128</v>
      </c>
      <c r="Z1005" t="str">
        <f>HYPERLINK("Melting_Curves/meltCurve_sp_P45974_2_UBP5_HUMAN_.pdf", "Melting_Curves/meltCurve_sp_P45974_2_UBP5_HUMAN_.pdf")</f>
        <v>Melting_Curves/meltCurve_sp_P45974_2_UBP5_HUMAN_.pdf</v>
      </c>
      <c r="AA1005" t="s">
        <v>12479</v>
      </c>
      <c r="AB1005" t="s">
        <v>16246</v>
      </c>
    </row>
    <row r="1006" spans="1:28" x14ac:dyDescent="0.25">
      <c r="A1006" t="s">
        <v>1010</v>
      </c>
      <c r="B1006">
        <v>0.98876768158843997</v>
      </c>
      <c r="C1006">
        <v>1.05762610090208</v>
      </c>
      <c r="D1006">
        <v>0.87940311413074101</v>
      </c>
      <c r="E1006">
        <v>0.80043691917936</v>
      </c>
      <c r="F1006">
        <v>0.60906924909683902</v>
      </c>
      <c r="G1006">
        <v>0.18411509301409501</v>
      </c>
      <c r="H1006">
        <v>5.5705156292338603E-2</v>
      </c>
      <c r="I1006">
        <v>4.50454334337426E-2</v>
      </c>
      <c r="J1006">
        <v>3.5539230545975499E-2</v>
      </c>
      <c r="K1006">
        <v>5.2901951989246E-2</v>
      </c>
      <c r="L1006">
        <v>1175.54376597596</v>
      </c>
      <c r="M1006">
        <v>21.982905883409799</v>
      </c>
      <c r="N1006">
        <v>53.568803143503096</v>
      </c>
      <c r="O1006">
        <v>53.038738288476402</v>
      </c>
      <c r="P1006">
        <v>-0.10167061439416</v>
      </c>
      <c r="Q1006">
        <v>1.8808487440825999E-2</v>
      </c>
      <c r="R1006">
        <v>0.98906026715943995</v>
      </c>
      <c r="S1006" t="s">
        <v>4838</v>
      </c>
      <c r="T1006" t="s">
        <v>7662</v>
      </c>
      <c r="U1006" t="s">
        <v>7662</v>
      </c>
      <c r="V1006" t="s">
        <v>7662</v>
      </c>
      <c r="W1006">
        <v>6</v>
      </c>
      <c r="X1006" t="s">
        <v>8668</v>
      </c>
      <c r="Y1006">
        <v>0.47096632381040637</v>
      </c>
      <c r="Z1006" t="str">
        <f>HYPERLINK("Melting_Curves/meltCurve_sp_P45984_2_MK09_HUMAN_.pdf", "Melting_Curves/meltCurve_sp_P45984_2_MK09_HUMAN_.pdf")</f>
        <v>Melting_Curves/meltCurve_sp_P45984_2_MK09_HUMAN_.pdf</v>
      </c>
      <c r="AA1006" t="s">
        <v>12480</v>
      </c>
      <c r="AB1006" t="s">
        <v>16247</v>
      </c>
    </row>
    <row r="1007" spans="1:28" x14ac:dyDescent="0.25">
      <c r="A1007" t="s">
        <v>1011</v>
      </c>
      <c r="B1007">
        <v>0.98876768158843997</v>
      </c>
      <c r="C1007">
        <v>0.79688512685867496</v>
      </c>
      <c r="D1007">
        <v>0.47814373257250298</v>
      </c>
      <c r="E1007">
        <v>0.17932069834740499</v>
      </c>
      <c r="F1007">
        <v>7.5275256253345205E-2</v>
      </c>
      <c r="G1007">
        <v>4.1409867976540497E-2</v>
      </c>
      <c r="H1007">
        <v>2.9702358784250298E-2</v>
      </c>
      <c r="I1007">
        <v>2.1579942164231002E-2</v>
      </c>
      <c r="J1007">
        <v>3.62612689912023E-2</v>
      </c>
      <c r="K1007">
        <v>2.3283908747909199E-2</v>
      </c>
      <c r="L1007">
        <v>964.195356299688</v>
      </c>
      <c r="M1007">
        <v>21.0810412044349</v>
      </c>
      <c r="N1007">
        <v>45.857455672499199</v>
      </c>
      <c r="O1007">
        <v>45.331976393066</v>
      </c>
      <c r="P1007">
        <v>-0.11314512529300901</v>
      </c>
      <c r="Q1007">
        <v>2.6811886400782699E-2</v>
      </c>
      <c r="R1007">
        <v>0.99860411983928399</v>
      </c>
      <c r="S1007" t="s">
        <v>4839</v>
      </c>
      <c r="T1007" t="s">
        <v>7662</v>
      </c>
      <c r="U1007" t="s">
        <v>7662</v>
      </c>
      <c r="V1007" t="s">
        <v>7662</v>
      </c>
      <c r="W1007">
        <v>3</v>
      </c>
      <c r="X1007" t="s">
        <v>8669</v>
      </c>
      <c r="Y1007">
        <v>0.22652108184365941</v>
      </c>
      <c r="Z1007" t="str">
        <f>HYPERLINK("Melting_Curves/meltCurve_sp_P45985_MP2K4_HUMAN_.pdf", "Melting_Curves/meltCurve_sp_P45985_MP2K4_HUMAN_.pdf")</f>
        <v>Melting_Curves/meltCurve_sp_P45985_MP2K4_HUMAN_.pdf</v>
      </c>
      <c r="AA1007" t="s">
        <v>12481</v>
      </c>
      <c r="AB1007" t="s">
        <v>16248</v>
      </c>
    </row>
    <row r="1008" spans="1:28" x14ac:dyDescent="0.25">
      <c r="A1008" t="s">
        <v>1012</v>
      </c>
      <c r="B1008">
        <v>0.98876768158843997</v>
      </c>
      <c r="C1008">
        <v>0.95616869060757204</v>
      </c>
      <c r="D1008">
        <v>0.92877155462927796</v>
      </c>
      <c r="E1008">
        <v>0.39453976348019798</v>
      </c>
      <c r="F1008">
        <v>0.23572200106390101</v>
      </c>
      <c r="G1008">
        <v>0.12680925247092101</v>
      </c>
      <c r="H1008">
        <v>9.4957649689381002E-2</v>
      </c>
      <c r="I1008">
        <v>7.5317554092290198E-2</v>
      </c>
      <c r="J1008">
        <v>9.4957907133705402E-2</v>
      </c>
      <c r="K1008">
        <v>8.6193289201824494E-2</v>
      </c>
      <c r="L1008">
        <v>1457.6583586700799</v>
      </c>
      <c r="M1008">
        <v>29.6952149162124</v>
      </c>
      <c r="N1008">
        <v>49.446409288236403</v>
      </c>
      <c r="O1008">
        <v>48.866316333615202</v>
      </c>
      <c r="P1008">
        <v>-0.13718677795631101</v>
      </c>
      <c r="Q1008">
        <v>9.6990269870980098E-2</v>
      </c>
      <c r="R1008">
        <v>0.995190901414582</v>
      </c>
      <c r="S1008" t="s">
        <v>4840</v>
      </c>
      <c r="T1008" t="s">
        <v>7662</v>
      </c>
      <c r="U1008" t="s">
        <v>7662</v>
      </c>
      <c r="V1008" t="s">
        <v>7662</v>
      </c>
      <c r="W1008">
        <v>10</v>
      </c>
      <c r="X1008" t="s">
        <v>8670</v>
      </c>
      <c r="Y1008">
        <v>0.37614453867695108</v>
      </c>
      <c r="Z1008" t="str">
        <f>HYPERLINK("Melting_Curves/meltCurve_sp_P46019_KPB2_HUMAN_.pdf", "Melting_Curves/meltCurve_sp_P46019_KPB2_HUMAN_.pdf")</f>
        <v>Melting_Curves/meltCurve_sp_P46019_KPB2_HUMAN_.pdf</v>
      </c>
      <c r="AA1008" t="s">
        <v>12482</v>
      </c>
      <c r="AB1008" t="s">
        <v>16249</v>
      </c>
    </row>
    <row r="1009" spans="1:28" x14ac:dyDescent="0.25">
      <c r="A1009" t="s">
        <v>1013</v>
      </c>
      <c r="B1009">
        <v>0.98876768158843997</v>
      </c>
      <c r="C1009">
        <v>1.0050312913972801</v>
      </c>
      <c r="D1009">
        <v>0.92788070890982299</v>
      </c>
      <c r="E1009">
        <v>0.70261951793062905</v>
      </c>
      <c r="F1009">
        <v>0.25872003644805702</v>
      </c>
      <c r="G1009">
        <v>9.9173297757484596E-2</v>
      </c>
      <c r="H1009">
        <v>5.5104436868156297E-2</v>
      </c>
      <c r="I1009">
        <v>4.8825086344766802E-2</v>
      </c>
      <c r="J1009">
        <v>5.5281003449605799E-2</v>
      </c>
      <c r="K1009">
        <v>5.1316194666516497E-2</v>
      </c>
      <c r="L1009">
        <v>1669.0453599182899</v>
      </c>
      <c r="M1009">
        <v>32.676886126440102</v>
      </c>
      <c r="N1009">
        <v>51.2522966450721</v>
      </c>
      <c r="O1009">
        <v>50.887093394356</v>
      </c>
      <c r="P1009">
        <v>-0.15206028679130401</v>
      </c>
      <c r="Q1009">
        <v>5.2802040901195703E-2</v>
      </c>
      <c r="R1009">
        <v>0.99809778392795601</v>
      </c>
      <c r="S1009" t="s">
        <v>4841</v>
      </c>
      <c r="T1009" t="s">
        <v>7662</v>
      </c>
      <c r="U1009" t="s">
        <v>7662</v>
      </c>
      <c r="V1009" t="s">
        <v>7662</v>
      </c>
      <c r="W1009">
        <v>13</v>
      </c>
      <c r="X1009" t="s">
        <v>8671</v>
      </c>
      <c r="Y1009">
        <v>0.40757045520561952</v>
      </c>
      <c r="Z1009" t="str">
        <f>HYPERLINK("Melting_Curves/meltCurve_sp_P46060_RAGP1_HUMAN_.pdf", "Melting_Curves/meltCurve_sp_P46060_RAGP1_HUMAN_.pdf")</f>
        <v>Melting_Curves/meltCurve_sp_P46060_RAGP1_HUMAN_.pdf</v>
      </c>
      <c r="AA1009" t="s">
        <v>12483</v>
      </c>
      <c r="AB1009" t="s">
        <v>16250</v>
      </c>
    </row>
    <row r="1010" spans="1:28" x14ac:dyDescent="0.25">
      <c r="A1010" t="s">
        <v>1014</v>
      </c>
      <c r="B1010">
        <v>0.98876768158843997</v>
      </c>
      <c r="C1010">
        <v>0.90732124476537801</v>
      </c>
      <c r="D1010">
        <v>0.93515741972064503</v>
      </c>
      <c r="E1010">
        <v>0.68109667949753006</v>
      </c>
      <c r="F1010">
        <v>0.16372371742049299</v>
      </c>
      <c r="G1010">
        <v>9.8323190159841506E-2</v>
      </c>
      <c r="H1010">
        <v>4.7464017501313301E-2</v>
      </c>
      <c r="I1010">
        <v>4.1527946922336002E-2</v>
      </c>
      <c r="J1010">
        <v>4.7113018593690999E-2</v>
      </c>
      <c r="K1010">
        <v>2.95630081330647E-2</v>
      </c>
      <c r="L1010">
        <v>2193.4658966931001</v>
      </c>
      <c r="M1010">
        <v>43.2282337560098</v>
      </c>
      <c r="N1010">
        <v>50.862369953142597</v>
      </c>
      <c r="O1010">
        <v>50.633281592832802</v>
      </c>
      <c r="P1010">
        <v>-0.203020582052691</v>
      </c>
      <c r="Q1010">
        <v>4.8808437193346897E-2</v>
      </c>
      <c r="R1010">
        <v>0.99140381896208796</v>
      </c>
      <c r="S1010" t="s">
        <v>4842</v>
      </c>
      <c r="T1010" t="s">
        <v>7662</v>
      </c>
      <c r="U1010" t="s">
        <v>7662</v>
      </c>
      <c r="V1010" t="s">
        <v>7662</v>
      </c>
      <c r="W1010">
        <v>7</v>
      </c>
      <c r="X1010" t="s">
        <v>8672</v>
      </c>
      <c r="Y1010">
        <v>0.39223630611697108</v>
      </c>
      <c r="Z1010" t="str">
        <f>HYPERLINK("Melting_Curves/meltCurve_sp_P46063_RECQ1_HUMAN_.pdf", "Melting_Curves/meltCurve_sp_P46063_RECQ1_HUMAN_.pdf")</f>
        <v>Melting_Curves/meltCurve_sp_P46063_RECQ1_HUMAN_.pdf</v>
      </c>
      <c r="AA1010" t="s">
        <v>12484</v>
      </c>
      <c r="AB1010" t="s">
        <v>16251</v>
      </c>
    </row>
    <row r="1011" spans="1:28" x14ac:dyDescent="0.25">
      <c r="A1011" t="s">
        <v>1015</v>
      </c>
      <c r="B1011">
        <v>0.98876768158843997</v>
      </c>
      <c r="C1011">
        <v>1.16687014889658</v>
      </c>
      <c r="D1011">
        <v>0.88168456299035303</v>
      </c>
      <c r="E1011">
        <v>0.83699594377693798</v>
      </c>
      <c r="F1011">
        <v>0.95450387792008595</v>
      </c>
      <c r="G1011">
        <v>0.69612093006547104</v>
      </c>
      <c r="H1011">
        <v>0.54071555683473704</v>
      </c>
      <c r="I1011">
        <v>0.62988667417307698</v>
      </c>
      <c r="J1011">
        <v>0.73443701216110402</v>
      </c>
      <c r="K1011">
        <v>0.87538405299781696</v>
      </c>
      <c r="L1011">
        <v>1084.14209350939</v>
      </c>
      <c r="M1011">
        <v>20.7809284230175</v>
      </c>
      <c r="O1011">
        <v>51.694153381678497</v>
      </c>
      <c r="P1011">
        <v>-3.0716261740254901E-2</v>
      </c>
      <c r="Q1011">
        <v>0.69437232190676501</v>
      </c>
      <c r="R1011">
        <v>0.57729777869298005</v>
      </c>
      <c r="S1011" t="s">
        <v>4843</v>
      </c>
      <c r="T1011" t="s">
        <v>7662</v>
      </c>
      <c r="U1011" t="s">
        <v>7662</v>
      </c>
      <c r="V1011" t="s">
        <v>7662</v>
      </c>
      <c r="W1011">
        <v>7</v>
      </c>
      <c r="X1011" t="s">
        <v>8673</v>
      </c>
      <c r="Y1011">
        <v>0.82230162974115817</v>
      </c>
      <c r="Z1011" t="str">
        <f>HYPERLINK("Melting_Curves/meltCurve_sp_P46087_2_NOP2_HUMAN_.pdf", "Melting_Curves/meltCurve_sp_P46087_2_NOP2_HUMAN_.pdf")</f>
        <v>Melting_Curves/meltCurve_sp_P46087_2_NOP2_HUMAN_.pdf</v>
      </c>
      <c r="AA1011" t="s">
        <v>12485</v>
      </c>
      <c r="AB1011" t="s">
        <v>16252</v>
      </c>
    </row>
    <row r="1012" spans="1:28" x14ac:dyDescent="0.25">
      <c r="A1012" t="s">
        <v>1016</v>
      </c>
      <c r="B1012">
        <v>0.98876768158843997</v>
      </c>
      <c r="C1012">
        <v>0.90943834177118299</v>
      </c>
      <c r="D1012">
        <v>0.88677232446544696</v>
      </c>
      <c r="E1012">
        <v>0.68546133113350505</v>
      </c>
      <c r="F1012">
        <v>0.49589288685182398</v>
      </c>
      <c r="G1012">
        <v>0.36543779549988797</v>
      </c>
      <c r="H1012">
        <v>0.29125619767407301</v>
      </c>
      <c r="I1012">
        <v>0.27034886046484902</v>
      </c>
      <c r="J1012">
        <v>0.47386720476162297</v>
      </c>
      <c r="K1012">
        <v>0.39396555457133797</v>
      </c>
      <c r="L1012">
        <v>1004.80364872076</v>
      </c>
      <c r="M1012">
        <v>20.193159484881601</v>
      </c>
      <c r="N1012">
        <v>52.862466462762598</v>
      </c>
      <c r="O1012">
        <v>49.279321636477199</v>
      </c>
      <c r="P1012">
        <v>-6.6879672061220405E-2</v>
      </c>
      <c r="Q1012">
        <v>0.347168776106071</v>
      </c>
      <c r="R1012">
        <v>0.94639662073461595</v>
      </c>
      <c r="S1012" t="s">
        <v>4844</v>
      </c>
      <c r="T1012" t="s">
        <v>7662</v>
      </c>
      <c r="U1012" t="s">
        <v>7662</v>
      </c>
      <c r="V1012" t="s">
        <v>7662</v>
      </c>
      <c r="W1012">
        <v>2</v>
      </c>
      <c r="X1012" t="s">
        <v>8674</v>
      </c>
      <c r="Y1012">
        <v>0.56847474816344201</v>
      </c>
      <c r="Z1012" t="str">
        <f>HYPERLINK("Melting_Curves/meltCurve_sp_P46100_2_ATRX_HUMAN_.pdf", "Melting_Curves/meltCurve_sp_P46100_2_ATRX_HUMAN_.pdf")</f>
        <v>Melting_Curves/meltCurve_sp_P46100_2_ATRX_HUMAN_.pdf</v>
      </c>
      <c r="AA1012" t="s">
        <v>12486</v>
      </c>
      <c r="AB1012" t="s">
        <v>16253</v>
      </c>
    </row>
    <row r="1013" spans="1:28" x14ac:dyDescent="0.25">
      <c r="A1013" t="s">
        <v>1017</v>
      </c>
      <c r="B1013">
        <v>0.98876768158843997</v>
      </c>
      <c r="C1013">
        <v>1.0914595689253399</v>
      </c>
      <c r="D1013">
        <v>0.867325522502017</v>
      </c>
      <c r="E1013">
        <v>0.73394578488538198</v>
      </c>
      <c r="F1013">
        <v>0.76000578919579798</v>
      </c>
      <c r="G1013">
        <v>0.34004247292998602</v>
      </c>
      <c r="H1013">
        <v>0.148002254653088</v>
      </c>
      <c r="I1013">
        <v>0.13057386956026101</v>
      </c>
      <c r="J1013">
        <v>0.166526998214239</v>
      </c>
      <c r="K1013">
        <v>0.126266223962618</v>
      </c>
      <c r="L1013">
        <v>907.92148992869295</v>
      </c>
      <c r="M1013">
        <v>16.7178351811447</v>
      </c>
      <c r="N1013">
        <v>54.912679538140502</v>
      </c>
      <c r="O1013">
        <v>53.549355585240001</v>
      </c>
      <c r="P1013">
        <v>-7.1497575514998996E-2</v>
      </c>
      <c r="Q1013">
        <v>8.3997393201130602E-2</v>
      </c>
      <c r="R1013">
        <v>0.96341849706761495</v>
      </c>
      <c r="S1013" t="s">
        <v>4845</v>
      </c>
      <c r="T1013" t="s">
        <v>7662</v>
      </c>
      <c r="U1013" t="s">
        <v>7662</v>
      </c>
      <c r="V1013" t="s">
        <v>7662</v>
      </c>
      <c r="W1013">
        <v>12</v>
      </c>
      <c r="X1013" t="s">
        <v>8675</v>
      </c>
      <c r="Y1013">
        <v>0.53698702417244359</v>
      </c>
      <c r="Z1013" t="str">
        <f>HYPERLINK("Melting_Curves/meltCurve_sp_P46108_CRK_HUMAN_.pdf", "Melting_Curves/meltCurve_sp_P46108_CRK_HUMAN_.pdf")</f>
        <v>Melting_Curves/meltCurve_sp_P46108_CRK_HUMAN_.pdf</v>
      </c>
      <c r="AA1013" t="s">
        <v>12487</v>
      </c>
      <c r="AB1013" t="s">
        <v>16254</v>
      </c>
    </row>
    <row r="1014" spans="1:28" x14ac:dyDescent="0.25">
      <c r="A1014" t="s">
        <v>1018</v>
      </c>
      <c r="B1014">
        <v>0.98876768158843997</v>
      </c>
      <c r="C1014">
        <v>0.98706679978103495</v>
      </c>
      <c r="D1014">
        <v>0.85096867216193794</v>
      </c>
      <c r="E1014">
        <v>0.73541915831387505</v>
      </c>
      <c r="F1014">
        <v>0.61423997878857395</v>
      </c>
      <c r="G1014">
        <v>0.342145327690136</v>
      </c>
      <c r="H1014">
        <v>0.196058094373597</v>
      </c>
      <c r="I1014">
        <v>0.16865556895263001</v>
      </c>
      <c r="J1014">
        <v>0.18680964641273601</v>
      </c>
      <c r="K1014">
        <v>0.153916939879605</v>
      </c>
      <c r="L1014">
        <v>737.41947218125995</v>
      </c>
      <c r="M1014">
        <v>13.8747034840334</v>
      </c>
      <c r="N1014">
        <v>54.101620520889</v>
      </c>
      <c r="O1014">
        <v>52.080924223870703</v>
      </c>
      <c r="P1014">
        <v>-5.9388342454994303E-2</v>
      </c>
      <c r="Q1014">
        <v>0.108427535820157</v>
      </c>
      <c r="R1014">
        <v>0.99137619862540804</v>
      </c>
      <c r="S1014" t="s">
        <v>4846</v>
      </c>
      <c r="T1014" t="s">
        <v>7662</v>
      </c>
      <c r="U1014" t="s">
        <v>7662</v>
      </c>
      <c r="V1014" t="s">
        <v>7662</v>
      </c>
      <c r="W1014">
        <v>8</v>
      </c>
      <c r="X1014" t="s">
        <v>8676</v>
      </c>
      <c r="Y1014">
        <v>0.52032207274605125</v>
      </c>
      <c r="Z1014" t="str">
        <f>HYPERLINK("Melting_Curves/meltCurve_sp_P46109_CRKL_HUMAN_.pdf", "Melting_Curves/meltCurve_sp_P46109_CRKL_HUMAN_.pdf")</f>
        <v>Melting_Curves/meltCurve_sp_P46109_CRKL_HUMAN_.pdf</v>
      </c>
      <c r="AA1014" t="s">
        <v>12488</v>
      </c>
      <c r="AB1014" t="s">
        <v>16255</v>
      </c>
    </row>
    <row r="1015" spans="1:28" x14ac:dyDescent="0.25">
      <c r="A1015" t="s">
        <v>1019</v>
      </c>
      <c r="B1015">
        <v>0.98876768158843997</v>
      </c>
      <c r="C1015">
        <v>0.78316702723301301</v>
      </c>
      <c r="D1015">
        <v>0.73343416446868803</v>
      </c>
      <c r="E1015">
        <v>0.38610807219976701</v>
      </c>
      <c r="F1015">
        <v>0.185785760218248</v>
      </c>
      <c r="G1015">
        <v>0.104788405254675</v>
      </c>
      <c r="H1015">
        <v>5.0010370106572798E-2</v>
      </c>
      <c r="I1015">
        <v>4.2794141728083199E-2</v>
      </c>
      <c r="J1015">
        <v>4.2717992422209E-2</v>
      </c>
      <c r="K1015">
        <v>3.5904833364230997E-2</v>
      </c>
      <c r="L1015">
        <v>729.05625470374798</v>
      </c>
      <c r="M1015">
        <v>15.1273170781113</v>
      </c>
      <c r="N1015">
        <v>48.315122489288299</v>
      </c>
      <c r="O1015">
        <v>47.376008820308599</v>
      </c>
      <c r="P1015">
        <v>-7.8356450121218293E-2</v>
      </c>
      <c r="Q1015">
        <v>1.8503493016642399E-2</v>
      </c>
      <c r="R1015">
        <v>0.98962973107872099</v>
      </c>
      <c r="S1015" t="s">
        <v>4847</v>
      </c>
      <c r="T1015" t="s">
        <v>7662</v>
      </c>
      <c r="U1015" t="s">
        <v>7662</v>
      </c>
      <c r="V1015" t="s">
        <v>7662</v>
      </c>
      <c r="W1015">
        <v>4</v>
      </c>
      <c r="X1015" t="s">
        <v>8677</v>
      </c>
      <c r="Y1015">
        <v>0.31122531967273198</v>
      </c>
      <c r="Z1015" t="str">
        <f>HYPERLINK("Melting_Curves/meltCurve_sp_P46199_IF2M_HUMAN_.pdf", "Melting_Curves/meltCurve_sp_P46199_IF2M_HUMAN_.pdf")</f>
        <v>Melting_Curves/meltCurve_sp_P46199_IF2M_HUMAN_.pdf</v>
      </c>
      <c r="AA1015" t="s">
        <v>12489</v>
      </c>
      <c r="AB1015" t="s">
        <v>16256</v>
      </c>
    </row>
    <row r="1016" spans="1:28" x14ac:dyDescent="0.25">
      <c r="A1016" t="s">
        <v>1020</v>
      </c>
      <c r="B1016">
        <v>0.98876768158843997</v>
      </c>
      <c r="C1016">
        <v>0.94770968619692397</v>
      </c>
      <c r="D1016">
        <v>1.00650498616328</v>
      </c>
      <c r="E1016">
        <v>0.98898299763585196</v>
      </c>
      <c r="F1016">
        <v>0.66135534425113796</v>
      </c>
      <c r="G1016">
        <v>0.41849807555005197</v>
      </c>
      <c r="H1016">
        <v>0.54831598288473304</v>
      </c>
      <c r="I1016">
        <v>0.39412846147528902</v>
      </c>
      <c r="J1016">
        <v>0.52549211613620195</v>
      </c>
      <c r="K1016">
        <v>0.75922814843848097</v>
      </c>
      <c r="L1016">
        <v>5130.4908621782297</v>
      </c>
      <c r="M1016">
        <v>97.7478887327743</v>
      </c>
      <c r="O1016">
        <v>52.465015503533799</v>
      </c>
      <c r="P1016">
        <v>-0.21930409954438401</v>
      </c>
      <c r="Q1016">
        <v>0.529164568784391</v>
      </c>
      <c r="R1016">
        <v>0.84154500217800599</v>
      </c>
      <c r="S1016" t="s">
        <v>4848</v>
      </c>
      <c r="T1016" t="s">
        <v>7662</v>
      </c>
      <c r="U1016" t="s">
        <v>7662</v>
      </c>
      <c r="V1016" t="s">
        <v>7662</v>
      </c>
      <c r="W1016">
        <v>3</v>
      </c>
      <c r="X1016" t="s">
        <v>8678</v>
      </c>
      <c r="Y1016">
        <v>0.7254256052213689</v>
      </c>
      <c r="Z1016" t="str">
        <f>HYPERLINK("Melting_Curves/meltCurve_sp_P46527_CDN1B_HUMAN_.pdf", "Melting_Curves/meltCurve_sp_P46527_CDN1B_HUMAN_.pdf")</f>
        <v>Melting_Curves/meltCurve_sp_P46527_CDN1B_HUMAN_.pdf</v>
      </c>
      <c r="AA1016" t="s">
        <v>12490</v>
      </c>
      <c r="AB1016" t="s">
        <v>16257</v>
      </c>
    </row>
    <row r="1017" spans="1:28" x14ac:dyDescent="0.25">
      <c r="A1017" t="s">
        <v>1021</v>
      </c>
      <c r="B1017">
        <v>0.98876768158843997</v>
      </c>
      <c r="C1017">
        <v>0.85880270322983598</v>
      </c>
      <c r="D1017">
        <v>0.61323391317239095</v>
      </c>
      <c r="E1017">
        <v>0.42899459027562897</v>
      </c>
      <c r="F1017">
        <v>0.46715489521459402</v>
      </c>
      <c r="G1017">
        <v>0.25183312184162299</v>
      </c>
      <c r="H1017">
        <v>0.202708842882907</v>
      </c>
      <c r="I1017">
        <v>7.1078951459564499E-2</v>
      </c>
      <c r="J1017">
        <v>4.8305781828882802E-2</v>
      </c>
      <c r="K1017">
        <v>3.6844075603279701E-2</v>
      </c>
      <c r="L1017">
        <v>472.34852475208299</v>
      </c>
      <c r="M1017">
        <v>9.4523699259148692</v>
      </c>
      <c r="N1017">
        <v>49.971440562086798</v>
      </c>
      <c r="O1017">
        <v>47.888044548533799</v>
      </c>
      <c r="P1017">
        <v>-4.93759404900629E-2</v>
      </c>
      <c r="Q1017">
        <v>0</v>
      </c>
      <c r="R1017">
        <v>0.96706828612288398</v>
      </c>
      <c r="S1017" t="s">
        <v>4849</v>
      </c>
      <c r="T1017" t="s">
        <v>7662</v>
      </c>
      <c r="U1017" t="s">
        <v>7662</v>
      </c>
      <c r="V1017" t="s">
        <v>7662</v>
      </c>
      <c r="W1017">
        <v>2</v>
      </c>
      <c r="X1017" t="s">
        <v>8679</v>
      </c>
      <c r="Y1017">
        <v>0.38123448102683261</v>
      </c>
      <c r="Z1017" t="str">
        <f>HYPERLINK("Melting_Curves/meltCurve_sp_P46734_2_MP2K3_HUMAN_.pdf", "Melting_Curves/meltCurve_sp_P46734_2_MP2K3_HUMAN_.pdf")</f>
        <v>Melting_Curves/meltCurve_sp_P46734_2_MP2K3_HUMAN_.pdf</v>
      </c>
      <c r="AA1017" t="s">
        <v>12491</v>
      </c>
      <c r="AB1017" t="s">
        <v>16258</v>
      </c>
    </row>
    <row r="1018" spans="1:28" x14ac:dyDescent="0.25">
      <c r="A1018" t="s">
        <v>1022</v>
      </c>
      <c r="B1018">
        <v>0.98876768158843997</v>
      </c>
      <c r="C1018">
        <v>0.88536560365181904</v>
      </c>
      <c r="D1018">
        <v>0.93675339419569204</v>
      </c>
      <c r="E1018">
        <v>0.85948662048004698</v>
      </c>
      <c r="F1018">
        <v>0.50338056167144796</v>
      </c>
      <c r="G1018">
        <v>0.33388799272550301</v>
      </c>
      <c r="H1018">
        <v>0.249451703368475</v>
      </c>
      <c r="I1018">
        <v>0.15037671834923699</v>
      </c>
      <c r="J1018">
        <v>0.117862550163502</v>
      </c>
      <c r="K1018">
        <v>9.7313890831569397E-2</v>
      </c>
      <c r="L1018">
        <v>874.36349977663497</v>
      </c>
      <c r="M1018">
        <v>16.376885266142999</v>
      </c>
      <c r="N1018">
        <v>54.099254771707201</v>
      </c>
      <c r="O1018">
        <v>52.613074197785203</v>
      </c>
      <c r="P1018">
        <v>-7.0305542913872393E-2</v>
      </c>
      <c r="Q1018">
        <v>9.6598418966372904E-2</v>
      </c>
      <c r="R1018">
        <v>0.97983634849415102</v>
      </c>
      <c r="S1018" t="s">
        <v>4850</v>
      </c>
      <c r="T1018" t="s">
        <v>7662</v>
      </c>
      <c r="U1018" t="s">
        <v>7662</v>
      </c>
      <c r="V1018" t="s">
        <v>7662</v>
      </c>
      <c r="W1018">
        <v>6</v>
      </c>
      <c r="X1018" t="s">
        <v>8680</v>
      </c>
      <c r="Y1018">
        <v>0.51673162808959028</v>
      </c>
      <c r="Z1018" t="str">
        <f>HYPERLINK("Melting_Curves/meltCurve_sp_P46736_2_BRCC3_HUMAN_.pdf", "Melting_Curves/meltCurve_sp_P46736_2_BRCC3_HUMAN_.pdf")</f>
        <v>Melting_Curves/meltCurve_sp_P46736_2_BRCC3_HUMAN_.pdf</v>
      </c>
      <c r="AA1018" t="s">
        <v>12492</v>
      </c>
      <c r="AB1018" t="s">
        <v>16259</v>
      </c>
    </row>
    <row r="1019" spans="1:28" x14ac:dyDescent="0.25">
      <c r="A1019" t="s">
        <v>1023</v>
      </c>
      <c r="B1019">
        <v>0.98876768158843997</v>
      </c>
      <c r="C1019">
        <v>0.81068258737400201</v>
      </c>
      <c r="D1019">
        <v>0.929937368130623</v>
      </c>
      <c r="E1019">
        <v>0.44047392630087701</v>
      </c>
      <c r="F1019">
        <v>0.178840451190175</v>
      </c>
      <c r="G1019">
        <v>0.114345624998846</v>
      </c>
      <c r="H1019">
        <v>0.109774668735829</v>
      </c>
      <c r="I1019">
        <v>7.6328723211313995E-2</v>
      </c>
      <c r="J1019">
        <v>0.18362587054429</v>
      </c>
      <c r="K1019">
        <v>7.6330591168303194E-2</v>
      </c>
      <c r="L1019">
        <v>1489.77654920084</v>
      </c>
      <c r="M1019">
        <v>30.322726350340002</v>
      </c>
      <c r="N1019">
        <v>49.521613023939899</v>
      </c>
      <c r="O1019">
        <v>48.918494216771897</v>
      </c>
      <c r="P1019">
        <v>-0.13847216827952</v>
      </c>
      <c r="Q1019">
        <v>0.106438175917125</v>
      </c>
      <c r="R1019">
        <v>0.96768364524220396</v>
      </c>
      <c r="S1019" t="s">
        <v>4851</v>
      </c>
      <c r="T1019" t="s">
        <v>7662</v>
      </c>
      <c r="U1019" t="s">
        <v>7662</v>
      </c>
      <c r="V1019" t="s">
        <v>7662</v>
      </c>
      <c r="W1019">
        <v>3</v>
      </c>
      <c r="X1019" t="s">
        <v>8681</v>
      </c>
      <c r="Y1019">
        <v>0.38373404280121493</v>
      </c>
      <c r="Z1019" t="str">
        <f>HYPERLINK("Melting_Curves/meltCurve_sp_P46777_RL5_HUMAN_.pdf", "Melting_Curves/meltCurve_sp_P46777_RL5_HUMAN_.pdf")</f>
        <v>Melting_Curves/meltCurve_sp_P46777_RL5_HUMAN_.pdf</v>
      </c>
      <c r="AA1019" t="s">
        <v>12493</v>
      </c>
      <c r="AB1019" t="s">
        <v>16260</v>
      </c>
    </row>
    <row r="1020" spans="1:28" x14ac:dyDescent="0.25">
      <c r="A1020" t="s">
        <v>1024</v>
      </c>
      <c r="B1020">
        <v>0.98876768158843997</v>
      </c>
      <c r="C1020">
        <v>0.87467142083681304</v>
      </c>
      <c r="D1020">
        <v>0.74521432963700995</v>
      </c>
      <c r="E1020">
        <v>0.34457346531570798</v>
      </c>
      <c r="F1020">
        <v>0.16299217032805999</v>
      </c>
      <c r="G1020">
        <v>9.1946073025109307E-2</v>
      </c>
      <c r="H1020">
        <v>6.68569664949933E-2</v>
      </c>
      <c r="I1020">
        <v>4.0267590556058899E-2</v>
      </c>
      <c r="J1020">
        <v>9.83082985826573E-2</v>
      </c>
      <c r="K1020">
        <v>4.06698078520338E-2</v>
      </c>
      <c r="L1020">
        <v>960.03054465095499</v>
      </c>
      <c r="M1020">
        <v>20.003807358877399</v>
      </c>
      <c r="N1020">
        <v>48.263239282571597</v>
      </c>
      <c r="O1020">
        <v>47.520492199200802</v>
      </c>
      <c r="P1020">
        <v>-9.9653333614932504E-2</v>
      </c>
      <c r="Q1020">
        <v>5.3095974855250097E-2</v>
      </c>
      <c r="R1020">
        <v>0.99590725171193195</v>
      </c>
      <c r="S1020" t="s">
        <v>4852</v>
      </c>
      <c r="T1020" t="s">
        <v>7662</v>
      </c>
      <c r="U1020" t="s">
        <v>7662</v>
      </c>
      <c r="V1020" t="s">
        <v>7662</v>
      </c>
      <c r="W1020">
        <v>10</v>
      </c>
      <c r="X1020" t="s">
        <v>8682</v>
      </c>
      <c r="Y1020">
        <v>0.318817031180614</v>
      </c>
      <c r="Z1020" t="str">
        <f>HYPERLINK("Melting_Curves/meltCurve_sp_P46781_RS9_HUMAN_.pdf", "Melting_Curves/meltCurve_sp_P46781_RS9_HUMAN_.pdf")</f>
        <v>Melting_Curves/meltCurve_sp_P46781_RS9_HUMAN_.pdf</v>
      </c>
      <c r="AA1020" t="s">
        <v>12494</v>
      </c>
      <c r="AB1020" t="s">
        <v>16261</v>
      </c>
    </row>
    <row r="1021" spans="1:28" x14ac:dyDescent="0.25">
      <c r="A1021" t="s">
        <v>1025</v>
      </c>
      <c r="B1021">
        <v>0.98876768158843997</v>
      </c>
      <c r="C1021">
        <v>0.90393793118221599</v>
      </c>
      <c r="D1021">
        <v>0.65058905085433505</v>
      </c>
      <c r="E1021">
        <v>0.61162812737198702</v>
      </c>
      <c r="F1021">
        <v>0.64155370498377196</v>
      </c>
      <c r="G1021">
        <v>0.58451990478201199</v>
      </c>
      <c r="H1021">
        <v>0.44577758451021798</v>
      </c>
      <c r="I1021">
        <v>0.51596583189616596</v>
      </c>
      <c r="J1021">
        <v>0.70370661822733305</v>
      </c>
      <c r="K1021">
        <v>0.68705284662004196</v>
      </c>
      <c r="L1021">
        <v>1894.5611435840001</v>
      </c>
      <c r="M1021">
        <v>43.0245415710069</v>
      </c>
      <c r="O1021">
        <v>43.939630314965903</v>
      </c>
      <c r="P1021">
        <v>-9.8422401265111495E-2</v>
      </c>
      <c r="Q1021">
        <v>0.59793774470060701</v>
      </c>
      <c r="R1021">
        <v>0.78964159724632099</v>
      </c>
      <c r="S1021" t="s">
        <v>4853</v>
      </c>
      <c r="T1021" t="s">
        <v>7662</v>
      </c>
      <c r="U1021" t="s">
        <v>7662</v>
      </c>
      <c r="V1021" t="s">
        <v>7662</v>
      </c>
      <c r="W1021">
        <v>2</v>
      </c>
      <c r="X1021" t="s">
        <v>8683</v>
      </c>
      <c r="Y1021">
        <v>0.65320509995744303</v>
      </c>
      <c r="Z1021" t="str">
        <f>HYPERLINK("Melting_Curves/meltCurve_sp_P46783_RS10_HUMAN_.pdf", "Melting_Curves/meltCurve_sp_P46783_RS10_HUMAN_.pdf")</f>
        <v>Melting_Curves/meltCurve_sp_P46783_RS10_HUMAN_.pdf</v>
      </c>
      <c r="AA1021" t="s">
        <v>12495</v>
      </c>
      <c r="AB1021" t="s">
        <v>16262</v>
      </c>
    </row>
    <row r="1022" spans="1:28" x14ac:dyDescent="0.25">
      <c r="A1022" t="s">
        <v>1026</v>
      </c>
      <c r="B1022">
        <v>0.98876768158843997</v>
      </c>
      <c r="C1022">
        <v>0.93610353458711404</v>
      </c>
      <c r="D1022">
        <v>0.94859613869419301</v>
      </c>
      <c r="E1022">
        <v>0.86895939387063104</v>
      </c>
      <c r="F1022">
        <v>0.54276698526737999</v>
      </c>
      <c r="G1022">
        <v>0.462289120329126</v>
      </c>
      <c r="H1022">
        <v>0.35950977162322401</v>
      </c>
      <c r="I1022">
        <v>0.40166401268957203</v>
      </c>
      <c r="J1022">
        <v>0.174926073031689</v>
      </c>
      <c r="K1022">
        <v>6.9453567575734704E-2</v>
      </c>
      <c r="L1022">
        <v>531.02938424453896</v>
      </c>
      <c r="M1022">
        <v>9.33824088439839</v>
      </c>
      <c r="N1022">
        <v>56.8661115199587</v>
      </c>
      <c r="O1022">
        <v>54.441010445945501</v>
      </c>
      <c r="P1022">
        <v>-4.2909458367508202E-2</v>
      </c>
      <c r="Q1022">
        <v>0</v>
      </c>
      <c r="R1022">
        <v>0.94933449131122505</v>
      </c>
      <c r="S1022" t="s">
        <v>4854</v>
      </c>
      <c r="T1022" t="s">
        <v>7662</v>
      </c>
      <c r="U1022" t="s">
        <v>7662</v>
      </c>
      <c r="V1022" t="s">
        <v>7662</v>
      </c>
      <c r="W1022">
        <v>7</v>
      </c>
      <c r="X1022" t="s">
        <v>8684</v>
      </c>
      <c r="Y1022">
        <v>0.57797691423154141</v>
      </c>
      <c r="Z1022" t="str">
        <f>HYPERLINK("Melting_Curves/meltCurve_sp_P46926_GNPI1_HUMAN_.pdf", "Melting_Curves/meltCurve_sp_P46926_GNPI1_HUMAN_.pdf")</f>
        <v>Melting_Curves/meltCurve_sp_P46926_GNPI1_HUMAN_.pdf</v>
      </c>
      <c r="AA1022" t="s">
        <v>12496</v>
      </c>
      <c r="AB1022" t="s">
        <v>16263</v>
      </c>
    </row>
    <row r="1023" spans="1:28" x14ac:dyDescent="0.25">
      <c r="A1023" t="s">
        <v>1027</v>
      </c>
      <c r="B1023">
        <v>0.98876768158843997</v>
      </c>
      <c r="C1023">
        <v>1.1769115452137799</v>
      </c>
      <c r="D1023">
        <v>0.91041549111327602</v>
      </c>
      <c r="E1023">
        <v>0.748492443146067</v>
      </c>
      <c r="F1023">
        <v>0.964755178780762</v>
      </c>
      <c r="G1023">
        <v>0.71562948428958895</v>
      </c>
      <c r="H1023">
        <v>0.573839648593226</v>
      </c>
      <c r="I1023">
        <v>0.60130910642131796</v>
      </c>
      <c r="J1023">
        <v>0.89899023363337904</v>
      </c>
      <c r="K1023">
        <v>1.0204647963169799</v>
      </c>
      <c r="L1023">
        <v>11513.959630892799</v>
      </c>
      <c r="M1023">
        <v>250</v>
      </c>
      <c r="O1023">
        <v>46.052891153089902</v>
      </c>
      <c r="P1023">
        <v>-0.28626229546173698</v>
      </c>
      <c r="Q1023">
        <v>0.78906869843255001</v>
      </c>
      <c r="R1023">
        <v>0.36291970287303099</v>
      </c>
      <c r="S1023" t="s">
        <v>4855</v>
      </c>
      <c r="T1023" t="s">
        <v>7662</v>
      </c>
      <c r="U1023" t="s">
        <v>7662</v>
      </c>
      <c r="V1023" t="s">
        <v>7662</v>
      </c>
      <c r="W1023">
        <v>7</v>
      </c>
      <c r="X1023" t="s">
        <v>8685</v>
      </c>
      <c r="Y1023">
        <v>0.8316646108311907</v>
      </c>
      <c r="Z1023" t="str">
        <f>HYPERLINK("Melting_Curves/meltCurve_sp_P46937_YAP1_HUMAN_.pdf", "Melting_Curves/meltCurve_sp_P46937_YAP1_HUMAN_.pdf")</f>
        <v>Melting_Curves/meltCurve_sp_P46937_YAP1_HUMAN_.pdf</v>
      </c>
      <c r="AA1023" t="s">
        <v>12497</v>
      </c>
      <c r="AB1023" t="s">
        <v>16264</v>
      </c>
    </row>
    <row r="1024" spans="1:28" x14ac:dyDescent="0.25">
      <c r="A1024" t="s">
        <v>1028</v>
      </c>
      <c r="B1024">
        <v>0.98876768158843997</v>
      </c>
      <c r="C1024">
        <v>0.98164307334482503</v>
      </c>
      <c r="D1024">
        <v>0.91306752054478102</v>
      </c>
      <c r="E1024">
        <v>0.62826221823189399</v>
      </c>
      <c r="F1024">
        <v>0.354753725046419</v>
      </c>
      <c r="G1024">
        <v>0.24027999675751499</v>
      </c>
      <c r="H1024">
        <v>0.16079292495505201</v>
      </c>
      <c r="I1024">
        <v>0.14432012455620799</v>
      </c>
      <c r="J1024">
        <v>0.15876638733191101</v>
      </c>
      <c r="K1024">
        <v>0.16856439424399799</v>
      </c>
      <c r="L1024">
        <v>1132.81862159242</v>
      </c>
      <c r="M1024">
        <v>22.4475621964027</v>
      </c>
      <c r="N1024">
        <v>51.311409873667898</v>
      </c>
      <c r="O1024">
        <v>50.0697272467781</v>
      </c>
      <c r="P1024">
        <v>-9.4742764728791604E-2</v>
      </c>
      <c r="Q1024">
        <v>0.15471507969228501</v>
      </c>
      <c r="R1024">
        <v>0.99866574135450104</v>
      </c>
      <c r="S1024" t="s">
        <v>4856</v>
      </c>
      <c r="T1024" t="s">
        <v>7662</v>
      </c>
      <c r="U1024" t="s">
        <v>7662</v>
      </c>
      <c r="V1024" t="s">
        <v>7662</v>
      </c>
      <c r="W1024">
        <v>23</v>
      </c>
      <c r="X1024" t="s">
        <v>8686</v>
      </c>
      <c r="Y1024">
        <v>0.45897477523669711</v>
      </c>
      <c r="Z1024" t="str">
        <f>HYPERLINK("Melting_Curves/meltCurve_sp_P46939_UTRO_HUMAN_.pdf", "Melting_Curves/meltCurve_sp_P46939_UTRO_HUMAN_.pdf")</f>
        <v>Melting_Curves/meltCurve_sp_P46939_UTRO_HUMAN_.pdf</v>
      </c>
      <c r="AA1024" t="s">
        <v>12498</v>
      </c>
      <c r="AB1024" t="s">
        <v>16265</v>
      </c>
    </row>
    <row r="1025" spans="1:28" x14ac:dyDescent="0.25">
      <c r="A1025" t="s">
        <v>1029</v>
      </c>
      <c r="B1025">
        <v>0.98876768158843997</v>
      </c>
      <c r="C1025">
        <v>0.92194610352226103</v>
      </c>
      <c r="D1025">
        <v>0.967719152984723</v>
      </c>
      <c r="E1025">
        <v>0.76796161257954199</v>
      </c>
      <c r="F1025">
        <v>0.27962596055885403</v>
      </c>
      <c r="G1025">
        <v>0.110090877321811</v>
      </c>
      <c r="H1025">
        <v>7.3657271551984801E-2</v>
      </c>
      <c r="I1025">
        <v>4.1918776747320502E-2</v>
      </c>
      <c r="J1025">
        <v>9.1256846883081902E-2</v>
      </c>
      <c r="K1025">
        <v>4.4910979422027E-2</v>
      </c>
      <c r="L1025">
        <v>1972.2383317332001</v>
      </c>
      <c r="M1025">
        <v>38.378429675530498</v>
      </c>
      <c r="N1025">
        <v>51.5810944141056</v>
      </c>
      <c r="O1025">
        <v>51.250310185797701</v>
      </c>
      <c r="P1025">
        <v>-0.174759097771057</v>
      </c>
      <c r="Q1025">
        <v>6.6513557047318206E-2</v>
      </c>
      <c r="R1025">
        <v>0.99445829989745904</v>
      </c>
      <c r="S1025" t="s">
        <v>4857</v>
      </c>
      <c r="T1025" t="s">
        <v>7662</v>
      </c>
      <c r="U1025" t="s">
        <v>7662</v>
      </c>
      <c r="V1025" t="s">
        <v>7662</v>
      </c>
      <c r="W1025">
        <v>19</v>
      </c>
      <c r="X1025" t="s">
        <v>8687</v>
      </c>
      <c r="Y1025">
        <v>0.42450678436998712</v>
      </c>
      <c r="Z1025" t="str">
        <f>HYPERLINK("Melting_Curves/meltCurve_sp_P46940_IQGA1_HUMAN_.pdf", "Melting_Curves/meltCurve_sp_P46940_IQGA1_HUMAN_.pdf")</f>
        <v>Melting_Curves/meltCurve_sp_P46940_IQGA1_HUMAN_.pdf</v>
      </c>
      <c r="AA1025" t="s">
        <v>12499</v>
      </c>
      <c r="AB1025" t="s">
        <v>16266</v>
      </c>
    </row>
    <row r="1026" spans="1:28" x14ac:dyDescent="0.25">
      <c r="A1026" t="s">
        <v>1030</v>
      </c>
      <c r="B1026">
        <v>0.98876768158843997</v>
      </c>
      <c r="C1026">
        <v>1.13398451862215</v>
      </c>
      <c r="D1026">
        <v>0.83731720181618596</v>
      </c>
      <c r="E1026">
        <v>0.76575119003603798</v>
      </c>
      <c r="F1026">
        <v>0.77957069410049995</v>
      </c>
      <c r="G1026">
        <v>0.22461044525340201</v>
      </c>
      <c r="H1026">
        <v>5.0933403057616101E-2</v>
      </c>
      <c r="I1026">
        <v>2.8897937672181899E-2</v>
      </c>
      <c r="J1026">
        <v>2.72567474276856E-2</v>
      </c>
      <c r="K1026">
        <v>2.19221282637014E-2</v>
      </c>
      <c r="L1026">
        <v>1243.1576086095499</v>
      </c>
      <c r="M1026">
        <v>22.781831644492499</v>
      </c>
      <c r="N1026">
        <v>54.5679408966975</v>
      </c>
      <c r="O1026">
        <v>54.152712147813197</v>
      </c>
      <c r="P1026">
        <v>-0.105176058824632</v>
      </c>
      <c r="Q1026">
        <v>0</v>
      </c>
      <c r="R1026">
        <v>0.96029959873710202</v>
      </c>
      <c r="S1026" t="s">
        <v>4858</v>
      </c>
      <c r="T1026" t="s">
        <v>7662</v>
      </c>
      <c r="U1026" t="s">
        <v>7662</v>
      </c>
      <c r="V1026" t="s">
        <v>7662</v>
      </c>
      <c r="W1026">
        <v>15</v>
      </c>
      <c r="X1026" t="s">
        <v>8688</v>
      </c>
      <c r="Y1026">
        <v>0.49648369960206279</v>
      </c>
      <c r="Z1026" t="str">
        <f>HYPERLINK("Melting_Curves/meltCurve_sp_P46952_3HAO_HUMAN_.pdf", "Melting_Curves/meltCurve_sp_P46952_3HAO_HUMAN_.pdf")</f>
        <v>Melting_Curves/meltCurve_sp_P46952_3HAO_HUMAN_.pdf</v>
      </c>
      <c r="AA1026" t="s">
        <v>12500</v>
      </c>
      <c r="AB1026" t="s">
        <v>16267</v>
      </c>
    </row>
    <row r="1027" spans="1:28" x14ac:dyDescent="0.25">
      <c r="A1027" t="s">
        <v>1031</v>
      </c>
      <c r="B1027">
        <v>0.98876768158843997</v>
      </c>
      <c r="C1027">
        <v>0.87600064776804298</v>
      </c>
      <c r="D1027">
        <v>0.94944645677959005</v>
      </c>
      <c r="E1027">
        <v>0.58999268974094499</v>
      </c>
      <c r="F1027">
        <v>0.37053911185545901</v>
      </c>
      <c r="G1027">
        <v>0.25013640534975501</v>
      </c>
      <c r="H1027">
        <v>0.15821560846327201</v>
      </c>
      <c r="I1027">
        <v>0.116201045452129</v>
      </c>
      <c r="J1027">
        <v>0.18643964042133501</v>
      </c>
      <c r="K1027">
        <v>0.10436946863812099</v>
      </c>
      <c r="L1027">
        <v>968.48351677462495</v>
      </c>
      <c r="M1027">
        <v>19.174192863871301</v>
      </c>
      <c r="N1027">
        <v>51.324246857367299</v>
      </c>
      <c r="O1027">
        <v>49.969960238566301</v>
      </c>
      <c r="P1027">
        <v>-8.3348321889435195E-2</v>
      </c>
      <c r="Q1027">
        <v>0.13117548674645299</v>
      </c>
      <c r="R1027">
        <v>0.983824470019665</v>
      </c>
      <c r="S1027" t="s">
        <v>4859</v>
      </c>
      <c r="T1027" t="s">
        <v>7662</v>
      </c>
      <c r="U1027" t="s">
        <v>7662</v>
      </c>
      <c r="V1027" t="s">
        <v>7662</v>
      </c>
      <c r="W1027">
        <v>3</v>
      </c>
      <c r="X1027" t="s">
        <v>8689</v>
      </c>
      <c r="Y1027">
        <v>0.44862867042938048</v>
      </c>
      <c r="Z1027" t="str">
        <f>HYPERLINK("Melting_Curves/meltCurve_sp_P46976_2_GLYG_HUMAN_.pdf", "Melting_Curves/meltCurve_sp_P46976_2_GLYG_HUMAN_.pdf")</f>
        <v>Melting_Curves/meltCurve_sp_P46976_2_GLYG_HUMAN_.pdf</v>
      </c>
      <c r="AA1027" t="s">
        <v>12501</v>
      </c>
      <c r="AB1027" t="s">
        <v>16268</v>
      </c>
    </row>
    <row r="1028" spans="1:28" x14ac:dyDescent="0.25">
      <c r="A1028" t="s">
        <v>1032</v>
      </c>
      <c r="B1028">
        <v>0.98876768158843997</v>
      </c>
      <c r="C1028">
        <v>1.19464355067714</v>
      </c>
      <c r="D1028">
        <v>0.98821497856756202</v>
      </c>
      <c r="E1028">
        <v>0.86620550577660205</v>
      </c>
      <c r="F1028">
        <v>0.83965810749589198</v>
      </c>
      <c r="G1028">
        <v>0.56239365249957596</v>
      </c>
      <c r="H1028">
        <v>0.40318486958247202</v>
      </c>
      <c r="I1028">
        <v>0.54121887594300899</v>
      </c>
      <c r="J1028">
        <v>0.65072242764417099</v>
      </c>
      <c r="K1028">
        <v>0.66125875128852396</v>
      </c>
      <c r="L1028">
        <v>1740.4079255491999</v>
      </c>
      <c r="M1028">
        <v>32.792056982757302</v>
      </c>
      <c r="O1028">
        <v>52.8778489319104</v>
      </c>
      <c r="P1028">
        <v>-6.8470800546871505E-2</v>
      </c>
      <c r="Q1028">
        <v>0.55835978430461897</v>
      </c>
      <c r="R1028">
        <v>0.82646680057476796</v>
      </c>
      <c r="S1028" t="s">
        <v>4860</v>
      </c>
      <c r="T1028" t="s">
        <v>7662</v>
      </c>
      <c r="U1028" t="s">
        <v>7662</v>
      </c>
      <c r="V1028" t="s">
        <v>7662</v>
      </c>
      <c r="W1028">
        <v>2</v>
      </c>
      <c r="X1028" t="s">
        <v>8690</v>
      </c>
      <c r="Y1028">
        <v>0.75323366946346726</v>
      </c>
      <c r="Z1028" t="str">
        <f>HYPERLINK("Melting_Curves/meltCurve_sp_P47224_MSS4_HUMAN_.pdf", "Melting_Curves/meltCurve_sp_P47224_MSS4_HUMAN_.pdf")</f>
        <v>Melting_Curves/meltCurve_sp_P47224_MSS4_HUMAN_.pdf</v>
      </c>
      <c r="AA1028" t="s">
        <v>12502</v>
      </c>
      <c r="AB1028" t="s">
        <v>16269</v>
      </c>
    </row>
    <row r="1029" spans="1:28" x14ac:dyDescent="0.25">
      <c r="A1029" t="s">
        <v>1033</v>
      </c>
      <c r="B1029">
        <v>0.98876768158843997</v>
      </c>
      <c r="C1029">
        <v>0.85893892519242498</v>
      </c>
      <c r="D1029">
        <v>0.93289077442972801</v>
      </c>
      <c r="E1029">
        <v>0.77466964047945397</v>
      </c>
      <c r="F1029">
        <v>0.58773380076845405</v>
      </c>
      <c r="G1029">
        <v>0.31321357926038501</v>
      </c>
      <c r="H1029">
        <v>0.132715780572079</v>
      </c>
      <c r="I1029">
        <v>7.9541978982027306E-2</v>
      </c>
      <c r="J1029">
        <v>0.16670134902619799</v>
      </c>
      <c r="K1029">
        <v>9.6051590874309797E-2</v>
      </c>
      <c r="L1029">
        <v>880.31839515474701</v>
      </c>
      <c r="M1029">
        <v>16.489472809177599</v>
      </c>
      <c r="N1029">
        <v>53.878853351129798</v>
      </c>
      <c r="O1029">
        <v>52.620040261001698</v>
      </c>
      <c r="P1029">
        <v>-7.2869969378667604E-2</v>
      </c>
      <c r="Q1029">
        <v>6.9914814838913097E-2</v>
      </c>
      <c r="R1029">
        <v>0.98041228752571696</v>
      </c>
      <c r="S1029" t="s">
        <v>4861</v>
      </c>
      <c r="T1029" t="s">
        <v>7662</v>
      </c>
      <c r="U1029" t="s">
        <v>7662</v>
      </c>
      <c r="V1029" t="s">
        <v>7662</v>
      </c>
      <c r="W1029">
        <v>11</v>
      </c>
      <c r="X1029" t="s">
        <v>8691</v>
      </c>
      <c r="Y1029">
        <v>0.50218171679716561</v>
      </c>
      <c r="Z1029" t="str">
        <f>HYPERLINK("Melting_Curves/meltCurve_sp_P47755_CAZA2_HUMAN_.pdf", "Melting_Curves/meltCurve_sp_P47755_CAZA2_HUMAN_.pdf")</f>
        <v>Melting_Curves/meltCurve_sp_P47755_CAZA2_HUMAN_.pdf</v>
      </c>
      <c r="AA1029" t="s">
        <v>12503</v>
      </c>
      <c r="AB1029" t="s">
        <v>16270</v>
      </c>
    </row>
    <row r="1030" spans="1:28" x14ac:dyDescent="0.25">
      <c r="A1030" t="s">
        <v>1034</v>
      </c>
      <c r="B1030">
        <v>0.98876768158843997</v>
      </c>
      <c r="C1030">
        <v>1.1368796423409999</v>
      </c>
      <c r="D1030">
        <v>0.856851020563831</v>
      </c>
      <c r="E1030">
        <v>0.79948211423795601</v>
      </c>
      <c r="F1030">
        <v>0.90640140426728999</v>
      </c>
      <c r="G1030">
        <v>0.61354694428235601</v>
      </c>
      <c r="H1030">
        <v>0.42696931287532303</v>
      </c>
      <c r="I1030">
        <v>0.41221609514847002</v>
      </c>
      <c r="J1030">
        <v>0.39501231230634898</v>
      </c>
      <c r="K1030">
        <v>0.53042487068701205</v>
      </c>
      <c r="L1030">
        <v>967.22916826834</v>
      </c>
      <c r="M1030">
        <v>17.641520657967899</v>
      </c>
      <c r="N1030">
        <v>60.686486672734901</v>
      </c>
      <c r="O1030">
        <v>54.136928608408503</v>
      </c>
      <c r="P1030">
        <v>-4.8152306468075903E-2</v>
      </c>
      <c r="Q1030">
        <v>0.40896734055212702</v>
      </c>
      <c r="R1030">
        <v>0.87472424621827005</v>
      </c>
      <c r="S1030" t="s">
        <v>4862</v>
      </c>
      <c r="T1030" t="s">
        <v>7662</v>
      </c>
      <c r="U1030" t="s">
        <v>7662</v>
      </c>
      <c r="V1030" t="s">
        <v>7662</v>
      </c>
      <c r="W1030">
        <v>7</v>
      </c>
      <c r="X1030" t="s">
        <v>8692</v>
      </c>
      <c r="Y1030">
        <v>0.71053325639735943</v>
      </c>
      <c r="Z1030" t="str">
        <f>HYPERLINK("Melting_Curves/meltCurve_sp_P47813_IF1AX_HUMAN_.pdf", "Melting_Curves/meltCurve_sp_P47813_IF1AX_HUMAN_.pdf")</f>
        <v>Melting_Curves/meltCurve_sp_P47813_IF1AX_HUMAN_.pdf</v>
      </c>
      <c r="AA1030" t="s">
        <v>12504</v>
      </c>
      <c r="AB1030" t="s">
        <v>16271</v>
      </c>
    </row>
    <row r="1031" spans="1:28" x14ac:dyDescent="0.25">
      <c r="A1031" t="s">
        <v>1035</v>
      </c>
      <c r="B1031">
        <v>0.98876768158843997</v>
      </c>
      <c r="C1031">
        <v>0.86028792252106401</v>
      </c>
      <c r="D1031">
        <v>0.58532892842690898</v>
      </c>
      <c r="E1031">
        <v>0.25562188414731901</v>
      </c>
      <c r="F1031">
        <v>0.105030572695679</v>
      </c>
      <c r="G1031">
        <v>6.2988376194843695E-2</v>
      </c>
      <c r="H1031">
        <v>4.33414620138892E-2</v>
      </c>
      <c r="I1031">
        <v>3.8590474401087101E-2</v>
      </c>
      <c r="J1031">
        <v>6.0220949780400101E-2</v>
      </c>
      <c r="K1031">
        <v>3.6930214382000802E-2</v>
      </c>
      <c r="L1031">
        <v>947.22878448759002</v>
      </c>
      <c r="M1031">
        <v>20.2853301048122</v>
      </c>
      <c r="N1031">
        <v>46.888185557525702</v>
      </c>
      <c r="O1031">
        <v>46.248571343045498</v>
      </c>
      <c r="P1031">
        <v>-0.105266684119263</v>
      </c>
      <c r="Q1031">
        <v>4.0038510422611799E-2</v>
      </c>
      <c r="R1031">
        <v>0.99891557102914497</v>
      </c>
      <c r="S1031" t="s">
        <v>4863</v>
      </c>
      <c r="T1031" t="s">
        <v>7662</v>
      </c>
      <c r="U1031" t="s">
        <v>7662</v>
      </c>
      <c r="V1031" t="s">
        <v>7662</v>
      </c>
      <c r="W1031">
        <v>21</v>
      </c>
      <c r="X1031" t="s">
        <v>8693</v>
      </c>
      <c r="Y1031">
        <v>0.26807749209979498</v>
      </c>
      <c r="Z1031" t="str">
        <f>HYPERLINK("Melting_Curves/meltCurve_sp_P47897_SYQ_HUMAN_.pdf", "Melting_Curves/meltCurve_sp_P47897_SYQ_HUMAN_.pdf")</f>
        <v>Melting_Curves/meltCurve_sp_P47897_SYQ_HUMAN_.pdf</v>
      </c>
      <c r="AA1031" t="s">
        <v>12505</v>
      </c>
      <c r="AB1031" t="s">
        <v>16272</v>
      </c>
    </row>
    <row r="1032" spans="1:28" x14ac:dyDescent="0.25">
      <c r="A1032" t="s">
        <v>1036</v>
      </c>
      <c r="B1032">
        <v>0.98876768158843997</v>
      </c>
      <c r="C1032">
        <v>0.99192366275551802</v>
      </c>
      <c r="D1032">
        <v>0.80410508065317199</v>
      </c>
      <c r="E1032">
        <v>0.70401599638772105</v>
      </c>
      <c r="F1032">
        <v>0.89092263042537501</v>
      </c>
      <c r="G1032">
        <v>0.69099417134738395</v>
      </c>
      <c r="H1032">
        <v>0.65092660353153597</v>
      </c>
      <c r="I1032">
        <v>0.77866282313187396</v>
      </c>
      <c r="J1032">
        <v>0.75012716314491001</v>
      </c>
      <c r="K1032">
        <v>1.5761148713323001</v>
      </c>
      <c r="L1032">
        <v>15000</v>
      </c>
      <c r="M1032">
        <v>218.51926304952801</v>
      </c>
      <c r="O1032">
        <v>68.638085939376197</v>
      </c>
      <c r="P1032">
        <v>0.39795556843156599</v>
      </c>
      <c r="Q1032">
        <v>1.5</v>
      </c>
      <c r="R1032">
        <v>0.28153362792298797</v>
      </c>
      <c r="S1032" t="s">
        <v>4864</v>
      </c>
      <c r="T1032" t="s">
        <v>7662</v>
      </c>
      <c r="U1032" t="s">
        <v>7662</v>
      </c>
      <c r="V1032" t="s">
        <v>7662</v>
      </c>
      <c r="W1032">
        <v>2</v>
      </c>
      <c r="X1032" t="s">
        <v>8694</v>
      </c>
      <c r="Y1032">
        <v>1.0226030496920351</v>
      </c>
      <c r="Z1032" t="str">
        <f>HYPERLINK("Melting_Curves/meltCurve_sp_P47914_RL29_HUMAN_.pdf", "Melting_Curves/meltCurve_sp_P47914_RL29_HUMAN_.pdf")</f>
        <v>Melting_Curves/meltCurve_sp_P47914_RL29_HUMAN_.pdf</v>
      </c>
      <c r="AA1032" t="s">
        <v>12506</v>
      </c>
      <c r="AB1032" t="s">
        <v>16273</v>
      </c>
    </row>
    <row r="1033" spans="1:28" x14ac:dyDescent="0.25">
      <c r="A1033" t="s">
        <v>1037</v>
      </c>
      <c r="B1033">
        <v>0.98876768158843997</v>
      </c>
      <c r="C1033">
        <v>0.98833744907187604</v>
      </c>
      <c r="D1033">
        <v>0.71833681763318102</v>
      </c>
      <c r="E1033">
        <v>0.498777605241916</v>
      </c>
      <c r="F1033">
        <v>0.50743545995323402</v>
      </c>
      <c r="G1033">
        <v>0.320134547496494</v>
      </c>
      <c r="H1033">
        <v>0.21154229529954899</v>
      </c>
      <c r="I1033">
        <v>0.214004839772235</v>
      </c>
      <c r="J1033">
        <v>0.21619935737231</v>
      </c>
      <c r="K1033">
        <v>0.21060600655426501</v>
      </c>
      <c r="L1033">
        <v>656.30473529878498</v>
      </c>
      <c r="M1033">
        <v>13.3011380455177</v>
      </c>
      <c r="N1033">
        <v>51.1716444475665</v>
      </c>
      <c r="O1033">
        <v>48.266715657527797</v>
      </c>
      <c r="P1033">
        <v>-5.5865592563455899E-2</v>
      </c>
      <c r="Q1033">
        <v>0.18923839494522299</v>
      </c>
      <c r="R1033">
        <v>0.97270997304351203</v>
      </c>
      <c r="S1033" t="s">
        <v>4865</v>
      </c>
      <c r="T1033" t="s">
        <v>7662</v>
      </c>
      <c r="U1033" t="s">
        <v>7662</v>
      </c>
      <c r="V1033" t="s">
        <v>7662</v>
      </c>
      <c r="W1033">
        <v>2</v>
      </c>
      <c r="X1033" t="s">
        <v>8695</v>
      </c>
      <c r="Y1033">
        <v>0.46623006509110593</v>
      </c>
      <c r="Z1033" t="str">
        <f>HYPERLINK("Melting_Curves/meltCurve_sp_P47985_UCRI_HUMAN_.pdf", "Melting_Curves/meltCurve_sp_P47985_UCRI_HUMAN_.pdf")</f>
        <v>Melting_Curves/meltCurve_sp_P47985_UCRI_HUMAN_.pdf</v>
      </c>
      <c r="AA1033" t="s">
        <v>12507</v>
      </c>
      <c r="AB1033" t="s">
        <v>16274</v>
      </c>
    </row>
    <row r="1034" spans="1:28" x14ac:dyDescent="0.25">
      <c r="A1034" t="s">
        <v>1038</v>
      </c>
      <c r="B1034">
        <v>0.98876768158843997</v>
      </c>
      <c r="C1034">
        <v>0.77986935911091204</v>
      </c>
      <c r="D1034">
        <v>1.0493597342785099</v>
      </c>
      <c r="E1034">
        <v>0.85718814430494605</v>
      </c>
      <c r="F1034">
        <v>0.48895316683624801</v>
      </c>
      <c r="G1034">
        <v>0.33755015547972</v>
      </c>
      <c r="H1034">
        <v>0.27645026453860999</v>
      </c>
      <c r="I1034">
        <v>0.27294900727190002</v>
      </c>
      <c r="J1034">
        <v>0.23078001287407399</v>
      </c>
      <c r="K1034">
        <v>0.202145094079694</v>
      </c>
      <c r="L1034">
        <v>1761.1641049447001</v>
      </c>
      <c r="M1034">
        <v>33.874217082625798</v>
      </c>
      <c r="N1034">
        <v>53.094678418876697</v>
      </c>
      <c r="O1034">
        <v>51.811093064945602</v>
      </c>
      <c r="P1034">
        <v>-0.122148954596163</v>
      </c>
      <c r="Q1034">
        <v>0.25268880734841898</v>
      </c>
      <c r="R1034">
        <v>0.94227973488314498</v>
      </c>
      <c r="S1034" t="s">
        <v>4866</v>
      </c>
      <c r="T1034" t="s">
        <v>7662</v>
      </c>
      <c r="U1034" t="s">
        <v>7662</v>
      </c>
      <c r="V1034" t="s">
        <v>7662</v>
      </c>
      <c r="W1034">
        <v>47</v>
      </c>
      <c r="X1034" t="s">
        <v>8696</v>
      </c>
      <c r="Y1034">
        <v>0.55514386193617637</v>
      </c>
      <c r="Z1034" t="str">
        <f>HYPERLINK("Melting_Curves/meltCurve_sp_P47989_XDH_HUMAN_.pdf", "Melting_Curves/meltCurve_sp_P47989_XDH_HUMAN_.pdf")</f>
        <v>Melting_Curves/meltCurve_sp_P47989_XDH_HUMAN_.pdf</v>
      </c>
      <c r="AA1034" t="s">
        <v>12508</v>
      </c>
      <c r="AB1034" t="s">
        <v>16275</v>
      </c>
    </row>
    <row r="1035" spans="1:28" x14ac:dyDescent="0.25">
      <c r="A1035" t="s">
        <v>1039</v>
      </c>
      <c r="B1035">
        <v>0.98876768158843997</v>
      </c>
      <c r="C1035">
        <v>0.94417164431422096</v>
      </c>
      <c r="D1035">
        <v>0.91798752936768002</v>
      </c>
      <c r="E1035">
        <v>0.735027902255453</v>
      </c>
      <c r="F1035">
        <v>0.79391676298278502</v>
      </c>
      <c r="G1035">
        <v>0.52595876912817396</v>
      </c>
      <c r="H1035">
        <v>0.34587732657741499</v>
      </c>
      <c r="I1035">
        <v>0.3197605763227</v>
      </c>
      <c r="J1035">
        <v>0.32999249431366701</v>
      </c>
      <c r="K1035">
        <v>0.31835217738424798</v>
      </c>
      <c r="L1035">
        <v>643.35367717242298</v>
      </c>
      <c r="M1035">
        <v>11.763063124207999</v>
      </c>
      <c r="N1035">
        <v>57.736587385927898</v>
      </c>
      <c r="O1035">
        <v>53.183823334241602</v>
      </c>
      <c r="P1035">
        <v>-4.2528666061650698E-2</v>
      </c>
      <c r="Q1035">
        <v>0.23106825053789401</v>
      </c>
      <c r="R1035">
        <v>0.96730615124174302</v>
      </c>
      <c r="S1035" t="s">
        <v>4867</v>
      </c>
      <c r="T1035" t="s">
        <v>7662</v>
      </c>
      <c r="U1035" t="s">
        <v>7662</v>
      </c>
      <c r="V1035" t="s">
        <v>7662</v>
      </c>
      <c r="W1035">
        <v>9</v>
      </c>
      <c r="X1035" t="s">
        <v>8697</v>
      </c>
      <c r="Y1035">
        <v>0.62663205849805714</v>
      </c>
      <c r="Z1035" t="str">
        <f>HYPERLINK("Melting_Curves/meltCurve_sp_P48059_LIMS1_HUMAN_.pdf", "Melting_Curves/meltCurve_sp_P48059_LIMS1_HUMAN_.pdf")</f>
        <v>Melting_Curves/meltCurve_sp_P48059_LIMS1_HUMAN_.pdf</v>
      </c>
      <c r="AA1035" t="s">
        <v>12509</v>
      </c>
      <c r="AB1035" t="s">
        <v>16276</v>
      </c>
    </row>
    <row r="1036" spans="1:28" x14ac:dyDescent="0.25">
      <c r="A1036" t="s">
        <v>1040</v>
      </c>
      <c r="B1036">
        <v>0.98876768158843997</v>
      </c>
      <c r="C1036">
        <v>1.02988288847496</v>
      </c>
      <c r="D1036">
        <v>0.89917044771953303</v>
      </c>
      <c r="E1036">
        <v>0.70320072545322099</v>
      </c>
      <c r="F1036">
        <v>0.38328040271264602</v>
      </c>
      <c r="G1036">
        <v>0.14476852138406601</v>
      </c>
      <c r="H1036">
        <v>6.2984708518336402E-2</v>
      </c>
      <c r="I1036">
        <v>4.3640698216305701E-2</v>
      </c>
      <c r="J1036">
        <v>4.0422652910765897E-2</v>
      </c>
      <c r="K1036">
        <v>3.5534081071408499E-2</v>
      </c>
      <c r="L1036">
        <v>1112.75917133029</v>
      </c>
      <c r="M1036">
        <v>21.518555368424298</v>
      </c>
      <c r="N1036">
        <v>51.8598762175655</v>
      </c>
      <c r="O1036">
        <v>51.271232274757701</v>
      </c>
      <c r="P1036">
        <v>-0.101797330857548</v>
      </c>
      <c r="Q1036">
        <v>2.9833131486239499E-2</v>
      </c>
      <c r="R1036">
        <v>0.99778373413284804</v>
      </c>
      <c r="S1036" t="s">
        <v>4868</v>
      </c>
      <c r="T1036" t="s">
        <v>7662</v>
      </c>
      <c r="U1036" t="s">
        <v>7662</v>
      </c>
      <c r="V1036" t="s">
        <v>7662</v>
      </c>
      <c r="W1036">
        <v>14</v>
      </c>
      <c r="X1036" t="s">
        <v>8698</v>
      </c>
      <c r="Y1036">
        <v>0.42032103304235691</v>
      </c>
      <c r="Z1036" t="str">
        <f>HYPERLINK("Melting_Curves/meltCurve_sp_P48147_PPCE_HUMAN_.pdf", "Melting_Curves/meltCurve_sp_P48147_PPCE_HUMAN_.pdf")</f>
        <v>Melting_Curves/meltCurve_sp_P48147_PPCE_HUMAN_.pdf</v>
      </c>
      <c r="AA1036" t="s">
        <v>12510</v>
      </c>
      <c r="AB1036" t="s">
        <v>16277</v>
      </c>
    </row>
    <row r="1037" spans="1:28" x14ac:dyDescent="0.25">
      <c r="A1037" t="s">
        <v>1041</v>
      </c>
      <c r="B1037">
        <v>0.98876768158843997</v>
      </c>
      <c r="C1037">
        <v>0.95590129058040896</v>
      </c>
      <c r="D1037">
        <v>1.1535753258883701</v>
      </c>
      <c r="E1037">
        <v>1.1858898358255101</v>
      </c>
      <c r="F1037">
        <v>0.884194826240286</v>
      </c>
      <c r="G1037">
        <v>0.47446013556955902</v>
      </c>
      <c r="H1037">
        <v>0.17555159795969599</v>
      </c>
      <c r="I1037">
        <v>0.13164806222421099</v>
      </c>
      <c r="J1037">
        <v>0.111821992593161</v>
      </c>
      <c r="K1037">
        <v>8.4314928959518295E-2</v>
      </c>
      <c r="L1037">
        <v>2019.2122777637801</v>
      </c>
      <c r="M1037">
        <v>35.7841358376728</v>
      </c>
      <c r="N1037">
        <v>56.809387356864796</v>
      </c>
      <c r="O1037">
        <v>56.252230398514698</v>
      </c>
      <c r="P1037">
        <v>-0.14203689321039201</v>
      </c>
      <c r="Q1037">
        <v>0.10688178210398</v>
      </c>
      <c r="R1037">
        <v>0.96584974593350004</v>
      </c>
      <c r="S1037" t="s">
        <v>4869</v>
      </c>
      <c r="T1037" t="s">
        <v>7662</v>
      </c>
      <c r="U1037" t="s">
        <v>7662</v>
      </c>
      <c r="V1037" t="s">
        <v>7662</v>
      </c>
      <c r="W1037">
        <v>8</v>
      </c>
      <c r="X1037" t="s">
        <v>8699</v>
      </c>
      <c r="Y1037">
        <v>0.60022912322423005</v>
      </c>
      <c r="Z1037" t="str">
        <f>HYPERLINK("Melting_Curves/meltCurve_sp_P48163_MAOX_HUMAN_.pdf", "Melting_Curves/meltCurve_sp_P48163_MAOX_HUMAN_.pdf")</f>
        <v>Melting_Curves/meltCurve_sp_P48163_MAOX_HUMAN_.pdf</v>
      </c>
      <c r="AA1037" t="s">
        <v>12511</v>
      </c>
      <c r="AB1037" t="s">
        <v>16278</v>
      </c>
    </row>
    <row r="1038" spans="1:28" x14ac:dyDescent="0.25">
      <c r="A1038" t="s">
        <v>1042</v>
      </c>
      <c r="B1038">
        <v>0.98876768158843997</v>
      </c>
      <c r="C1038">
        <v>0.95934025371665999</v>
      </c>
      <c r="D1038">
        <v>0.86877966456713296</v>
      </c>
      <c r="E1038">
        <v>0.34382398360229</v>
      </c>
      <c r="F1038">
        <v>0.18945577489152399</v>
      </c>
      <c r="G1038">
        <v>0.118128470331463</v>
      </c>
      <c r="H1038">
        <v>7.4070173355931801E-2</v>
      </c>
      <c r="I1038">
        <v>8.3787567395738102E-2</v>
      </c>
      <c r="J1038">
        <v>0.114033376443193</v>
      </c>
      <c r="K1038">
        <v>6.6715148987908396E-2</v>
      </c>
      <c r="L1038">
        <v>1429.83752245092</v>
      </c>
      <c r="M1038">
        <v>29.4491329009666</v>
      </c>
      <c r="N1038">
        <v>48.8871611743144</v>
      </c>
      <c r="O1038">
        <v>48.330556195671498</v>
      </c>
      <c r="P1038">
        <v>-0.13843761378439701</v>
      </c>
      <c r="Q1038">
        <v>9.1216713287697898E-2</v>
      </c>
      <c r="R1038">
        <v>0.99729352295816098</v>
      </c>
      <c r="S1038" t="s">
        <v>4870</v>
      </c>
      <c r="T1038" t="s">
        <v>7662</v>
      </c>
      <c r="U1038" t="s">
        <v>7662</v>
      </c>
      <c r="V1038" t="s">
        <v>7662</v>
      </c>
      <c r="W1038">
        <v>3</v>
      </c>
      <c r="X1038" t="s">
        <v>8700</v>
      </c>
      <c r="Y1038">
        <v>0.35602132675444159</v>
      </c>
      <c r="Z1038" t="str">
        <f>HYPERLINK("Melting_Curves/meltCurve_sp_P48200_IREB2_HUMAN_.pdf", "Melting_Curves/meltCurve_sp_P48200_IREB2_HUMAN_.pdf")</f>
        <v>Melting_Curves/meltCurve_sp_P48200_IREB2_HUMAN_.pdf</v>
      </c>
      <c r="AA1038" t="s">
        <v>12512</v>
      </c>
      <c r="AB1038" t="s">
        <v>16279</v>
      </c>
    </row>
    <row r="1039" spans="1:28" x14ac:dyDescent="0.25">
      <c r="A1039" t="s">
        <v>1043</v>
      </c>
      <c r="B1039">
        <v>0.98876768158843997</v>
      </c>
      <c r="C1039">
        <v>1.05244694120513</v>
      </c>
      <c r="D1039">
        <v>0.94647205619845998</v>
      </c>
      <c r="E1039">
        <v>0.74919319735198397</v>
      </c>
      <c r="F1039">
        <v>0.65756796804310702</v>
      </c>
      <c r="G1039">
        <v>0.33080813631920902</v>
      </c>
      <c r="H1039">
        <v>8.9479123898718899E-2</v>
      </c>
      <c r="I1039">
        <v>5.64354727708377E-2</v>
      </c>
      <c r="J1039">
        <v>5.7003280656849203E-2</v>
      </c>
      <c r="K1039">
        <v>5.6034510723415802E-2</v>
      </c>
      <c r="L1039">
        <v>919.59539431456903</v>
      </c>
      <c r="M1039">
        <v>16.9242269667503</v>
      </c>
      <c r="N1039">
        <v>54.363385008577701</v>
      </c>
      <c r="O1039">
        <v>53.594434910814599</v>
      </c>
      <c r="P1039">
        <v>-7.8616111795961105E-2</v>
      </c>
      <c r="Q1039">
        <v>4.2391165058602298E-3</v>
      </c>
      <c r="R1039">
        <v>0.990657349994707</v>
      </c>
      <c r="S1039" t="s">
        <v>4871</v>
      </c>
      <c r="T1039" t="s">
        <v>7662</v>
      </c>
      <c r="U1039" t="s">
        <v>7662</v>
      </c>
      <c r="V1039" t="s">
        <v>7662</v>
      </c>
      <c r="W1039">
        <v>27</v>
      </c>
      <c r="X1039" t="s">
        <v>8701</v>
      </c>
      <c r="Y1039">
        <v>0.49727669883121473</v>
      </c>
      <c r="Z1039" t="str">
        <f>HYPERLINK("Melting_Curves/meltCurve_sp_P48444_COPD_HUMAN_.pdf", "Melting_Curves/meltCurve_sp_P48444_COPD_HUMAN_.pdf")</f>
        <v>Melting_Curves/meltCurve_sp_P48444_COPD_HUMAN_.pdf</v>
      </c>
      <c r="AA1039" t="s">
        <v>12513</v>
      </c>
      <c r="AB1039" t="s">
        <v>16280</v>
      </c>
    </row>
    <row r="1040" spans="1:28" x14ac:dyDescent="0.25">
      <c r="A1040" t="s">
        <v>1044</v>
      </c>
      <c r="B1040">
        <v>0.98876768158843997</v>
      </c>
      <c r="C1040">
        <v>0.89617769125285396</v>
      </c>
      <c r="D1040">
        <v>0.88721147890323704</v>
      </c>
      <c r="E1040">
        <v>0.44250236105483898</v>
      </c>
      <c r="F1040">
        <v>0.20284492819421401</v>
      </c>
      <c r="G1040">
        <v>0.113844056643161</v>
      </c>
      <c r="H1040">
        <v>8.5711264204747895E-2</v>
      </c>
      <c r="I1040">
        <v>6.7093191371520602E-2</v>
      </c>
      <c r="J1040">
        <v>9.5602675780422405E-2</v>
      </c>
      <c r="K1040">
        <v>8.0875011952034601E-2</v>
      </c>
      <c r="L1040">
        <v>1226.19963137081</v>
      </c>
      <c r="M1040">
        <v>24.937497941475499</v>
      </c>
      <c r="N1040">
        <v>49.513625348265897</v>
      </c>
      <c r="O1040">
        <v>48.857992486001201</v>
      </c>
      <c r="P1040">
        <v>-0.11748923768099399</v>
      </c>
      <c r="Q1040">
        <v>7.9264431940777105E-2</v>
      </c>
      <c r="R1040">
        <v>0.99423424079380895</v>
      </c>
      <c r="S1040" t="s">
        <v>4872</v>
      </c>
      <c r="T1040" t="s">
        <v>7662</v>
      </c>
      <c r="U1040" t="s">
        <v>7662</v>
      </c>
      <c r="V1040" t="s">
        <v>7662</v>
      </c>
      <c r="W1040">
        <v>11</v>
      </c>
      <c r="X1040" t="s">
        <v>8702</v>
      </c>
      <c r="Y1040">
        <v>0.36894140022057698</v>
      </c>
      <c r="Z1040" t="str">
        <f>HYPERLINK("Melting_Curves/meltCurve_sp_P48449_3_ERG7_HUMAN_.pdf", "Melting_Curves/meltCurve_sp_P48449_3_ERG7_HUMAN_.pdf")</f>
        <v>Melting_Curves/meltCurve_sp_P48449_3_ERG7_HUMAN_.pdf</v>
      </c>
      <c r="AA1040" t="s">
        <v>12514</v>
      </c>
      <c r="AB1040" t="s">
        <v>16281</v>
      </c>
    </row>
    <row r="1041" spans="1:28" x14ac:dyDescent="0.25">
      <c r="A1041" t="s">
        <v>1045</v>
      </c>
      <c r="B1041">
        <v>0.98876768158843997</v>
      </c>
      <c r="C1041">
        <v>0.96870065598572697</v>
      </c>
      <c r="D1041">
        <v>0.90084150919052697</v>
      </c>
      <c r="E1041">
        <v>0.54103564340370702</v>
      </c>
      <c r="F1041">
        <v>0.161031046053491</v>
      </c>
      <c r="G1041">
        <v>8.9275093952306997E-2</v>
      </c>
      <c r="H1041">
        <v>5.3387266238657603E-2</v>
      </c>
      <c r="I1041">
        <v>3.96071931759528E-2</v>
      </c>
      <c r="J1041">
        <v>4.7953989767324803E-2</v>
      </c>
      <c r="K1041">
        <v>3.4136347253931699E-2</v>
      </c>
      <c r="L1041">
        <v>1443.9186517549799</v>
      </c>
      <c r="M1041">
        <v>28.8978312145777</v>
      </c>
      <c r="N1041">
        <v>50.119035753973598</v>
      </c>
      <c r="O1041">
        <v>49.728875045475199</v>
      </c>
      <c r="P1041">
        <v>-0.139155870557823</v>
      </c>
      <c r="Q1041">
        <v>4.2140609298343103E-2</v>
      </c>
      <c r="R1041">
        <v>0.99766909598379905</v>
      </c>
      <c r="S1041" t="s">
        <v>4873</v>
      </c>
      <c r="T1041" t="s">
        <v>7662</v>
      </c>
      <c r="U1041" t="s">
        <v>7662</v>
      </c>
      <c r="V1041" t="s">
        <v>7662</v>
      </c>
      <c r="W1041">
        <v>17</v>
      </c>
      <c r="X1041" t="s">
        <v>8703</v>
      </c>
      <c r="Y1041">
        <v>0.36673944620762428</v>
      </c>
      <c r="Z1041" t="str">
        <f>HYPERLINK("Melting_Curves/meltCurve_sp_P48506_GSH1_HUMAN_.pdf", "Melting_Curves/meltCurve_sp_P48506_GSH1_HUMAN_.pdf")</f>
        <v>Melting_Curves/meltCurve_sp_P48506_GSH1_HUMAN_.pdf</v>
      </c>
      <c r="AA1041" t="s">
        <v>12515</v>
      </c>
      <c r="AB1041" t="s">
        <v>16282</v>
      </c>
    </row>
    <row r="1042" spans="1:28" x14ac:dyDescent="0.25">
      <c r="A1042" t="s">
        <v>1046</v>
      </c>
      <c r="B1042">
        <v>0.98876768158843997</v>
      </c>
      <c r="C1042">
        <v>0.99252892943029103</v>
      </c>
      <c r="D1042">
        <v>0.86193688244661704</v>
      </c>
      <c r="E1042">
        <v>0.737954780440508</v>
      </c>
      <c r="F1042">
        <v>0.31806419687698201</v>
      </c>
      <c r="G1042">
        <v>0.13921486806042199</v>
      </c>
      <c r="H1042">
        <v>9.1269405118879807E-2</v>
      </c>
      <c r="I1042">
        <v>8.6701340230508406E-2</v>
      </c>
      <c r="J1042">
        <v>7.6440491750080497E-2</v>
      </c>
      <c r="K1042">
        <v>9.3537713352779495E-2</v>
      </c>
      <c r="L1042">
        <v>1375.5624980484699</v>
      </c>
      <c r="M1042">
        <v>26.832696132135901</v>
      </c>
      <c r="N1042">
        <v>51.5988526757342</v>
      </c>
      <c r="O1042">
        <v>50.982220580220101</v>
      </c>
      <c r="P1042">
        <v>-0.12107783652670499</v>
      </c>
      <c r="Q1042">
        <v>7.9816018982976994E-2</v>
      </c>
      <c r="R1042">
        <v>0.99115083663607995</v>
      </c>
      <c r="S1042" t="s">
        <v>4874</v>
      </c>
      <c r="T1042" t="s">
        <v>7662</v>
      </c>
      <c r="U1042" t="s">
        <v>7662</v>
      </c>
      <c r="V1042" t="s">
        <v>7662</v>
      </c>
      <c r="W1042">
        <v>8</v>
      </c>
      <c r="X1042" t="s">
        <v>8704</v>
      </c>
      <c r="Y1042">
        <v>0.4325809768793929</v>
      </c>
      <c r="Z1042" t="str">
        <f>HYPERLINK("Melting_Curves/meltCurve_sp_P48507_GSH0_HUMAN_.pdf", "Melting_Curves/meltCurve_sp_P48507_GSH0_HUMAN_.pdf")</f>
        <v>Melting_Curves/meltCurve_sp_P48507_GSH0_HUMAN_.pdf</v>
      </c>
      <c r="AA1042" t="s">
        <v>12516</v>
      </c>
      <c r="AB1042" t="s">
        <v>16283</v>
      </c>
    </row>
    <row r="1043" spans="1:28" x14ac:dyDescent="0.25">
      <c r="A1043" t="s">
        <v>1047</v>
      </c>
      <c r="B1043">
        <v>0.98876768158843997</v>
      </c>
      <c r="C1043">
        <v>1.09111527562363</v>
      </c>
      <c r="D1043">
        <v>0.86817919674497002</v>
      </c>
      <c r="E1043">
        <v>0.72893224467726403</v>
      </c>
      <c r="F1043">
        <v>0.78774019168572396</v>
      </c>
      <c r="G1043">
        <v>0.57659090638010402</v>
      </c>
      <c r="H1043">
        <v>0.46750824964772703</v>
      </c>
      <c r="I1043">
        <v>0.52832738295092596</v>
      </c>
      <c r="J1043">
        <v>0.67022656725248797</v>
      </c>
      <c r="K1043">
        <v>0.76016929767191999</v>
      </c>
      <c r="L1043">
        <v>1013.82367129665</v>
      </c>
      <c r="M1043">
        <v>20.715492817539999</v>
      </c>
      <c r="O1043">
        <v>48.491148523847201</v>
      </c>
      <c r="P1043">
        <v>-4.1764383579922001E-2</v>
      </c>
      <c r="Q1043">
        <v>0.60896025044830504</v>
      </c>
      <c r="R1043">
        <v>0.75631987020729696</v>
      </c>
      <c r="S1043" t="s">
        <v>4875</v>
      </c>
      <c r="T1043" t="s">
        <v>7662</v>
      </c>
      <c r="U1043" t="s">
        <v>7662</v>
      </c>
      <c r="V1043" t="s">
        <v>7662</v>
      </c>
      <c r="W1043">
        <v>22</v>
      </c>
      <c r="X1043" t="s">
        <v>8705</v>
      </c>
      <c r="Y1043">
        <v>0.7305958190139632</v>
      </c>
      <c r="Z1043" t="str">
        <f>HYPERLINK("Melting_Curves/meltCurve_sp_P48634_PRC2A_HUMAN_.pdf", "Melting_Curves/meltCurve_sp_P48634_PRC2A_HUMAN_.pdf")</f>
        <v>Melting_Curves/meltCurve_sp_P48634_PRC2A_HUMAN_.pdf</v>
      </c>
      <c r="AA1043" t="s">
        <v>12517</v>
      </c>
      <c r="AB1043" t="s">
        <v>16284</v>
      </c>
    </row>
    <row r="1044" spans="1:28" x14ac:dyDescent="0.25">
      <c r="A1044" t="s">
        <v>1048</v>
      </c>
      <c r="B1044">
        <v>0.98876768158843997</v>
      </c>
      <c r="C1044">
        <v>0.80550530354869398</v>
      </c>
      <c r="D1044">
        <v>0.93356221239168502</v>
      </c>
      <c r="E1044">
        <v>0.78196708879517296</v>
      </c>
      <c r="F1044">
        <v>0.694077613474958</v>
      </c>
      <c r="G1044">
        <v>0.50375070804285205</v>
      </c>
      <c r="H1044">
        <v>0.29492924875985399</v>
      </c>
      <c r="I1044">
        <v>9.5870317540613106E-2</v>
      </c>
      <c r="J1044">
        <v>4.2938520063412602E-2</v>
      </c>
      <c r="K1044">
        <v>5.2406694742566401E-2</v>
      </c>
      <c r="L1044">
        <v>721.28396313170504</v>
      </c>
      <c r="M1044">
        <v>12.885269670577401</v>
      </c>
      <c r="N1044">
        <v>55.977405414804799</v>
      </c>
      <c r="O1044">
        <v>54.680558075485301</v>
      </c>
      <c r="P1044">
        <v>-5.8922337373050401E-2</v>
      </c>
      <c r="Q1044">
        <v>0</v>
      </c>
      <c r="R1044">
        <v>0.96195871985805803</v>
      </c>
      <c r="S1044" t="s">
        <v>4876</v>
      </c>
      <c r="T1044" t="s">
        <v>7662</v>
      </c>
      <c r="U1044" t="s">
        <v>7662</v>
      </c>
      <c r="V1044" t="s">
        <v>7662</v>
      </c>
      <c r="W1044">
        <v>28</v>
      </c>
      <c r="X1044" t="s">
        <v>8706</v>
      </c>
      <c r="Y1044">
        <v>0.55236265578932575</v>
      </c>
      <c r="Z1044" t="str">
        <f>HYPERLINK("Melting_Curves/meltCurve_sp_P48637_GSHB_HUMAN_.pdf", "Melting_Curves/meltCurve_sp_P48637_GSHB_HUMAN_.pdf")</f>
        <v>Melting_Curves/meltCurve_sp_P48637_GSHB_HUMAN_.pdf</v>
      </c>
      <c r="AA1044" t="s">
        <v>12518</v>
      </c>
      <c r="AB1044" t="s">
        <v>16285</v>
      </c>
    </row>
    <row r="1045" spans="1:28" x14ac:dyDescent="0.25">
      <c r="A1045" t="s">
        <v>1049</v>
      </c>
      <c r="B1045">
        <v>0.98876768158843997</v>
      </c>
      <c r="C1045">
        <v>1.0046392729779701</v>
      </c>
      <c r="D1045">
        <v>1.10372729098586</v>
      </c>
      <c r="E1045">
        <v>0.98394654662805303</v>
      </c>
      <c r="F1045">
        <v>0.50405623051116299</v>
      </c>
      <c r="G1045">
        <v>0.184067743603443</v>
      </c>
      <c r="H1045">
        <v>6.5909231700277598E-2</v>
      </c>
      <c r="I1045">
        <v>4.8457922567623497E-2</v>
      </c>
      <c r="J1045">
        <v>6.9542168207681804E-2</v>
      </c>
      <c r="K1045">
        <v>4.6261615532536E-2</v>
      </c>
      <c r="L1045">
        <v>2338.5780859952101</v>
      </c>
      <c r="M1045">
        <v>44.1577494257157</v>
      </c>
      <c r="N1045">
        <v>53.146815822902397</v>
      </c>
      <c r="O1045">
        <v>52.851367979611297</v>
      </c>
      <c r="P1045">
        <v>-0.19383338877592601</v>
      </c>
      <c r="Q1045">
        <v>7.2023004679134597E-2</v>
      </c>
      <c r="R1045">
        <v>0.98954690593625205</v>
      </c>
      <c r="S1045" t="s">
        <v>4877</v>
      </c>
      <c r="T1045" t="s">
        <v>7662</v>
      </c>
      <c r="U1045" t="s">
        <v>7662</v>
      </c>
      <c r="V1045" t="s">
        <v>7662</v>
      </c>
      <c r="W1045">
        <v>23</v>
      </c>
      <c r="X1045" t="s">
        <v>8707</v>
      </c>
      <c r="Y1045">
        <v>0.47567999132362532</v>
      </c>
      <c r="Z1045" t="str">
        <f>HYPERLINK("Melting_Curves/meltCurve_sp_P48643_TCPE_HUMAN_.pdf", "Melting_Curves/meltCurve_sp_P48643_TCPE_HUMAN_.pdf")</f>
        <v>Melting_Curves/meltCurve_sp_P48643_TCPE_HUMAN_.pdf</v>
      </c>
      <c r="AA1045" t="s">
        <v>12519</v>
      </c>
      <c r="AB1045" t="s">
        <v>16286</v>
      </c>
    </row>
    <row r="1046" spans="1:28" x14ac:dyDescent="0.25">
      <c r="A1046" t="s">
        <v>1050</v>
      </c>
      <c r="B1046">
        <v>0.98876768158843997</v>
      </c>
      <c r="C1046">
        <v>1.0896578423572401</v>
      </c>
      <c r="D1046">
        <v>0.83091969359679396</v>
      </c>
      <c r="E1046">
        <v>0.57900416262704602</v>
      </c>
      <c r="F1046">
        <v>0.18345231687482799</v>
      </c>
      <c r="G1046">
        <v>8.0336812577435704E-2</v>
      </c>
      <c r="H1046">
        <v>4.9293174808337899E-2</v>
      </c>
      <c r="I1046">
        <v>4.1442671475352397E-2</v>
      </c>
      <c r="J1046">
        <v>4.3856560684887802E-2</v>
      </c>
      <c r="K1046">
        <v>4.2269254058708502E-2</v>
      </c>
      <c r="L1046">
        <v>1285.35197025659</v>
      </c>
      <c r="M1046">
        <v>25.6556687112232</v>
      </c>
      <c r="N1046">
        <v>50.249051712102002</v>
      </c>
      <c r="O1046">
        <v>49.7987012056401</v>
      </c>
      <c r="P1046">
        <v>-0.124082938494083</v>
      </c>
      <c r="Q1046">
        <v>3.6611448471279701E-2</v>
      </c>
      <c r="R1046">
        <v>0.98742914359517497</v>
      </c>
      <c r="S1046" t="s">
        <v>4878</v>
      </c>
      <c r="T1046" t="s">
        <v>7662</v>
      </c>
      <c r="U1046" t="s">
        <v>7662</v>
      </c>
      <c r="V1046" t="s">
        <v>7662</v>
      </c>
      <c r="W1046">
        <v>17</v>
      </c>
      <c r="X1046" t="s">
        <v>8708</v>
      </c>
      <c r="Y1046">
        <v>0.36913864322216222</v>
      </c>
      <c r="Z1046" t="str">
        <f>HYPERLINK("Melting_Curves/meltCurve_sp_P48728_GCST_HUMAN_.pdf", "Melting_Curves/meltCurve_sp_P48728_GCST_HUMAN_.pdf")</f>
        <v>Melting_Curves/meltCurve_sp_P48728_GCST_HUMAN_.pdf</v>
      </c>
      <c r="AA1046" t="s">
        <v>12520</v>
      </c>
      <c r="AB1046" t="s">
        <v>16287</v>
      </c>
    </row>
    <row r="1047" spans="1:28" x14ac:dyDescent="0.25">
      <c r="A1047" t="s">
        <v>1051</v>
      </c>
      <c r="B1047">
        <v>0.98876768158843997</v>
      </c>
      <c r="C1047">
        <v>1.2147204975052699</v>
      </c>
      <c r="D1047">
        <v>0.891380349544726</v>
      </c>
      <c r="E1047">
        <v>0.83927656970173004</v>
      </c>
      <c r="F1047">
        <v>0.82724306324044306</v>
      </c>
      <c r="G1047">
        <v>0.57666032814167301</v>
      </c>
      <c r="H1047">
        <v>0.48881794125523098</v>
      </c>
      <c r="I1047">
        <v>0.49450575196692198</v>
      </c>
      <c r="J1047">
        <v>0.668792688520774</v>
      </c>
      <c r="K1047">
        <v>0.75096717477564401</v>
      </c>
      <c r="L1047">
        <v>1254.7135392115199</v>
      </c>
      <c r="M1047">
        <v>24.216606008341799</v>
      </c>
      <c r="O1047">
        <v>51.462679855473702</v>
      </c>
      <c r="P1047">
        <v>-4.7761647311683801E-2</v>
      </c>
      <c r="Q1047">
        <v>0.59401331581012395</v>
      </c>
      <c r="R1047">
        <v>0.74226767730902898</v>
      </c>
      <c r="S1047" t="s">
        <v>4879</v>
      </c>
      <c r="T1047" t="s">
        <v>7662</v>
      </c>
      <c r="U1047" t="s">
        <v>7662</v>
      </c>
      <c r="V1047" t="s">
        <v>7662</v>
      </c>
      <c r="W1047">
        <v>1</v>
      </c>
      <c r="X1047" t="s">
        <v>8709</v>
      </c>
      <c r="Y1047">
        <v>0.75779866442790556</v>
      </c>
      <c r="Z1047" t="str">
        <f>HYPERLINK("Melting_Curves/meltCurve_sp_P48730_2_KC1D_HUMAN_.pdf", "Melting_Curves/meltCurve_sp_P48730_2_KC1D_HUMAN_.pdf")</f>
        <v>Melting_Curves/meltCurve_sp_P48730_2_KC1D_HUMAN_.pdf</v>
      </c>
      <c r="AA1047" t="s">
        <v>12521</v>
      </c>
      <c r="AB1047" t="s">
        <v>16288</v>
      </c>
    </row>
    <row r="1048" spans="1:28" x14ac:dyDescent="0.25">
      <c r="A1048" t="s">
        <v>1052</v>
      </c>
      <c r="B1048">
        <v>0.98876768158843997</v>
      </c>
      <c r="C1048">
        <v>0.70665569356402103</v>
      </c>
      <c r="D1048">
        <v>0.27114912928387802</v>
      </c>
      <c r="E1048">
        <v>8.0434379362689698E-2</v>
      </c>
      <c r="F1048">
        <v>4.5037373109672901E-2</v>
      </c>
      <c r="G1048">
        <v>2.4302899155894699E-2</v>
      </c>
      <c r="H1048">
        <v>1.56577731965361E-2</v>
      </c>
      <c r="I1048">
        <v>1.3954121786220099E-2</v>
      </c>
      <c r="J1048">
        <v>1.62196789090196E-2</v>
      </c>
      <c r="K1048">
        <v>1.30791280672489E-2</v>
      </c>
      <c r="L1048">
        <v>1250.98557254666</v>
      </c>
      <c r="M1048">
        <v>28.262203189869201</v>
      </c>
      <c r="N1048">
        <v>44.335483395144003</v>
      </c>
      <c r="O1048">
        <v>44.043745026432603</v>
      </c>
      <c r="P1048">
        <v>-0.15682780679279501</v>
      </c>
      <c r="Q1048">
        <v>2.2408344044887601E-2</v>
      </c>
      <c r="R1048">
        <v>0.99798324124149995</v>
      </c>
      <c r="S1048" t="s">
        <v>4880</v>
      </c>
      <c r="T1048" t="s">
        <v>7662</v>
      </c>
      <c r="U1048" t="s">
        <v>7662</v>
      </c>
      <c r="V1048" t="s">
        <v>7662</v>
      </c>
      <c r="W1048">
        <v>31</v>
      </c>
      <c r="X1048" t="s">
        <v>8710</v>
      </c>
      <c r="Y1048">
        <v>0.16926790221927571</v>
      </c>
      <c r="Z1048" t="str">
        <f>HYPERLINK("Melting_Curves/meltCurve_sp_P48735_IDHP_HUMAN_.pdf", "Melting_Curves/meltCurve_sp_P48735_IDHP_HUMAN_.pdf")</f>
        <v>Melting_Curves/meltCurve_sp_P48735_IDHP_HUMAN_.pdf</v>
      </c>
      <c r="AA1048" t="s">
        <v>12522</v>
      </c>
      <c r="AB1048" t="s">
        <v>16289</v>
      </c>
    </row>
    <row r="1049" spans="1:28" x14ac:dyDescent="0.25">
      <c r="A1049" t="s">
        <v>1053</v>
      </c>
      <c r="B1049">
        <v>0.98876768158843997</v>
      </c>
      <c r="C1049">
        <v>1.0854780592799</v>
      </c>
      <c r="D1049">
        <v>0.88855398835666299</v>
      </c>
      <c r="E1049">
        <v>0.72590852690667895</v>
      </c>
      <c r="F1049">
        <v>0.72420963415036299</v>
      </c>
      <c r="G1049">
        <v>0.392733980682896</v>
      </c>
      <c r="H1049">
        <v>9.2499119774126407E-2</v>
      </c>
      <c r="I1049">
        <v>6.9020260346835699E-2</v>
      </c>
      <c r="J1049">
        <v>8.1887748971063906E-2</v>
      </c>
      <c r="K1049">
        <v>6.0097965713724E-2</v>
      </c>
      <c r="L1049">
        <v>853.34649153160603</v>
      </c>
      <c r="M1049">
        <v>15.5438909705434</v>
      </c>
      <c r="N1049">
        <v>54.899135926607997</v>
      </c>
      <c r="O1049">
        <v>54.014591449674199</v>
      </c>
      <c r="P1049">
        <v>-7.1949349682190106E-2</v>
      </c>
      <c r="Q1049">
        <v>0</v>
      </c>
      <c r="R1049">
        <v>0.97400083276541205</v>
      </c>
      <c r="S1049" t="s">
        <v>4881</v>
      </c>
      <c r="T1049" t="s">
        <v>7662</v>
      </c>
      <c r="U1049" t="s">
        <v>7662</v>
      </c>
      <c r="V1049" t="s">
        <v>7662</v>
      </c>
      <c r="W1049">
        <v>21</v>
      </c>
      <c r="X1049" t="s">
        <v>8711</v>
      </c>
      <c r="Y1049">
        <v>0.51530498656704815</v>
      </c>
      <c r="Z1049" t="str">
        <f>HYPERLINK("Melting_Curves/meltCurve_sp_P48739_PIPNB_HUMAN_.pdf", "Melting_Curves/meltCurve_sp_P48739_PIPNB_HUMAN_.pdf")</f>
        <v>Melting_Curves/meltCurve_sp_P48739_PIPNB_HUMAN_.pdf</v>
      </c>
      <c r="AA1049" t="s">
        <v>12523</v>
      </c>
      <c r="AB1049" t="s">
        <v>16290</v>
      </c>
    </row>
    <row r="1050" spans="1:28" x14ac:dyDescent="0.25">
      <c r="A1050" t="s">
        <v>1054</v>
      </c>
      <c r="B1050">
        <v>0.98876768158843997</v>
      </c>
      <c r="C1050">
        <v>1.1310789338148599</v>
      </c>
      <c r="D1050">
        <v>0.95874369605222398</v>
      </c>
      <c r="E1050">
        <v>0.84114672601337204</v>
      </c>
      <c r="F1050">
        <v>1.1590340786030799</v>
      </c>
      <c r="G1050">
        <v>0.82247782370836697</v>
      </c>
      <c r="H1050">
        <v>0.73688918326119202</v>
      </c>
      <c r="I1050">
        <v>0.73618354151037901</v>
      </c>
      <c r="J1050">
        <v>1.02468632605018</v>
      </c>
      <c r="K1050">
        <v>1.1342234149949</v>
      </c>
      <c r="L1050">
        <v>4047.92823504219</v>
      </c>
      <c r="M1050">
        <v>73.3057839926133</v>
      </c>
      <c r="O1050">
        <v>55.178713496338602</v>
      </c>
      <c r="P1050">
        <v>-3.5186606564624502E-2</v>
      </c>
      <c r="Q1050">
        <v>0.89405740082436802</v>
      </c>
      <c r="R1050">
        <v>0.14642531829238301</v>
      </c>
      <c r="S1050" t="s">
        <v>4882</v>
      </c>
      <c r="T1050" t="s">
        <v>7662</v>
      </c>
      <c r="U1050" t="s">
        <v>7662</v>
      </c>
      <c r="V1050" t="s">
        <v>7662</v>
      </c>
      <c r="W1050">
        <v>2</v>
      </c>
      <c r="X1050" t="s">
        <v>8712</v>
      </c>
      <c r="Y1050">
        <v>0.94792447816730574</v>
      </c>
      <c r="Z1050" t="str">
        <f>HYPERLINK("Melting_Curves/meltCurve_sp_P49006_MRP_HUMAN_.pdf", "Melting_Curves/meltCurve_sp_P49006_MRP_HUMAN_.pdf")</f>
        <v>Melting_Curves/meltCurve_sp_P49006_MRP_HUMAN_.pdf</v>
      </c>
      <c r="AA1050" t="s">
        <v>12524</v>
      </c>
      <c r="AB1050" t="s">
        <v>16291</v>
      </c>
    </row>
    <row r="1051" spans="1:28" x14ac:dyDescent="0.25">
      <c r="A1051" t="s">
        <v>1055</v>
      </c>
      <c r="B1051">
        <v>0.98876768158843997</v>
      </c>
      <c r="C1051">
        <v>0.90519554076118702</v>
      </c>
      <c r="D1051">
        <v>0.99011409945316198</v>
      </c>
      <c r="E1051">
        <v>0.85176513610976501</v>
      </c>
      <c r="F1051">
        <v>0.40605178877731901</v>
      </c>
      <c r="G1051">
        <v>0.133658731850197</v>
      </c>
      <c r="H1051">
        <v>4.9078401390319201E-2</v>
      </c>
      <c r="I1051">
        <v>3.5041953419598801E-2</v>
      </c>
      <c r="J1051">
        <v>4.31838398537897E-2</v>
      </c>
      <c r="K1051">
        <v>3.0611047350952401E-2</v>
      </c>
      <c r="L1051">
        <v>1754.9986780224101</v>
      </c>
      <c r="M1051">
        <v>33.528544137944102</v>
      </c>
      <c r="N1051">
        <v>52.482662993267901</v>
      </c>
      <c r="O1051">
        <v>52.158269086621402</v>
      </c>
      <c r="P1051">
        <v>-0.15386732364476299</v>
      </c>
      <c r="Q1051">
        <v>4.2556739591387303E-2</v>
      </c>
      <c r="R1051">
        <v>0.99368722746682303</v>
      </c>
      <c r="S1051" t="s">
        <v>4883</v>
      </c>
      <c r="T1051" t="s">
        <v>7662</v>
      </c>
      <c r="U1051" t="s">
        <v>7662</v>
      </c>
      <c r="V1051" t="s">
        <v>7662</v>
      </c>
      <c r="W1051">
        <v>25</v>
      </c>
      <c r="X1051" t="s">
        <v>8713</v>
      </c>
      <c r="Y1051">
        <v>0.44142512920297911</v>
      </c>
      <c r="Z1051" t="str">
        <f>HYPERLINK("Melting_Curves/meltCurve_sp_P49189_AL9A1_HUMAN_.pdf", "Melting_Curves/meltCurve_sp_P49189_AL9A1_HUMAN_.pdf")</f>
        <v>Melting_Curves/meltCurve_sp_P49189_AL9A1_HUMAN_.pdf</v>
      </c>
      <c r="AA1051" t="s">
        <v>12525</v>
      </c>
      <c r="AB1051" t="s">
        <v>16292</v>
      </c>
    </row>
    <row r="1052" spans="1:28" x14ac:dyDescent="0.25">
      <c r="A1052" t="s">
        <v>1056</v>
      </c>
      <c r="B1052">
        <v>0.98876768158843997</v>
      </c>
      <c r="C1052">
        <v>1.1157590260000101</v>
      </c>
      <c r="D1052">
        <v>0.89988103937873398</v>
      </c>
      <c r="E1052">
        <v>0.80980882403013899</v>
      </c>
      <c r="F1052">
        <v>0.837196589077284</v>
      </c>
      <c r="G1052">
        <v>0.60720110932109395</v>
      </c>
      <c r="H1052">
        <v>0.48078281063424999</v>
      </c>
      <c r="I1052">
        <v>0.58518493946015904</v>
      </c>
      <c r="J1052">
        <v>0.67480734522976404</v>
      </c>
      <c r="K1052">
        <v>0.84355939634667199</v>
      </c>
      <c r="L1052">
        <v>1099.3670102636599</v>
      </c>
      <c r="M1052">
        <v>21.7690890830077</v>
      </c>
      <c r="O1052">
        <v>50.080921663034701</v>
      </c>
      <c r="P1052">
        <v>-3.8811632623945901E-2</v>
      </c>
      <c r="Q1052">
        <v>0.64285560208246995</v>
      </c>
      <c r="R1052">
        <v>0.68961049461392598</v>
      </c>
      <c r="S1052" t="s">
        <v>4884</v>
      </c>
      <c r="T1052" t="s">
        <v>7662</v>
      </c>
      <c r="U1052" t="s">
        <v>7662</v>
      </c>
      <c r="V1052" t="s">
        <v>7662</v>
      </c>
      <c r="W1052">
        <v>12</v>
      </c>
      <c r="X1052" t="s">
        <v>8714</v>
      </c>
      <c r="Y1052">
        <v>0.77208622410363315</v>
      </c>
      <c r="Z1052" t="str">
        <f>HYPERLINK("Melting_Curves/meltCurve_sp_P49321_NASP_HUMAN_.pdf", "Melting_Curves/meltCurve_sp_P49321_NASP_HUMAN_.pdf")</f>
        <v>Melting_Curves/meltCurve_sp_P49321_NASP_HUMAN_.pdf</v>
      </c>
      <c r="AA1052" t="s">
        <v>12526</v>
      </c>
      <c r="AB1052" t="s">
        <v>16293</v>
      </c>
    </row>
    <row r="1053" spans="1:28" x14ac:dyDescent="0.25">
      <c r="A1053" t="s">
        <v>1057</v>
      </c>
      <c r="B1053">
        <v>0.98876768158843997</v>
      </c>
      <c r="C1053">
        <v>0.83618931487581405</v>
      </c>
      <c r="D1053">
        <v>0.72230421371738496</v>
      </c>
      <c r="E1053">
        <v>0.24259651333061999</v>
      </c>
      <c r="F1053">
        <v>0.144578440711079</v>
      </c>
      <c r="G1053">
        <v>7.9261446308260694E-2</v>
      </c>
      <c r="H1053">
        <v>5.7131797885482602E-2</v>
      </c>
      <c r="I1053">
        <v>5.1368370010238099E-2</v>
      </c>
      <c r="J1053">
        <v>4.3329573252652201E-2</v>
      </c>
      <c r="K1053">
        <v>1.7809590700800501E-2</v>
      </c>
      <c r="L1053">
        <v>986.22491315362504</v>
      </c>
      <c r="M1053">
        <v>20.800345629085498</v>
      </c>
      <c r="N1053">
        <v>47.598270994841897</v>
      </c>
      <c r="O1053">
        <v>46.982148042513202</v>
      </c>
      <c r="P1053">
        <v>-0.106400569045754</v>
      </c>
      <c r="Q1053">
        <v>3.8710456371958898E-2</v>
      </c>
      <c r="R1053">
        <v>0.99215472636798396</v>
      </c>
      <c r="S1053" t="s">
        <v>4885</v>
      </c>
      <c r="T1053" t="s">
        <v>7662</v>
      </c>
      <c r="U1053" t="s">
        <v>7662</v>
      </c>
      <c r="V1053" t="s">
        <v>7662</v>
      </c>
      <c r="W1053">
        <v>2</v>
      </c>
      <c r="X1053" t="s">
        <v>8715</v>
      </c>
      <c r="Y1053">
        <v>0.28900539194788383</v>
      </c>
      <c r="Z1053" t="str">
        <f>HYPERLINK("Melting_Curves/meltCurve_sp_P49326_FMO5_HUMAN_.pdf", "Melting_Curves/meltCurve_sp_P49326_FMO5_HUMAN_.pdf")</f>
        <v>Melting_Curves/meltCurve_sp_P49326_FMO5_HUMAN_.pdf</v>
      </c>
      <c r="AA1053" t="s">
        <v>12527</v>
      </c>
      <c r="AB1053" t="s">
        <v>16294</v>
      </c>
    </row>
    <row r="1054" spans="1:28" x14ac:dyDescent="0.25">
      <c r="A1054" t="s">
        <v>1058</v>
      </c>
      <c r="B1054">
        <v>0.98876768158843997</v>
      </c>
      <c r="C1054">
        <v>0.89424991756028205</v>
      </c>
      <c r="D1054">
        <v>1.1424184909947399</v>
      </c>
      <c r="E1054">
        <v>0.76921738136987095</v>
      </c>
      <c r="F1054">
        <v>0.13876659421426099</v>
      </c>
      <c r="G1054">
        <v>8.2852932708582294E-2</v>
      </c>
      <c r="H1054">
        <v>4.5466498535325903E-2</v>
      </c>
      <c r="I1054">
        <v>4.0484594476572003E-2</v>
      </c>
      <c r="J1054">
        <v>4.5811876786888001E-2</v>
      </c>
      <c r="K1054">
        <v>3.8348158959032597E-2</v>
      </c>
      <c r="L1054">
        <v>3061.4082105511402</v>
      </c>
      <c r="M1054">
        <v>60.076806977666998</v>
      </c>
      <c r="N1054">
        <v>51.049012670602103</v>
      </c>
      <c r="O1054">
        <v>50.901857013813697</v>
      </c>
      <c r="P1054">
        <v>-0.28011515933289899</v>
      </c>
      <c r="Q1054">
        <v>5.0656700172497099E-2</v>
      </c>
      <c r="R1054">
        <v>0.98298538011357595</v>
      </c>
      <c r="S1054" t="s">
        <v>4886</v>
      </c>
      <c r="T1054" t="s">
        <v>7662</v>
      </c>
      <c r="U1054" t="s">
        <v>7662</v>
      </c>
      <c r="V1054" t="s">
        <v>7662</v>
      </c>
      <c r="W1054">
        <v>99</v>
      </c>
      <c r="X1054" t="s">
        <v>8716</v>
      </c>
      <c r="Y1054">
        <v>0.3989032363931464</v>
      </c>
      <c r="Z1054" t="str">
        <f>HYPERLINK("Melting_Curves/meltCurve_sp_P49327_FAS_HUMAN_.pdf", "Melting_Curves/meltCurve_sp_P49327_FAS_HUMAN_.pdf")</f>
        <v>Melting_Curves/meltCurve_sp_P49327_FAS_HUMAN_.pdf</v>
      </c>
      <c r="AA1054" t="s">
        <v>12528</v>
      </c>
      <c r="AB1054" t="s">
        <v>16295</v>
      </c>
    </row>
    <row r="1055" spans="1:28" x14ac:dyDescent="0.25">
      <c r="A1055" t="s">
        <v>1059</v>
      </c>
      <c r="B1055">
        <v>0.98876768158843997</v>
      </c>
      <c r="C1055">
        <v>1.0013741766386199</v>
      </c>
      <c r="D1055">
        <v>0.93765687143581999</v>
      </c>
      <c r="E1055">
        <v>0.81793031944741301</v>
      </c>
      <c r="F1055">
        <v>0.54167004180864298</v>
      </c>
      <c r="G1055">
        <v>0.183199277494034</v>
      </c>
      <c r="H1055">
        <v>7.84325666702618E-2</v>
      </c>
      <c r="I1055">
        <v>5.6962937724985702E-2</v>
      </c>
      <c r="J1055">
        <v>6.5669589604918102E-2</v>
      </c>
      <c r="K1055">
        <v>2.70038728919926E-2</v>
      </c>
      <c r="L1055">
        <v>1242.9123238423499</v>
      </c>
      <c r="M1055">
        <v>23.404505452648198</v>
      </c>
      <c r="N1055">
        <v>53.279750065064597</v>
      </c>
      <c r="O1055">
        <v>52.722546412792603</v>
      </c>
      <c r="P1055">
        <v>-0.106896744564413</v>
      </c>
      <c r="Q1055">
        <v>3.6805954801714301E-2</v>
      </c>
      <c r="R1055">
        <v>0.99846521788619802</v>
      </c>
      <c r="S1055" t="s">
        <v>4887</v>
      </c>
      <c r="T1055" t="s">
        <v>7662</v>
      </c>
      <c r="U1055" t="s">
        <v>7662</v>
      </c>
      <c r="V1055" t="s">
        <v>7662</v>
      </c>
      <c r="W1055">
        <v>4</v>
      </c>
      <c r="X1055" t="s">
        <v>8717</v>
      </c>
      <c r="Y1055">
        <v>0.4676101463250249</v>
      </c>
      <c r="Z1055" t="str">
        <f>HYPERLINK("Melting_Curves/meltCurve_sp_P49354_FNTA_HUMAN_.pdf", "Melting_Curves/meltCurve_sp_P49354_FNTA_HUMAN_.pdf")</f>
        <v>Melting_Curves/meltCurve_sp_P49354_FNTA_HUMAN_.pdf</v>
      </c>
      <c r="AA1055" t="s">
        <v>12529</v>
      </c>
      <c r="AB1055" t="s">
        <v>16296</v>
      </c>
    </row>
    <row r="1056" spans="1:28" x14ac:dyDescent="0.25">
      <c r="A1056" t="s">
        <v>1060</v>
      </c>
      <c r="B1056">
        <v>0.98876768158843997</v>
      </c>
      <c r="C1056">
        <v>0.94660628018422899</v>
      </c>
      <c r="D1056">
        <v>1.0028488865751799</v>
      </c>
      <c r="E1056">
        <v>1.0572636044277</v>
      </c>
      <c r="F1056">
        <v>0.74793606731496098</v>
      </c>
      <c r="G1056">
        <v>0.50560024026387995</v>
      </c>
      <c r="H1056">
        <v>0.31881072944334798</v>
      </c>
      <c r="I1056">
        <v>0.15117972988363201</v>
      </c>
      <c r="J1056">
        <v>0.105589488250299</v>
      </c>
      <c r="K1056">
        <v>0</v>
      </c>
      <c r="L1056">
        <v>979.81515194428505</v>
      </c>
      <c r="M1056">
        <v>17.038569637661901</v>
      </c>
      <c r="N1056">
        <v>57.505716804033597</v>
      </c>
      <c r="O1056">
        <v>56.731111496775597</v>
      </c>
      <c r="P1056">
        <v>-7.5089362851851096E-2</v>
      </c>
      <c r="Q1056">
        <v>0</v>
      </c>
      <c r="R1056">
        <v>0.98126334433338802</v>
      </c>
      <c r="S1056" t="s">
        <v>4888</v>
      </c>
      <c r="T1056" t="s">
        <v>7662</v>
      </c>
      <c r="U1056" t="s">
        <v>7662</v>
      </c>
      <c r="V1056" t="s">
        <v>7662</v>
      </c>
      <c r="W1056">
        <v>2</v>
      </c>
      <c r="X1056" t="s">
        <v>8718</v>
      </c>
      <c r="Y1056">
        <v>0.59718807959516518</v>
      </c>
      <c r="Z1056" t="str">
        <f>HYPERLINK("Melting_Curves/meltCurve_sp_P49366_DHYS_HUMAN_.pdf", "Melting_Curves/meltCurve_sp_P49366_DHYS_HUMAN_.pdf")</f>
        <v>Melting_Curves/meltCurve_sp_P49366_DHYS_HUMAN_.pdf</v>
      </c>
      <c r="AA1056" t="s">
        <v>12530</v>
      </c>
      <c r="AB1056" t="s">
        <v>16297</v>
      </c>
    </row>
    <row r="1057" spans="1:28" x14ac:dyDescent="0.25">
      <c r="A1057" t="s">
        <v>1061</v>
      </c>
      <c r="B1057">
        <v>0.98876768158843997</v>
      </c>
      <c r="C1057">
        <v>1.07228947767336</v>
      </c>
      <c r="D1057">
        <v>1.1134209501944501</v>
      </c>
      <c r="E1057">
        <v>1.0371460385565601</v>
      </c>
      <c r="F1057">
        <v>0.48456394211154802</v>
      </c>
      <c r="G1057">
        <v>0.13888556315669301</v>
      </c>
      <c r="H1057">
        <v>5.8438877566962401E-2</v>
      </c>
      <c r="I1057">
        <v>4.7449177565647802E-2</v>
      </c>
      <c r="J1057">
        <v>5.2659044706779498E-2</v>
      </c>
      <c r="K1057">
        <v>4.0155431703903698E-2</v>
      </c>
      <c r="L1057">
        <v>13238.7737707943</v>
      </c>
      <c r="M1057">
        <v>250</v>
      </c>
      <c r="N1057">
        <v>52.985841896919197</v>
      </c>
      <c r="O1057">
        <v>52.951707253271202</v>
      </c>
      <c r="P1057">
        <v>-1.1006283556540599</v>
      </c>
      <c r="Q1057">
        <v>6.7517609996942396E-2</v>
      </c>
      <c r="R1057">
        <v>0.98796919432508801</v>
      </c>
      <c r="S1057" t="s">
        <v>4889</v>
      </c>
      <c r="T1057" t="s">
        <v>7662</v>
      </c>
      <c r="U1057" t="s">
        <v>7662</v>
      </c>
      <c r="V1057" t="s">
        <v>7662</v>
      </c>
      <c r="W1057">
        <v>24</v>
      </c>
      <c r="X1057" t="s">
        <v>8719</v>
      </c>
      <c r="Y1057">
        <v>0.47028420478667071</v>
      </c>
      <c r="Z1057" t="str">
        <f>HYPERLINK("Melting_Curves/meltCurve_sp_P49368_TCPG_HUMAN_.pdf", "Melting_Curves/meltCurve_sp_P49368_TCPG_HUMAN_.pdf")</f>
        <v>Melting_Curves/meltCurve_sp_P49368_TCPG_HUMAN_.pdf</v>
      </c>
      <c r="AA1057" t="s">
        <v>12531</v>
      </c>
      <c r="AB1057" t="s">
        <v>16298</v>
      </c>
    </row>
    <row r="1058" spans="1:28" x14ac:dyDescent="0.25">
      <c r="A1058" t="s">
        <v>1062</v>
      </c>
      <c r="B1058">
        <v>0.98876768158843997</v>
      </c>
      <c r="C1058">
        <v>0.99122679194041197</v>
      </c>
      <c r="D1058">
        <v>0.88195628163241901</v>
      </c>
      <c r="E1058">
        <v>0.732674579917865</v>
      </c>
      <c r="F1058">
        <v>0.65251557150151995</v>
      </c>
      <c r="G1058">
        <v>0.235167912425752</v>
      </c>
      <c r="H1058">
        <v>0.110007369955485</v>
      </c>
      <c r="I1058">
        <v>9.9321533955868499E-2</v>
      </c>
      <c r="J1058">
        <v>6.3188788885345598E-2</v>
      </c>
      <c r="K1058">
        <v>9.3771051983135095E-2</v>
      </c>
      <c r="L1058">
        <v>908.29183845597595</v>
      </c>
      <c r="M1058">
        <v>16.9775738284814</v>
      </c>
      <c r="N1058">
        <v>53.746806000827</v>
      </c>
      <c r="O1058">
        <v>52.773802563755801</v>
      </c>
      <c r="P1058">
        <v>-7.7409342872657397E-2</v>
      </c>
      <c r="Q1058">
        <v>3.7570054668516803E-2</v>
      </c>
      <c r="R1058">
        <v>0.98591540478463002</v>
      </c>
      <c r="S1058" t="s">
        <v>4890</v>
      </c>
      <c r="T1058" t="s">
        <v>7662</v>
      </c>
      <c r="U1058" t="s">
        <v>7662</v>
      </c>
      <c r="V1058" t="s">
        <v>7662</v>
      </c>
      <c r="W1058">
        <v>5</v>
      </c>
      <c r="X1058" t="s">
        <v>8720</v>
      </c>
      <c r="Y1058">
        <v>0.48768214688892902</v>
      </c>
      <c r="Z1058" t="str">
        <f>HYPERLINK("Melting_Curves/meltCurve_sp_P49407_2_ARRB1_HUMAN_.pdf", "Melting_Curves/meltCurve_sp_P49407_2_ARRB1_HUMAN_.pdf")</f>
        <v>Melting_Curves/meltCurve_sp_P49407_2_ARRB1_HUMAN_.pdf</v>
      </c>
      <c r="AA1058" t="s">
        <v>12532</v>
      </c>
      <c r="AB1058" t="s">
        <v>16299</v>
      </c>
    </row>
    <row r="1059" spans="1:28" x14ac:dyDescent="0.25">
      <c r="A1059" t="s">
        <v>1063</v>
      </c>
      <c r="B1059">
        <v>0.98876768158843997</v>
      </c>
      <c r="C1059">
        <v>0.68880874211646304</v>
      </c>
      <c r="D1059">
        <v>0.36566952353806598</v>
      </c>
      <c r="E1059">
        <v>0.148828491122796</v>
      </c>
      <c r="F1059">
        <v>9.2453402793631803E-2</v>
      </c>
      <c r="G1059">
        <v>5.4453420409616801E-2</v>
      </c>
      <c r="H1059">
        <v>3.5890071300755402E-2</v>
      </c>
      <c r="I1059">
        <v>3.8690745005916599E-2</v>
      </c>
      <c r="J1059">
        <v>4.1033935492985403E-2</v>
      </c>
      <c r="K1059">
        <v>4.3313704521740402E-2</v>
      </c>
      <c r="L1059">
        <v>982.066235808334</v>
      </c>
      <c r="M1059">
        <v>22.029336505896801</v>
      </c>
      <c r="N1059">
        <v>44.779188889805198</v>
      </c>
      <c r="O1059">
        <v>44.217448125050801</v>
      </c>
      <c r="P1059">
        <v>-0.11873875050697601</v>
      </c>
      <c r="Q1059">
        <v>4.6687942827878699E-2</v>
      </c>
      <c r="R1059">
        <v>0.99454112298429498</v>
      </c>
      <c r="S1059" t="s">
        <v>4891</v>
      </c>
      <c r="T1059" t="s">
        <v>7662</v>
      </c>
      <c r="U1059" t="s">
        <v>7662</v>
      </c>
      <c r="V1059" t="s">
        <v>7662</v>
      </c>
      <c r="W1059">
        <v>14</v>
      </c>
      <c r="X1059" t="s">
        <v>8721</v>
      </c>
      <c r="Y1059">
        <v>0.20575945880085861</v>
      </c>
      <c r="Z1059" t="str">
        <f>HYPERLINK("Melting_Curves/meltCurve_sp_P49411_EFTU_HUMAN_.pdf", "Melting_Curves/meltCurve_sp_P49411_EFTU_HUMAN_.pdf")</f>
        <v>Melting_Curves/meltCurve_sp_P49411_EFTU_HUMAN_.pdf</v>
      </c>
      <c r="AA1059" t="s">
        <v>12533</v>
      </c>
      <c r="AB1059" t="s">
        <v>16300</v>
      </c>
    </row>
    <row r="1060" spans="1:28" x14ac:dyDescent="0.25">
      <c r="A1060" t="s">
        <v>1064</v>
      </c>
      <c r="B1060">
        <v>0.98876768158843997</v>
      </c>
      <c r="C1060">
        <v>0.94011979954829705</v>
      </c>
      <c r="D1060">
        <v>0.99723363999786196</v>
      </c>
      <c r="E1060">
        <v>0.70444750571983605</v>
      </c>
      <c r="F1060">
        <v>0.18367994314118299</v>
      </c>
      <c r="G1060">
        <v>7.2824657842681995E-2</v>
      </c>
      <c r="H1060">
        <v>3.96757962906382E-2</v>
      </c>
      <c r="I1060">
        <v>3.56122750703535E-2</v>
      </c>
      <c r="J1060">
        <v>3.4546278858780401E-2</v>
      </c>
      <c r="K1060">
        <v>2.90078814568395E-2</v>
      </c>
      <c r="L1060">
        <v>2220.7858603967102</v>
      </c>
      <c r="M1060">
        <v>43.609445928656498</v>
      </c>
      <c r="N1060">
        <v>51.021399986276499</v>
      </c>
      <c r="O1060">
        <v>50.817683112958598</v>
      </c>
      <c r="P1060">
        <v>-0.20600675781271599</v>
      </c>
      <c r="Q1060">
        <v>3.9770255974112399E-2</v>
      </c>
      <c r="R1060">
        <v>0.99748485264946796</v>
      </c>
      <c r="S1060" t="s">
        <v>4892</v>
      </c>
      <c r="T1060" t="s">
        <v>7662</v>
      </c>
      <c r="U1060" t="s">
        <v>7662</v>
      </c>
      <c r="V1060" t="s">
        <v>7662</v>
      </c>
      <c r="W1060">
        <v>29</v>
      </c>
      <c r="X1060" t="s">
        <v>8722</v>
      </c>
      <c r="Y1060">
        <v>0.39227557021193099</v>
      </c>
      <c r="Z1060" t="str">
        <f>HYPERLINK("Melting_Curves/meltCurve_sp_P49419_2_AL7A1_HUMAN_.pdf", "Melting_Curves/meltCurve_sp_P49419_2_AL7A1_HUMAN_.pdf")</f>
        <v>Melting_Curves/meltCurve_sp_P49419_2_AL7A1_HUMAN_.pdf</v>
      </c>
      <c r="AA1060" t="s">
        <v>12534</v>
      </c>
      <c r="AB1060" t="s">
        <v>16301</v>
      </c>
    </row>
    <row r="1061" spans="1:28" x14ac:dyDescent="0.25">
      <c r="A1061" t="s">
        <v>1065</v>
      </c>
      <c r="B1061">
        <v>0.98876768158843997</v>
      </c>
      <c r="C1061">
        <v>1.1401394763324499</v>
      </c>
      <c r="D1061">
        <v>0.83438067296696306</v>
      </c>
      <c r="E1061">
        <v>0.62747738887503302</v>
      </c>
      <c r="F1061">
        <v>0.54089781412711302</v>
      </c>
      <c r="G1061">
        <v>0.33452026697929998</v>
      </c>
      <c r="H1061">
        <v>0.21518246994569101</v>
      </c>
      <c r="I1061">
        <v>0.14672836148402299</v>
      </c>
      <c r="J1061">
        <v>7.8478569681846605E-2</v>
      </c>
      <c r="K1061">
        <v>8.8791598368352598E-2</v>
      </c>
      <c r="L1061">
        <v>688.29716042839698</v>
      </c>
      <c r="M1061">
        <v>13.030058849774599</v>
      </c>
      <c r="N1061">
        <v>53.282359890057101</v>
      </c>
      <c r="O1061">
        <v>51.626047826128101</v>
      </c>
      <c r="P1061">
        <v>-5.9761957194358797E-2</v>
      </c>
      <c r="Q1061">
        <v>5.3040789769006599E-2</v>
      </c>
      <c r="R1061">
        <v>0.96844349039551103</v>
      </c>
      <c r="S1061" t="s">
        <v>4893</v>
      </c>
      <c r="T1061" t="s">
        <v>7662</v>
      </c>
      <c r="U1061" t="s">
        <v>7662</v>
      </c>
      <c r="V1061" t="s">
        <v>7662</v>
      </c>
      <c r="W1061">
        <v>3</v>
      </c>
      <c r="X1061" t="s">
        <v>8723</v>
      </c>
      <c r="Y1061">
        <v>0.4825903633517255</v>
      </c>
      <c r="Z1061" t="str">
        <f>HYPERLINK("Melting_Curves/meltCurve_sp_P49427_UB2R1_HUMAN_.pdf", "Melting_Curves/meltCurve_sp_P49427_UB2R1_HUMAN_.pdf")</f>
        <v>Melting_Curves/meltCurve_sp_P49427_UB2R1_HUMAN_.pdf</v>
      </c>
      <c r="AA1061" t="s">
        <v>12535</v>
      </c>
      <c r="AB1061" t="s">
        <v>16302</v>
      </c>
    </row>
    <row r="1062" spans="1:28" x14ac:dyDescent="0.25">
      <c r="A1062" t="s">
        <v>1066</v>
      </c>
      <c r="B1062">
        <v>0.98876768158843997</v>
      </c>
      <c r="C1062">
        <v>1.0383936342576801</v>
      </c>
      <c r="D1062">
        <v>0.86122104247650499</v>
      </c>
      <c r="E1062">
        <v>0.66179292922042898</v>
      </c>
      <c r="F1062">
        <v>0.24150029066930201</v>
      </c>
      <c r="G1062">
        <v>0.10408885472573801</v>
      </c>
      <c r="H1062">
        <v>5.69069794805728E-2</v>
      </c>
      <c r="I1062">
        <v>4.8228048002321403E-2</v>
      </c>
      <c r="J1062">
        <v>5.1149578341631703E-2</v>
      </c>
      <c r="K1062">
        <v>4.4690423553004399E-2</v>
      </c>
      <c r="L1062">
        <v>1337.9296300506601</v>
      </c>
      <c r="M1062">
        <v>26.359499326465102</v>
      </c>
      <c r="N1062">
        <v>50.935923984532998</v>
      </c>
      <c r="O1062">
        <v>50.467596397513603</v>
      </c>
      <c r="P1062">
        <v>-0.12480455543713199</v>
      </c>
      <c r="Q1062">
        <v>4.4212996357380498E-2</v>
      </c>
      <c r="R1062">
        <v>0.99247357861823704</v>
      </c>
      <c r="S1062" t="s">
        <v>4894</v>
      </c>
      <c r="T1062" t="s">
        <v>7662</v>
      </c>
      <c r="U1062" t="s">
        <v>7662</v>
      </c>
      <c r="V1062" t="s">
        <v>7662</v>
      </c>
      <c r="W1062">
        <v>6</v>
      </c>
      <c r="X1062" t="s">
        <v>8724</v>
      </c>
      <c r="Y1062">
        <v>0.39467983010942093</v>
      </c>
      <c r="Z1062" t="str">
        <f>HYPERLINK("Melting_Curves/meltCurve_sp_P49441_INPP_HUMAN_.pdf", "Melting_Curves/meltCurve_sp_P49441_INPP_HUMAN_.pdf")</f>
        <v>Melting_Curves/meltCurve_sp_P49441_INPP_HUMAN_.pdf</v>
      </c>
      <c r="AA1062" t="s">
        <v>12536</v>
      </c>
      <c r="AB1062" t="s">
        <v>16303</v>
      </c>
    </row>
    <row r="1063" spans="1:28" x14ac:dyDescent="0.25">
      <c r="A1063" t="s">
        <v>1067</v>
      </c>
      <c r="B1063">
        <v>0.98876768158843997</v>
      </c>
      <c r="C1063">
        <v>1.0045996186425901</v>
      </c>
      <c r="D1063">
        <v>1.0612811507404101</v>
      </c>
      <c r="E1063">
        <v>0.82691734574632703</v>
      </c>
      <c r="F1063">
        <v>0.15205008299869999</v>
      </c>
      <c r="G1063">
        <v>9.8972628970501297E-2</v>
      </c>
      <c r="H1063">
        <v>6.1848379289757401E-2</v>
      </c>
      <c r="I1063">
        <v>5.4096679600147503E-2</v>
      </c>
      <c r="J1063">
        <v>4.0309250745148399E-2</v>
      </c>
      <c r="K1063">
        <v>8.06623488390526E-2</v>
      </c>
      <c r="L1063">
        <v>3337.7124360523599</v>
      </c>
      <c r="M1063">
        <v>65.271661797920004</v>
      </c>
      <c r="N1063">
        <v>51.248468275032202</v>
      </c>
      <c r="O1063">
        <v>51.087769552359497</v>
      </c>
      <c r="P1063">
        <v>-0.29804172871113899</v>
      </c>
      <c r="Q1063">
        <v>6.6897807345827995E-2</v>
      </c>
      <c r="R1063">
        <v>0.99688704509727599</v>
      </c>
      <c r="S1063" t="s">
        <v>4895</v>
      </c>
      <c r="T1063" t="s">
        <v>7662</v>
      </c>
      <c r="U1063" t="s">
        <v>7662</v>
      </c>
      <c r="V1063" t="s">
        <v>7662</v>
      </c>
      <c r="W1063">
        <v>25</v>
      </c>
      <c r="X1063" t="s">
        <v>8725</v>
      </c>
      <c r="Y1063">
        <v>0.4144883527140551</v>
      </c>
      <c r="Z1063" t="str">
        <f>HYPERLINK("Melting_Curves/meltCurve_sp_P49448_DHE4_HUMAN_.pdf", "Melting_Curves/meltCurve_sp_P49448_DHE4_HUMAN_.pdf")</f>
        <v>Melting_Curves/meltCurve_sp_P49448_DHE4_HUMAN_.pdf</v>
      </c>
      <c r="AA1063" t="s">
        <v>12537</v>
      </c>
      <c r="AB1063" t="s">
        <v>16304</v>
      </c>
    </row>
    <row r="1064" spans="1:28" x14ac:dyDescent="0.25">
      <c r="A1064" t="s">
        <v>1068</v>
      </c>
      <c r="B1064">
        <v>0.98876768158843997</v>
      </c>
      <c r="C1064">
        <v>0.80742315877623505</v>
      </c>
      <c r="D1064">
        <v>0.84571460796419395</v>
      </c>
      <c r="E1064">
        <v>0.68977204846014895</v>
      </c>
      <c r="F1064">
        <v>0.78471906336936303</v>
      </c>
      <c r="G1064">
        <v>0.48669900814911399</v>
      </c>
      <c r="H1064">
        <v>0.42003184983199998</v>
      </c>
      <c r="I1064">
        <v>0.32832816246567698</v>
      </c>
      <c r="J1064">
        <v>0.46182605016423001</v>
      </c>
      <c r="K1064">
        <v>0.27480925534904899</v>
      </c>
      <c r="L1064">
        <v>351.007665143125</v>
      </c>
      <c r="M1064">
        <v>6.1459127278455101</v>
      </c>
      <c r="N1064">
        <v>58.870403916693199</v>
      </c>
      <c r="O1064">
        <v>51.953237257021797</v>
      </c>
      <c r="P1064">
        <v>-2.71753246220197E-2</v>
      </c>
      <c r="Q1064">
        <v>8.38380625932863E-2</v>
      </c>
      <c r="R1064">
        <v>0.90088796995363896</v>
      </c>
      <c r="S1064" t="s">
        <v>4896</v>
      </c>
      <c r="T1064" t="s">
        <v>7662</v>
      </c>
      <c r="U1064" t="s">
        <v>7662</v>
      </c>
      <c r="V1064" t="s">
        <v>7662</v>
      </c>
      <c r="W1064">
        <v>6</v>
      </c>
      <c r="X1064" t="s">
        <v>8726</v>
      </c>
      <c r="Y1064">
        <v>0.60913972813004835</v>
      </c>
      <c r="Z1064" t="str">
        <f>HYPERLINK("Melting_Curves/meltCurve_sp_P49458_SRP09_HUMAN_.pdf", "Melting_Curves/meltCurve_sp_P49458_SRP09_HUMAN_.pdf")</f>
        <v>Melting_Curves/meltCurve_sp_P49458_SRP09_HUMAN_.pdf</v>
      </c>
      <c r="AA1064" t="s">
        <v>12538</v>
      </c>
      <c r="AB1064" t="s">
        <v>16305</v>
      </c>
    </row>
    <row r="1065" spans="1:28" x14ac:dyDescent="0.25">
      <c r="A1065" t="s">
        <v>1069</v>
      </c>
      <c r="B1065">
        <v>0.98876768158843997</v>
      </c>
      <c r="C1065">
        <v>1.1451462565624799</v>
      </c>
      <c r="D1065">
        <v>0.85083198334102195</v>
      </c>
      <c r="E1065">
        <v>0.77557818855373895</v>
      </c>
      <c r="F1065">
        <v>0.83649502436061896</v>
      </c>
      <c r="G1065">
        <v>0.64111899343575396</v>
      </c>
      <c r="H1065">
        <v>0.35998137122193802</v>
      </c>
      <c r="I1065">
        <v>0.21704002501210001</v>
      </c>
      <c r="J1065">
        <v>0.19105153578103201</v>
      </c>
      <c r="K1065">
        <v>0.205071501166352</v>
      </c>
      <c r="L1065">
        <v>694.41541501446795</v>
      </c>
      <c r="M1065">
        <v>11.951171082338499</v>
      </c>
      <c r="N1065">
        <v>58.524614962754399</v>
      </c>
      <c r="O1065">
        <v>56.549245290394602</v>
      </c>
      <c r="P1065">
        <v>-5.0675099005015697E-2</v>
      </c>
      <c r="Q1065">
        <v>4.1119255672893401E-2</v>
      </c>
      <c r="R1065">
        <v>0.94253429551380297</v>
      </c>
      <c r="S1065" t="s">
        <v>4897</v>
      </c>
      <c r="T1065" t="s">
        <v>7662</v>
      </c>
      <c r="U1065" t="s">
        <v>7662</v>
      </c>
      <c r="V1065" t="s">
        <v>7662</v>
      </c>
      <c r="W1065">
        <v>1</v>
      </c>
      <c r="X1065" t="s">
        <v>8727</v>
      </c>
      <c r="Y1065">
        <v>0.63147533148662094</v>
      </c>
      <c r="Z1065" t="str">
        <f>HYPERLINK("Melting_Curves/meltCurve_sp_P49459_UBE2A_HUMAN_.pdf", "Melting_Curves/meltCurve_sp_P49459_UBE2A_HUMAN_.pdf")</f>
        <v>Melting_Curves/meltCurve_sp_P49459_UBE2A_HUMAN_.pdf</v>
      </c>
      <c r="AA1065" t="s">
        <v>12539</v>
      </c>
      <c r="AB1065" t="s">
        <v>16306</v>
      </c>
    </row>
    <row r="1066" spans="1:28" x14ac:dyDescent="0.25">
      <c r="A1066" t="s">
        <v>1070</v>
      </c>
      <c r="B1066">
        <v>0.98876768158843997</v>
      </c>
      <c r="C1066">
        <v>0.905629063575072</v>
      </c>
      <c r="D1066">
        <v>0.99043871050440402</v>
      </c>
      <c r="E1066">
        <v>0.53919644970471803</v>
      </c>
      <c r="F1066">
        <v>0.174591495815588</v>
      </c>
      <c r="G1066">
        <v>9.1939892424563699E-2</v>
      </c>
      <c r="H1066">
        <v>5.1908001303353497E-2</v>
      </c>
      <c r="I1066">
        <v>5.17871005880189E-2</v>
      </c>
      <c r="J1066">
        <v>6.2003565052388201E-2</v>
      </c>
      <c r="K1066">
        <v>5.6823374978731599E-2</v>
      </c>
      <c r="L1066">
        <v>1833.57473087533</v>
      </c>
      <c r="M1066">
        <v>36.6113297915673</v>
      </c>
      <c r="N1066">
        <v>50.259471140616398</v>
      </c>
      <c r="O1066">
        <v>49.933450621398002</v>
      </c>
      <c r="P1066">
        <v>-0.17219670656453701</v>
      </c>
      <c r="Q1066">
        <v>6.0580380031359099E-2</v>
      </c>
      <c r="R1066">
        <v>0.99373566314050199</v>
      </c>
      <c r="S1066" t="s">
        <v>4898</v>
      </c>
      <c r="T1066" t="s">
        <v>7662</v>
      </c>
      <c r="U1066" t="s">
        <v>7662</v>
      </c>
      <c r="V1066" t="s">
        <v>7662</v>
      </c>
      <c r="W1066">
        <v>31</v>
      </c>
      <c r="X1066" t="s">
        <v>8728</v>
      </c>
      <c r="Y1066">
        <v>0.38018291493225681</v>
      </c>
      <c r="Z1066" t="str">
        <f>HYPERLINK("Melting_Curves/meltCurve_sp_P49588_SYAC_HUMAN_.pdf", "Melting_Curves/meltCurve_sp_P49588_SYAC_HUMAN_.pdf")</f>
        <v>Melting_Curves/meltCurve_sp_P49588_SYAC_HUMAN_.pdf</v>
      </c>
      <c r="AA1066" t="s">
        <v>12540</v>
      </c>
      <c r="AB1066" t="s">
        <v>16307</v>
      </c>
    </row>
    <row r="1067" spans="1:28" x14ac:dyDescent="0.25">
      <c r="A1067" t="s">
        <v>1071</v>
      </c>
      <c r="B1067">
        <v>0.98876768158843997</v>
      </c>
      <c r="C1067">
        <v>0.89830387302681902</v>
      </c>
      <c r="D1067">
        <v>1.0051843041222299</v>
      </c>
      <c r="E1067">
        <v>0.78037587851860002</v>
      </c>
      <c r="F1067">
        <v>0.17290472630858</v>
      </c>
      <c r="G1067">
        <v>0.104364146255001</v>
      </c>
      <c r="H1067">
        <v>5.67825150662414E-2</v>
      </c>
      <c r="I1067">
        <v>5.3074999369526997E-2</v>
      </c>
      <c r="J1067">
        <v>6.0918447410183603E-2</v>
      </c>
      <c r="K1067">
        <v>5.2621847710446999E-2</v>
      </c>
      <c r="L1067">
        <v>2815.3667007848499</v>
      </c>
      <c r="M1067">
        <v>55.129219059898901</v>
      </c>
      <c r="N1067">
        <v>51.196853496218097</v>
      </c>
      <c r="O1067">
        <v>51.001438335694402</v>
      </c>
      <c r="P1067">
        <v>-0.25279455481888802</v>
      </c>
      <c r="Q1067">
        <v>6.4533938217131201E-2</v>
      </c>
      <c r="R1067">
        <v>0.99287351227513199</v>
      </c>
      <c r="S1067" t="s">
        <v>4899</v>
      </c>
      <c r="T1067" t="s">
        <v>7662</v>
      </c>
      <c r="U1067" t="s">
        <v>7662</v>
      </c>
      <c r="V1067" t="s">
        <v>7662</v>
      </c>
      <c r="W1067">
        <v>20</v>
      </c>
      <c r="X1067" t="s">
        <v>8729</v>
      </c>
      <c r="Y1067">
        <v>0.41140589749136808</v>
      </c>
      <c r="Z1067" t="str">
        <f>HYPERLINK("Melting_Curves/meltCurve_sp_P49589_3_SYCC_HUMAN_.pdf", "Melting_Curves/meltCurve_sp_P49589_3_SYCC_HUMAN_.pdf")</f>
        <v>Melting_Curves/meltCurve_sp_P49589_3_SYCC_HUMAN_.pdf</v>
      </c>
      <c r="AA1067" t="s">
        <v>12541</v>
      </c>
      <c r="AB1067" t="s">
        <v>16308</v>
      </c>
    </row>
    <row r="1068" spans="1:28" x14ac:dyDescent="0.25">
      <c r="A1068" t="s">
        <v>1072</v>
      </c>
      <c r="B1068">
        <v>0.98876768158843997</v>
      </c>
      <c r="C1068">
        <v>0.97735297712778901</v>
      </c>
      <c r="D1068">
        <v>0.94292262692721596</v>
      </c>
      <c r="E1068">
        <v>0.75692979708054797</v>
      </c>
      <c r="F1068">
        <v>0.31273747787930201</v>
      </c>
      <c r="G1068">
        <v>7.2462334293823705E-2</v>
      </c>
      <c r="H1068">
        <v>3.4447757158947802E-2</v>
      </c>
      <c r="I1068">
        <v>2.3213230281120899E-2</v>
      </c>
      <c r="J1068">
        <v>2.4972695854145702E-2</v>
      </c>
      <c r="K1068">
        <v>1.7184185869014702E-2</v>
      </c>
      <c r="L1068">
        <v>1648.3400719347501</v>
      </c>
      <c r="M1068">
        <v>31.924010131599701</v>
      </c>
      <c r="N1068">
        <v>51.707857945518903</v>
      </c>
      <c r="O1068">
        <v>51.431926044420699</v>
      </c>
      <c r="P1068">
        <v>-0.151683596961499</v>
      </c>
      <c r="Q1068">
        <v>2.2511750469745101E-2</v>
      </c>
      <c r="R1068">
        <v>0.99871775178392697</v>
      </c>
      <c r="S1068" t="s">
        <v>4900</v>
      </c>
      <c r="T1068" t="s">
        <v>7662</v>
      </c>
      <c r="U1068" t="s">
        <v>7662</v>
      </c>
      <c r="V1068" t="s">
        <v>7662</v>
      </c>
      <c r="W1068">
        <v>20</v>
      </c>
      <c r="X1068" t="s">
        <v>8730</v>
      </c>
      <c r="Y1068">
        <v>0.40704205763115708</v>
      </c>
      <c r="Z1068" t="str">
        <f>HYPERLINK("Melting_Curves/meltCurve_sp_P49591_SYSC_HUMAN_.pdf", "Melting_Curves/meltCurve_sp_P49591_SYSC_HUMAN_.pdf")</f>
        <v>Melting_Curves/meltCurve_sp_P49591_SYSC_HUMAN_.pdf</v>
      </c>
      <c r="AA1068" t="s">
        <v>12542</v>
      </c>
      <c r="AB1068" t="s">
        <v>16309</v>
      </c>
    </row>
    <row r="1069" spans="1:28" x14ac:dyDescent="0.25">
      <c r="A1069" t="s">
        <v>1073</v>
      </c>
      <c r="B1069">
        <v>0.98876768158843997</v>
      </c>
      <c r="C1069">
        <v>1.1271209564614</v>
      </c>
      <c r="D1069">
        <v>0.906507561262755</v>
      </c>
      <c r="E1069">
        <v>0.71356847748378505</v>
      </c>
      <c r="F1069">
        <v>0.72426688319385202</v>
      </c>
      <c r="G1069">
        <v>0.29795649814046599</v>
      </c>
      <c r="H1069">
        <v>0.11303109777612499</v>
      </c>
      <c r="I1069">
        <v>9.7447600484629193E-2</v>
      </c>
      <c r="J1069">
        <v>0.110042407162672</v>
      </c>
      <c r="K1069">
        <v>8.75548962930566E-2</v>
      </c>
      <c r="L1069">
        <v>941.78417752891198</v>
      </c>
      <c r="M1069">
        <v>17.403701207997401</v>
      </c>
      <c r="N1069">
        <v>54.428616014606497</v>
      </c>
      <c r="O1069">
        <v>53.414719018336399</v>
      </c>
      <c r="P1069">
        <v>-7.7562329259757104E-2</v>
      </c>
      <c r="Q1069">
        <v>4.7849292461312101E-2</v>
      </c>
      <c r="R1069">
        <v>0.96797017151847597</v>
      </c>
      <c r="S1069" t="s">
        <v>4901</v>
      </c>
      <c r="T1069" t="s">
        <v>7662</v>
      </c>
      <c r="U1069" t="s">
        <v>7662</v>
      </c>
      <c r="V1069" t="s">
        <v>7662</v>
      </c>
      <c r="W1069">
        <v>9</v>
      </c>
      <c r="X1069" t="s">
        <v>8731</v>
      </c>
      <c r="Y1069">
        <v>0.51174932721257227</v>
      </c>
      <c r="Z1069" t="str">
        <f>HYPERLINK("Melting_Curves/meltCurve_sp_P49638_TTPA_HUMAN_.pdf", "Melting_Curves/meltCurve_sp_P49638_TTPA_HUMAN_.pdf")</f>
        <v>Melting_Curves/meltCurve_sp_P49638_TTPA_HUMAN_.pdf</v>
      </c>
      <c r="AA1069" t="s">
        <v>12543</v>
      </c>
      <c r="AB1069" t="s">
        <v>16310</v>
      </c>
    </row>
    <row r="1070" spans="1:28" x14ac:dyDescent="0.25">
      <c r="A1070" t="s">
        <v>1074</v>
      </c>
      <c r="B1070">
        <v>0.98876768158843997</v>
      </c>
      <c r="C1070">
        <v>1.0329613178380299</v>
      </c>
      <c r="D1070">
        <v>0.87258058243737002</v>
      </c>
      <c r="E1070">
        <v>0.74954480725203598</v>
      </c>
      <c r="F1070">
        <v>0.64726727266552397</v>
      </c>
      <c r="G1070">
        <v>0.141383776475765</v>
      </c>
      <c r="H1070">
        <v>7.9264143324293199E-2</v>
      </c>
      <c r="I1070">
        <v>6.1858941782706699E-2</v>
      </c>
      <c r="J1070">
        <v>6.14798142437782E-2</v>
      </c>
      <c r="K1070">
        <v>4.31393344733439E-2</v>
      </c>
      <c r="L1070">
        <v>1106.89282058809</v>
      </c>
      <c r="M1070">
        <v>20.755393285471399</v>
      </c>
      <c r="N1070">
        <v>53.455918516437997</v>
      </c>
      <c r="O1070">
        <v>52.842709224215099</v>
      </c>
      <c r="P1070">
        <v>-9.5861099020772195E-2</v>
      </c>
      <c r="Q1070">
        <v>2.3787656068989499E-2</v>
      </c>
      <c r="R1070">
        <v>0.98023836960566302</v>
      </c>
      <c r="S1070" t="s">
        <v>4902</v>
      </c>
      <c r="T1070" t="s">
        <v>7662</v>
      </c>
      <c r="U1070" t="s">
        <v>7662</v>
      </c>
      <c r="V1070" t="s">
        <v>7662</v>
      </c>
      <c r="W1070">
        <v>5</v>
      </c>
      <c r="X1070" t="s">
        <v>8732</v>
      </c>
      <c r="Y1070">
        <v>0.47013280728380091</v>
      </c>
      <c r="Z1070" t="str">
        <f>HYPERLINK("Melting_Curves/meltCurve_sp_P49662_CASP4_HUMAN_.pdf", "Melting_Curves/meltCurve_sp_P49662_CASP4_HUMAN_.pdf")</f>
        <v>Melting_Curves/meltCurve_sp_P49662_CASP4_HUMAN_.pdf</v>
      </c>
      <c r="AA1070" t="s">
        <v>12544</v>
      </c>
      <c r="AB1070" t="s">
        <v>16311</v>
      </c>
    </row>
    <row r="1071" spans="1:28" x14ac:dyDescent="0.25">
      <c r="A1071" t="s">
        <v>1075</v>
      </c>
      <c r="B1071">
        <v>0.98876768158843997</v>
      </c>
      <c r="C1071">
        <v>0.987439172455709</v>
      </c>
      <c r="D1071">
        <v>1.1524869610496999</v>
      </c>
      <c r="E1071">
        <v>1.0216901306894199</v>
      </c>
      <c r="F1071">
        <v>0.59234826241655802</v>
      </c>
      <c r="G1071">
        <v>0.51836298788169999</v>
      </c>
      <c r="H1071">
        <v>0.47925527464190498</v>
      </c>
      <c r="I1071">
        <v>0.54918307771019104</v>
      </c>
      <c r="J1071">
        <v>0.53132145775283901</v>
      </c>
      <c r="K1071">
        <v>0.57907509827269299</v>
      </c>
      <c r="L1071">
        <v>13149.2455418469</v>
      </c>
      <c r="M1071">
        <v>250</v>
      </c>
      <c r="O1071">
        <v>52.593616324955001</v>
      </c>
      <c r="P1071">
        <v>-0.55681721204058798</v>
      </c>
      <c r="Q1071">
        <v>0.53143950767672299</v>
      </c>
      <c r="R1071">
        <v>0.95224132217670998</v>
      </c>
      <c r="S1071" t="s">
        <v>4903</v>
      </c>
      <c r="T1071" t="s">
        <v>7662</v>
      </c>
      <c r="U1071" t="s">
        <v>7662</v>
      </c>
      <c r="V1071" t="s">
        <v>7662</v>
      </c>
      <c r="W1071">
        <v>9</v>
      </c>
      <c r="X1071" t="s">
        <v>8733</v>
      </c>
      <c r="Y1071">
        <v>0.72823103124087929</v>
      </c>
      <c r="Z1071" t="str">
        <f>HYPERLINK("Melting_Curves/meltCurve_sp_P49720_PSB3_HUMAN_.pdf", "Melting_Curves/meltCurve_sp_P49720_PSB3_HUMAN_.pdf")</f>
        <v>Melting_Curves/meltCurve_sp_P49720_PSB3_HUMAN_.pdf</v>
      </c>
      <c r="AA1071" t="s">
        <v>12545</v>
      </c>
      <c r="AB1071" t="s">
        <v>16312</v>
      </c>
    </row>
    <row r="1072" spans="1:28" x14ac:dyDescent="0.25">
      <c r="A1072" t="s">
        <v>1076</v>
      </c>
      <c r="B1072">
        <v>0.98876768158843997</v>
      </c>
      <c r="C1072">
        <v>0.95758142934317203</v>
      </c>
      <c r="D1072">
        <v>1.13887990340626</v>
      </c>
      <c r="E1072">
        <v>1.06445934691042</v>
      </c>
      <c r="F1072">
        <v>0.614037239883921</v>
      </c>
      <c r="G1072">
        <v>0.53200498525530604</v>
      </c>
      <c r="H1072">
        <v>0.48998202311329198</v>
      </c>
      <c r="I1072">
        <v>0.55355790753823697</v>
      </c>
      <c r="J1072">
        <v>0.56192220219327305</v>
      </c>
      <c r="K1072">
        <v>0.55859104730714404</v>
      </c>
      <c r="L1072">
        <v>13163.050049155399</v>
      </c>
      <c r="M1072">
        <v>250</v>
      </c>
      <c r="O1072">
        <v>52.648808846665297</v>
      </c>
      <c r="P1072">
        <v>-0.547007031865969</v>
      </c>
      <c r="Q1072">
        <v>0.53921150856829603</v>
      </c>
      <c r="R1072">
        <v>0.95129993990916895</v>
      </c>
      <c r="S1072" t="s">
        <v>4904</v>
      </c>
      <c r="T1072" t="s">
        <v>7662</v>
      </c>
      <c r="U1072" t="s">
        <v>7662</v>
      </c>
      <c r="V1072" t="s">
        <v>7662</v>
      </c>
      <c r="W1072">
        <v>15</v>
      </c>
      <c r="X1072" t="s">
        <v>8734</v>
      </c>
      <c r="Y1072">
        <v>0.73358702856860547</v>
      </c>
      <c r="Z1072" t="str">
        <f>HYPERLINK("Melting_Curves/meltCurve_sp_P49721_PSB2_HUMAN_.pdf", "Melting_Curves/meltCurve_sp_P49721_PSB2_HUMAN_.pdf")</f>
        <v>Melting_Curves/meltCurve_sp_P49721_PSB2_HUMAN_.pdf</v>
      </c>
      <c r="AA1072" t="s">
        <v>12546</v>
      </c>
      <c r="AB1072" t="s">
        <v>16313</v>
      </c>
    </row>
    <row r="1073" spans="1:28" x14ac:dyDescent="0.25">
      <c r="A1073" t="s">
        <v>1077</v>
      </c>
      <c r="B1073">
        <v>0.98876768158843997</v>
      </c>
      <c r="C1073">
        <v>0.979428345910894</v>
      </c>
      <c r="D1073">
        <v>1.0003278118869401</v>
      </c>
      <c r="E1073">
        <v>0.50340595065921601</v>
      </c>
      <c r="F1073">
        <v>0.23396118735240201</v>
      </c>
      <c r="G1073">
        <v>0.13860261987952199</v>
      </c>
      <c r="H1073">
        <v>7.9138964431335806E-2</v>
      </c>
      <c r="I1073">
        <v>6.0130725516526401E-2</v>
      </c>
      <c r="J1073">
        <v>6.4957402086125104E-2</v>
      </c>
      <c r="K1073">
        <v>4.2763321221112399E-2</v>
      </c>
      <c r="L1073">
        <v>1556.0490458724701</v>
      </c>
      <c r="M1073">
        <v>31.136378346737899</v>
      </c>
      <c r="N1073">
        <v>50.234389593200703</v>
      </c>
      <c r="O1073">
        <v>49.770485472219903</v>
      </c>
      <c r="P1073">
        <v>-0.144798215247917</v>
      </c>
      <c r="Q1073">
        <v>7.4184298232636003E-2</v>
      </c>
      <c r="R1073">
        <v>0.99455482585807997</v>
      </c>
      <c r="S1073" t="s">
        <v>4905</v>
      </c>
      <c r="T1073" t="s">
        <v>7662</v>
      </c>
      <c r="U1073" t="s">
        <v>7662</v>
      </c>
      <c r="V1073" t="s">
        <v>7662</v>
      </c>
      <c r="W1073">
        <v>13</v>
      </c>
      <c r="X1073" t="s">
        <v>8735</v>
      </c>
      <c r="Y1073">
        <v>0.38733551318068998</v>
      </c>
      <c r="Z1073" t="str">
        <f>HYPERLINK("Melting_Curves/meltCurve_sp_P49736_MCM2_HUMAN_.pdf", "Melting_Curves/meltCurve_sp_P49736_MCM2_HUMAN_.pdf")</f>
        <v>Melting_Curves/meltCurve_sp_P49736_MCM2_HUMAN_.pdf</v>
      </c>
      <c r="AA1073" t="s">
        <v>12547</v>
      </c>
      <c r="AB1073" t="s">
        <v>16314</v>
      </c>
    </row>
    <row r="1074" spans="1:28" x14ac:dyDescent="0.25">
      <c r="A1074" t="s">
        <v>1078</v>
      </c>
      <c r="B1074">
        <v>0.98876768158843997</v>
      </c>
      <c r="C1074">
        <v>0.88867190064049595</v>
      </c>
      <c r="D1074">
        <v>1.04989087035621</v>
      </c>
      <c r="E1074">
        <v>0.55379624008511896</v>
      </c>
      <c r="F1074">
        <v>0.46546801700029899</v>
      </c>
      <c r="G1074">
        <v>0.225513098053231</v>
      </c>
      <c r="H1074">
        <v>0.124785003630998</v>
      </c>
      <c r="I1074">
        <v>7.7659770525458693E-2</v>
      </c>
      <c r="J1074">
        <v>6.9549074800318605E-2</v>
      </c>
      <c r="K1074">
        <v>5.84478012851418E-2</v>
      </c>
      <c r="L1074">
        <v>906.842209368152</v>
      </c>
      <c r="M1074">
        <v>17.571753094498</v>
      </c>
      <c r="N1074">
        <v>51.972478920823498</v>
      </c>
      <c r="O1074">
        <v>50.953469226021099</v>
      </c>
      <c r="P1074">
        <v>-8.1220695069271195E-2</v>
      </c>
      <c r="Q1074">
        <v>5.7976364739014102E-2</v>
      </c>
      <c r="R1074">
        <v>0.97031956343828296</v>
      </c>
      <c r="S1074" t="s">
        <v>4906</v>
      </c>
      <c r="T1074" t="s">
        <v>7662</v>
      </c>
      <c r="U1074" t="s">
        <v>7662</v>
      </c>
      <c r="V1074" t="s">
        <v>7662</v>
      </c>
      <c r="W1074">
        <v>24</v>
      </c>
      <c r="X1074" t="s">
        <v>8736</v>
      </c>
      <c r="Y1074">
        <v>0.4389043795770185</v>
      </c>
      <c r="Z1074" t="str">
        <f>HYPERLINK("Melting_Curves/meltCurve_sp_P49748_ACADV_HUMAN_.pdf", "Melting_Curves/meltCurve_sp_P49748_ACADV_HUMAN_.pdf")</f>
        <v>Melting_Curves/meltCurve_sp_P49748_ACADV_HUMAN_.pdf</v>
      </c>
      <c r="AA1074" t="s">
        <v>12548</v>
      </c>
      <c r="AB1074" t="s">
        <v>16315</v>
      </c>
    </row>
    <row r="1075" spans="1:28" x14ac:dyDescent="0.25">
      <c r="A1075" t="s">
        <v>1079</v>
      </c>
      <c r="B1075">
        <v>0.98876768158843997</v>
      </c>
      <c r="C1075">
        <v>0.99725855920195405</v>
      </c>
      <c r="D1075">
        <v>0.82584147642822103</v>
      </c>
      <c r="E1075">
        <v>0.63403008690138396</v>
      </c>
      <c r="F1075">
        <v>0.59580516484667501</v>
      </c>
      <c r="G1075">
        <v>0.42522916919242398</v>
      </c>
      <c r="H1075">
        <v>0.32109819564286701</v>
      </c>
      <c r="I1075">
        <v>0.36659224891206998</v>
      </c>
      <c r="J1075">
        <v>0.36993024815884001</v>
      </c>
      <c r="K1075">
        <v>0.52471652891878895</v>
      </c>
      <c r="L1075">
        <v>851.20996797035195</v>
      </c>
      <c r="M1075">
        <v>17.3128140993778</v>
      </c>
      <c r="N1075">
        <v>53.932810507420001</v>
      </c>
      <c r="O1075">
        <v>48.524568516555298</v>
      </c>
      <c r="P1075">
        <v>-5.4258004963523898E-2</v>
      </c>
      <c r="Q1075">
        <v>0.39173501612828499</v>
      </c>
      <c r="R1075">
        <v>0.93927445170587998</v>
      </c>
      <c r="S1075" t="s">
        <v>4907</v>
      </c>
      <c r="T1075" t="s">
        <v>7662</v>
      </c>
      <c r="U1075" t="s">
        <v>7662</v>
      </c>
      <c r="V1075" t="s">
        <v>7662</v>
      </c>
      <c r="W1075">
        <v>10</v>
      </c>
      <c r="X1075" t="s">
        <v>8737</v>
      </c>
      <c r="Y1075">
        <v>0.58893000965698283</v>
      </c>
      <c r="Z1075" t="str">
        <f>HYPERLINK("Melting_Curves/meltCurve_sp_P49750_4_YLPM1_HUMAN_.pdf", "Melting_Curves/meltCurve_sp_P49750_4_YLPM1_HUMAN_.pdf")</f>
        <v>Melting_Curves/meltCurve_sp_P49750_4_YLPM1_HUMAN_.pdf</v>
      </c>
      <c r="AA1075" t="s">
        <v>12549</v>
      </c>
      <c r="AB1075" t="s">
        <v>16316</v>
      </c>
    </row>
    <row r="1076" spans="1:28" x14ac:dyDescent="0.25">
      <c r="A1076" t="s">
        <v>1080</v>
      </c>
      <c r="B1076">
        <v>0.98876768158843997</v>
      </c>
      <c r="C1076">
        <v>1.0391662316802801</v>
      </c>
      <c r="D1076">
        <v>0.86232784475020796</v>
      </c>
      <c r="E1076">
        <v>0.69589263007897095</v>
      </c>
      <c r="F1076">
        <v>0.61501895879152502</v>
      </c>
      <c r="G1076">
        <v>0.35211880091995401</v>
      </c>
      <c r="H1076">
        <v>0.16587066183719801</v>
      </c>
      <c r="I1076">
        <v>0.137416972626561</v>
      </c>
      <c r="J1076">
        <v>0.15114775113586401</v>
      </c>
      <c r="K1076">
        <v>0.12909099589310999</v>
      </c>
      <c r="L1076">
        <v>736.10410865479605</v>
      </c>
      <c r="M1076">
        <v>13.8048851524208</v>
      </c>
      <c r="N1076">
        <v>53.963053445557101</v>
      </c>
      <c r="O1076">
        <v>52.240457734894001</v>
      </c>
      <c r="P1076">
        <v>-6.1076471917466298E-2</v>
      </c>
      <c r="Q1076">
        <v>7.5626673616838794E-2</v>
      </c>
      <c r="R1076">
        <v>0.98721956623384599</v>
      </c>
      <c r="S1076" t="s">
        <v>4908</v>
      </c>
      <c r="T1076" t="s">
        <v>7662</v>
      </c>
      <c r="U1076" t="s">
        <v>7662</v>
      </c>
      <c r="V1076" t="s">
        <v>7662</v>
      </c>
      <c r="W1076">
        <v>2</v>
      </c>
      <c r="X1076" t="s">
        <v>8738</v>
      </c>
      <c r="Y1076">
        <v>0.50794369716670151</v>
      </c>
      <c r="Z1076" t="str">
        <f>HYPERLINK("Melting_Curves/meltCurve_sp_P49756_RBM25_HUMAN_.pdf", "Melting_Curves/meltCurve_sp_P49756_RBM25_HUMAN_.pdf")</f>
        <v>Melting_Curves/meltCurve_sp_P49756_RBM25_HUMAN_.pdf</v>
      </c>
      <c r="AA1076" t="s">
        <v>12550</v>
      </c>
      <c r="AB1076" t="s">
        <v>16317</v>
      </c>
    </row>
    <row r="1077" spans="1:28" x14ac:dyDescent="0.25">
      <c r="A1077" t="s">
        <v>1081</v>
      </c>
      <c r="B1077">
        <v>0.98876768158843997</v>
      </c>
      <c r="C1077">
        <v>0.99392674817330395</v>
      </c>
      <c r="D1077">
        <v>0.82336204992198103</v>
      </c>
      <c r="E1077">
        <v>0.60824101748206505</v>
      </c>
      <c r="F1077">
        <v>0.57841765747740803</v>
      </c>
      <c r="G1077">
        <v>0.35407091042417899</v>
      </c>
      <c r="H1077">
        <v>0.23004425396426001</v>
      </c>
      <c r="I1077">
        <v>0.248275051381495</v>
      </c>
      <c r="J1077">
        <v>0.24593023324433799</v>
      </c>
      <c r="K1077">
        <v>0.30217484545481499</v>
      </c>
      <c r="L1077">
        <v>722.67698688289204</v>
      </c>
      <c r="M1077">
        <v>14.2552478193206</v>
      </c>
      <c r="N1077">
        <v>52.9703969288365</v>
      </c>
      <c r="O1077">
        <v>49.729169126073899</v>
      </c>
      <c r="P1077">
        <v>-5.5265452932166101E-2</v>
      </c>
      <c r="Q1077">
        <v>0.22892502836599599</v>
      </c>
      <c r="R1077">
        <v>0.977327329960059</v>
      </c>
      <c r="S1077" t="s">
        <v>4909</v>
      </c>
      <c r="T1077" t="s">
        <v>7662</v>
      </c>
      <c r="U1077" t="s">
        <v>7662</v>
      </c>
      <c r="V1077" t="s">
        <v>7662</v>
      </c>
      <c r="W1077">
        <v>5</v>
      </c>
      <c r="X1077" t="s">
        <v>8739</v>
      </c>
      <c r="Y1077">
        <v>0.52340711738102463</v>
      </c>
      <c r="Z1077" t="str">
        <f>HYPERLINK("Melting_Curves/meltCurve_sp_P49757_4_NUMB_HUMAN_.pdf", "Melting_Curves/meltCurve_sp_P49757_4_NUMB_HUMAN_.pdf")</f>
        <v>Melting_Curves/meltCurve_sp_P49757_4_NUMB_HUMAN_.pdf</v>
      </c>
      <c r="AA1077" t="s">
        <v>12551</v>
      </c>
      <c r="AB1077" t="s">
        <v>16318</v>
      </c>
    </row>
    <row r="1078" spans="1:28" x14ac:dyDescent="0.25">
      <c r="A1078" t="s">
        <v>1082</v>
      </c>
      <c r="B1078">
        <v>0.98876768158843997</v>
      </c>
      <c r="C1078">
        <v>1.0100416777588099</v>
      </c>
      <c r="D1078">
        <v>0.99566513418641001</v>
      </c>
      <c r="E1078">
        <v>0.68610428370174903</v>
      </c>
      <c r="F1078">
        <v>0.62115851572222902</v>
      </c>
      <c r="G1078">
        <v>0.22056004908108701</v>
      </c>
      <c r="H1078">
        <v>0.131065761236735</v>
      </c>
      <c r="I1078">
        <v>0.129383644299675</v>
      </c>
      <c r="J1078">
        <v>0.137315743622139</v>
      </c>
      <c r="K1078">
        <v>9.1658172167014398E-2</v>
      </c>
      <c r="L1078">
        <v>1021.32845183402</v>
      </c>
      <c r="M1078">
        <v>19.326571264965001</v>
      </c>
      <c r="N1078">
        <v>53.3954563614395</v>
      </c>
      <c r="O1078">
        <v>52.289787486925199</v>
      </c>
      <c r="P1078">
        <v>-8.4069665797557397E-2</v>
      </c>
      <c r="Q1078">
        <v>9.0201559011597196E-2</v>
      </c>
      <c r="R1078">
        <v>0.98484962165272905</v>
      </c>
      <c r="S1078" t="s">
        <v>4910</v>
      </c>
      <c r="T1078" t="s">
        <v>7662</v>
      </c>
      <c r="U1078" t="s">
        <v>7662</v>
      </c>
      <c r="V1078" t="s">
        <v>7662</v>
      </c>
      <c r="W1078">
        <v>4</v>
      </c>
      <c r="X1078" t="s">
        <v>8740</v>
      </c>
      <c r="Y1078">
        <v>0.49305392435150619</v>
      </c>
      <c r="Z1078" t="str">
        <f>HYPERLINK("Melting_Curves/meltCurve_sp_P49770_EI2BB_HUMAN_.pdf", "Melting_Curves/meltCurve_sp_P49770_EI2BB_HUMAN_.pdf")</f>
        <v>Melting_Curves/meltCurve_sp_P49770_EI2BB_HUMAN_.pdf</v>
      </c>
      <c r="AA1078" t="s">
        <v>12552</v>
      </c>
      <c r="AB1078" t="s">
        <v>16319</v>
      </c>
    </row>
    <row r="1079" spans="1:28" x14ac:dyDescent="0.25">
      <c r="A1079" t="s">
        <v>1083</v>
      </c>
      <c r="B1079">
        <v>0.98876768158843997</v>
      </c>
      <c r="C1079">
        <v>1.15626074890955</v>
      </c>
      <c r="D1079">
        <v>0.87196854860881101</v>
      </c>
      <c r="E1079">
        <v>0.82014333461289501</v>
      </c>
      <c r="F1079">
        <v>0.97388880236143405</v>
      </c>
      <c r="G1079">
        <v>0.62003289110806703</v>
      </c>
      <c r="H1079">
        <v>0.38277469329225</v>
      </c>
      <c r="I1079">
        <v>0.37490709396660998</v>
      </c>
      <c r="J1079">
        <v>0.41077516594760199</v>
      </c>
      <c r="K1079">
        <v>0.45172187002311698</v>
      </c>
      <c r="L1079">
        <v>2853.8022146247499</v>
      </c>
      <c r="M1079">
        <v>50.658382730202803</v>
      </c>
      <c r="N1079">
        <v>58.212118952329199</v>
      </c>
      <c r="O1079">
        <v>56.246674859525498</v>
      </c>
      <c r="P1079">
        <v>-0.13454667405943899</v>
      </c>
      <c r="Q1079">
        <v>0.40244465176654098</v>
      </c>
      <c r="R1079">
        <v>0.89938970576200605</v>
      </c>
      <c r="S1079" t="s">
        <v>4911</v>
      </c>
      <c r="T1079" t="s">
        <v>7662</v>
      </c>
      <c r="U1079" t="s">
        <v>7662</v>
      </c>
      <c r="V1079" t="s">
        <v>7662</v>
      </c>
      <c r="W1079">
        <v>9</v>
      </c>
      <c r="X1079" t="s">
        <v>8741</v>
      </c>
      <c r="Y1079">
        <v>0.72924318623001705</v>
      </c>
      <c r="Z1079" t="str">
        <f>HYPERLINK("Melting_Curves/meltCurve_sp_P49773_HINT1_HUMAN_.pdf", "Melting_Curves/meltCurve_sp_P49773_HINT1_HUMAN_.pdf")</f>
        <v>Melting_Curves/meltCurve_sp_P49773_HINT1_HUMAN_.pdf</v>
      </c>
      <c r="AA1079" t="s">
        <v>12553</v>
      </c>
      <c r="AB1079" t="s">
        <v>16320</v>
      </c>
    </row>
    <row r="1080" spans="1:28" x14ac:dyDescent="0.25">
      <c r="A1080" t="s">
        <v>1084</v>
      </c>
      <c r="B1080">
        <v>0.98876768158843997</v>
      </c>
      <c r="C1080">
        <v>0.94392176209852696</v>
      </c>
      <c r="D1080">
        <v>0.83810967294096095</v>
      </c>
      <c r="E1080">
        <v>0.675695649223922</v>
      </c>
      <c r="F1080">
        <v>0.62012574765112305</v>
      </c>
      <c r="G1080">
        <v>0.44534186185907199</v>
      </c>
      <c r="H1080">
        <v>0.30261116791928999</v>
      </c>
      <c r="I1080">
        <v>0.28515444763973502</v>
      </c>
      <c r="J1080">
        <v>0.30986224975322602</v>
      </c>
      <c r="K1080">
        <v>0.186460800854374</v>
      </c>
      <c r="L1080">
        <v>526.11945860845594</v>
      </c>
      <c r="M1080">
        <v>9.8866629297902708</v>
      </c>
      <c r="N1080">
        <v>55.227922475580399</v>
      </c>
      <c r="O1080">
        <v>51.175142541178097</v>
      </c>
      <c r="P1080">
        <v>-4.1012562564277703E-2</v>
      </c>
      <c r="Q1080">
        <v>0.15127762455064001</v>
      </c>
      <c r="R1080">
        <v>0.98797526283194104</v>
      </c>
      <c r="S1080" t="s">
        <v>4912</v>
      </c>
      <c r="T1080" t="s">
        <v>7662</v>
      </c>
      <c r="U1080" t="s">
        <v>7662</v>
      </c>
      <c r="V1080" t="s">
        <v>7662</v>
      </c>
      <c r="W1080">
        <v>4</v>
      </c>
      <c r="X1080" t="s">
        <v>8742</v>
      </c>
      <c r="Y1080">
        <v>0.55374231556992415</v>
      </c>
      <c r="Z1080" t="str">
        <f>HYPERLINK("Melting_Curves/meltCurve_sp_P49789_FHIT_HUMAN_.pdf", "Melting_Curves/meltCurve_sp_P49789_FHIT_HUMAN_.pdf")</f>
        <v>Melting_Curves/meltCurve_sp_P49789_FHIT_HUMAN_.pdf</v>
      </c>
      <c r="AA1080" t="s">
        <v>12554</v>
      </c>
      <c r="AB1080" t="s">
        <v>16321</v>
      </c>
    </row>
    <row r="1081" spans="1:28" x14ac:dyDescent="0.25">
      <c r="A1081" t="s">
        <v>1085</v>
      </c>
      <c r="B1081">
        <v>0.98876768158843997</v>
      </c>
      <c r="C1081">
        <v>1.0373885607409301</v>
      </c>
      <c r="D1081">
        <v>0.89647932845162104</v>
      </c>
      <c r="E1081">
        <v>0.68682295402876403</v>
      </c>
      <c r="F1081">
        <v>0.69394955388409396</v>
      </c>
      <c r="G1081">
        <v>0.50903207154220997</v>
      </c>
      <c r="H1081">
        <v>0.366157529704767</v>
      </c>
      <c r="I1081">
        <v>0.41540363572067801</v>
      </c>
      <c r="J1081">
        <v>0.50093292032094905</v>
      </c>
      <c r="K1081">
        <v>0.61217012310149499</v>
      </c>
      <c r="L1081">
        <v>956.99078803605005</v>
      </c>
      <c r="M1081">
        <v>19.171576198107001</v>
      </c>
      <c r="N1081">
        <v>59.241319365901099</v>
      </c>
      <c r="O1081">
        <v>49.383582607994697</v>
      </c>
      <c r="P1081">
        <v>-5.09033594214921E-2</v>
      </c>
      <c r="Q1081">
        <v>0.47553748900056098</v>
      </c>
      <c r="R1081">
        <v>0.89508119814405196</v>
      </c>
      <c r="S1081" t="s">
        <v>4913</v>
      </c>
      <c r="T1081" t="s">
        <v>7662</v>
      </c>
      <c r="U1081" t="s">
        <v>7662</v>
      </c>
      <c r="V1081" t="s">
        <v>7662</v>
      </c>
      <c r="W1081">
        <v>12</v>
      </c>
      <c r="X1081" t="s">
        <v>8743</v>
      </c>
      <c r="Y1081">
        <v>0.65684135358917217</v>
      </c>
      <c r="Z1081" t="str">
        <f>HYPERLINK("Melting_Curves/meltCurve_sp_P49790_NU153_HUMAN_.pdf", "Melting_Curves/meltCurve_sp_P49790_NU153_HUMAN_.pdf")</f>
        <v>Melting_Curves/meltCurve_sp_P49790_NU153_HUMAN_.pdf</v>
      </c>
      <c r="AA1081" t="s">
        <v>12555</v>
      </c>
      <c r="AB1081" t="s">
        <v>16322</v>
      </c>
    </row>
    <row r="1082" spans="1:28" x14ac:dyDescent="0.25">
      <c r="A1082" t="s">
        <v>1086</v>
      </c>
      <c r="B1082">
        <v>0.98876768158843997</v>
      </c>
      <c r="C1082">
        <v>1.01696832200537</v>
      </c>
      <c r="D1082">
        <v>0.91793443595496405</v>
      </c>
      <c r="E1082">
        <v>0.632189938869826</v>
      </c>
      <c r="F1082">
        <v>0.52331154964972804</v>
      </c>
      <c r="G1082">
        <v>0.32388259247610701</v>
      </c>
      <c r="H1082">
        <v>0.215255552274149</v>
      </c>
      <c r="I1082">
        <v>0.21149727710572</v>
      </c>
      <c r="J1082">
        <v>0.24787961680491999</v>
      </c>
      <c r="K1082">
        <v>0.264600016999334</v>
      </c>
      <c r="L1082">
        <v>945.763441780177</v>
      </c>
      <c r="M1082">
        <v>18.572225884834001</v>
      </c>
      <c r="N1082">
        <v>52.6067754564532</v>
      </c>
      <c r="O1082">
        <v>50.344168135013803</v>
      </c>
      <c r="P1082">
        <v>-7.1569704436517903E-2</v>
      </c>
      <c r="Q1082">
        <v>0.22401124392660901</v>
      </c>
      <c r="R1082">
        <v>0.98968452497541204</v>
      </c>
      <c r="S1082" t="s">
        <v>4914</v>
      </c>
      <c r="T1082" t="s">
        <v>7662</v>
      </c>
      <c r="U1082" t="s">
        <v>7662</v>
      </c>
      <c r="V1082" t="s">
        <v>7662</v>
      </c>
      <c r="W1082">
        <v>35</v>
      </c>
      <c r="X1082" t="s">
        <v>8744</v>
      </c>
      <c r="Y1082">
        <v>0.51892399148740109</v>
      </c>
      <c r="Z1082" t="str">
        <f>HYPERLINK("Melting_Curves/meltCurve_sp_P49792_RBP2_HUMAN_.pdf", "Melting_Curves/meltCurve_sp_P49792_RBP2_HUMAN_.pdf")</f>
        <v>Melting_Curves/meltCurve_sp_P49792_RBP2_HUMAN_.pdf</v>
      </c>
      <c r="AA1082" t="s">
        <v>12556</v>
      </c>
      <c r="AB1082" t="s">
        <v>16323</v>
      </c>
    </row>
    <row r="1083" spans="1:28" x14ac:dyDescent="0.25">
      <c r="A1083" t="s">
        <v>1087</v>
      </c>
      <c r="B1083">
        <v>0.98876768158843997</v>
      </c>
      <c r="C1083">
        <v>0.83471254691624197</v>
      </c>
      <c r="D1083">
        <v>0.69377618467912605</v>
      </c>
      <c r="E1083">
        <v>0.36051643353753798</v>
      </c>
      <c r="F1083">
        <v>0.178277472323565</v>
      </c>
      <c r="G1083">
        <v>0.113745111451984</v>
      </c>
      <c r="H1083">
        <v>6.3612019867738706E-2</v>
      </c>
      <c r="I1083">
        <v>6.1048550031062597E-2</v>
      </c>
      <c r="J1083">
        <v>5.7378110020711498E-2</v>
      </c>
      <c r="K1083">
        <v>5.8802713373880697E-2</v>
      </c>
      <c r="L1083">
        <v>799.67232348690095</v>
      </c>
      <c r="M1083">
        <v>16.739059263836701</v>
      </c>
      <c r="N1083">
        <v>48.054500570996296</v>
      </c>
      <c r="O1083">
        <v>47.106626321234302</v>
      </c>
      <c r="P1083">
        <v>-8.4690453377014294E-2</v>
      </c>
      <c r="Q1083">
        <v>4.6727656460267997E-2</v>
      </c>
      <c r="R1083">
        <v>0.99704850912231602</v>
      </c>
      <c r="S1083" t="s">
        <v>4915</v>
      </c>
      <c r="T1083" t="s">
        <v>7662</v>
      </c>
      <c r="U1083" t="s">
        <v>7662</v>
      </c>
      <c r="V1083" t="s">
        <v>7662</v>
      </c>
      <c r="W1083">
        <v>9</v>
      </c>
      <c r="X1083" t="s">
        <v>8745</v>
      </c>
      <c r="Y1083">
        <v>0.31354879657395412</v>
      </c>
      <c r="Z1083" t="str">
        <f>HYPERLINK("Melting_Curves/meltCurve_sp_P49821_2_NDUV1_HUMAN_.pdf", "Melting_Curves/meltCurve_sp_P49821_2_NDUV1_HUMAN_.pdf")</f>
        <v>Melting_Curves/meltCurve_sp_P49821_2_NDUV1_HUMAN_.pdf</v>
      </c>
      <c r="AA1083" t="s">
        <v>12557</v>
      </c>
      <c r="AB1083" t="s">
        <v>16324</v>
      </c>
    </row>
    <row r="1084" spans="1:28" x14ac:dyDescent="0.25">
      <c r="A1084" t="s">
        <v>1088</v>
      </c>
      <c r="B1084">
        <v>0.98876768158843997</v>
      </c>
      <c r="C1084">
        <v>0.94500611825979297</v>
      </c>
      <c r="D1084">
        <v>0.83380056501288502</v>
      </c>
      <c r="E1084">
        <v>0.58317719421121705</v>
      </c>
      <c r="F1084">
        <v>0.27907372327000901</v>
      </c>
      <c r="G1084">
        <v>0.141193162932223</v>
      </c>
      <c r="H1084">
        <v>5.63098905658896E-2</v>
      </c>
      <c r="I1084">
        <v>5.8633316157793103E-2</v>
      </c>
      <c r="J1084">
        <v>6.3825791726603007E-2</v>
      </c>
      <c r="K1084">
        <v>4.5497459394639499E-2</v>
      </c>
      <c r="L1084">
        <v>929.07509044508095</v>
      </c>
      <c r="M1084">
        <v>18.469629012338</v>
      </c>
      <c r="N1084">
        <v>50.519467726297798</v>
      </c>
      <c r="O1084">
        <v>49.724293464087303</v>
      </c>
      <c r="P1084">
        <v>-8.9329112346674705E-2</v>
      </c>
      <c r="Q1084">
        <v>3.8068724137243902E-2</v>
      </c>
      <c r="R1084">
        <v>0.99746609015493803</v>
      </c>
      <c r="S1084" t="s">
        <v>4916</v>
      </c>
      <c r="T1084" t="s">
        <v>7662</v>
      </c>
      <c r="U1084" t="s">
        <v>7662</v>
      </c>
      <c r="V1084" t="s">
        <v>7662</v>
      </c>
      <c r="W1084">
        <v>4</v>
      </c>
      <c r="X1084" t="s">
        <v>8746</v>
      </c>
      <c r="Y1084">
        <v>0.3839935886484559</v>
      </c>
      <c r="Z1084" t="str">
        <f>HYPERLINK("Melting_Curves/meltCurve_sp_P49840_GSK3A_HUMAN_.pdf", "Melting_Curves/meltCurve_sp_P49840_GSK3A_HUMAN_.pdf")</f>
        <v>Melting_Curves/meltCurve_sp_P49840_GSK3A_HUMAN_.pdf</v>
      </c>
      <c r="AA1084" t="s">
        <v>12558</v>
      </c>
      <c r="AB1084" t="s">
        <v>16325</v>
      </c>
    </row>
    <row r="1085" spans="1:28" x14ac:dyDescent="0.25">
      <c r="A1085" t="s">
        <v>1089</v>
      </c>
      <c r="B1085">
        <v>0.98876768158843997</v>
      </c>
      <c r="C1085">
        <v>1.0175875689602101</v>
      </c>
      <c r="D1085">
        <v>0.71819474581855802</v>
      </c>
      <c r="E1085">
        <v>0.458683848890307</v>
      </c>
      <c r="F1085">
        <v>0.137248074451708</v>
      </c>
      <c r="G1085">
        <v>8.1122279483196905E-2</v>
      </c>
      <c r="H1085">
        <v>3.5645128157964799E-2</v>
      </c>
      <c r="I1085">
        <v>3.8807864710602803E-2</v>
      </c>
      <c r="J1085">
        <v>4.8329155857197902E-2</v>
      </c>
      <c r="K1085">
        <v>5.3052107080529098E-2</v>
      </c>
      <c r="L1085">
        <v>1014.34865382049</v>
      </c>
      <c r="M1085">
        <v>20.801123804538999</v>
      </c>
      <c r="N1085">
        <v>48.9304654277556</v>
      </c>
      <c r="O1085">
        <v>48.320152673727598</v>
      </c>
      <c r="P1085">
        <v>-0.103950583775012</v>
      </c>
      <c r="Q1085">
        <v>3.41353099088492E-2</v>
      </c>
      <c r="R1085">
        <v>0.98887044150435</v>
      </c>
      <c r="S1085" t="s">
        <v>4917</v>
      </c>
      <c r="T1085" t="s">
        <v>7662</v>
      </c>
      <c r="U1085" t="s">
        <v>7662</v>
      </c>
      <c r="V1085" t="s">
        <v>7662</v>
      </c>
      <c r="W1085">
        <v>3</v>
      </c>
      <c r="X1085" t="s">
        <v>8747</v>
      </c>
      <c r="Y1085">
        <v>0.32881038446412642</v>
      </c>
      <c r="Z1085" t="str">
        <f>HYPERLINK("Melting_Curves/meltCurve_sp_P49841_GSK3B_HUMAN_.pdf", "Melting_Curves/meltCurve_sp_P49841_GSK3B_HUMAN_.pdf")</f>
        <v>Melting_Curves/meltCurve_sp_P49841_GSK3B_HUMAN_.pdf</v>
      </c>
      <c r="AA1085" t="s">
        <v>12559</v>
      </c>
      <c r="AB1085" t="s">
        <v>16326</v>
      </c>
    </row>
    <row r="1086" spans="1:28" x14ac:dyDescent="0.25">
      <c r="A1086" t="s">
        <v>1090</v>
      </c>
      <c r="B1086">
        <v>0.98876768158843997</v>
      </c>
      <c r="C1086">
        <v>1.0219634875539101</v>
      </c>
      <c r="D1086">
        <v>0.70953405703560701</v>
      </c>
      <c r="E1086">
        <v>0.31204579949894801</v>
      </c>
      <c r="F1086">
        <v>0.16435992609989999</v>
      </c>
      <c r="G1086">
        <v>7.3887385189904994E-2</v>
      </c>
      <c r="H1086">
        <v>3.7691119061474397E-2</v>
      </c>
      <c r="I1086">
        <v>3.08778950143987E-2</v>
      </c>
      <c r="J1086">
        <v>3.3930508089949601E-2</v>
      </c>
      <c r="K1086">
        <v>2.7820235157077999E-2</v>
      </c>
      <c r="L1086">
        <v>1102.90248464256</v>
      </c>
      <c r="M1086">
        <v>22.960748873100801</v>
      </c>
      <c r="N1086">
        <v>48.194886201923403</v>
      </c>
      <c r="O1086">
        <v>47.674347043403003</v>
      </c>
      <c r="P1086">
        <v>-0.115970527217011</v>
      </c>
      <c r="Q1086">
        <v>3.6840644068341699E-2</v>
      </c>
      <c r="R1086">
        <v>0.994216708449012</v>
      </c>
      <c r="S1086" t="s">
        <v>4918</v>
      </c>
      <c r="T1086" t="s">
        <v>7662</v>
      </c>
      <c r="U1086" t="s">
        <v>7662</v>
      </c>
      <c r="V1086" t="s">
        <v>7662</v>
      </c>
      <c r="W1086">
        <v>10</v>
      </c>
      <c r="X1086" t="s">
        <v>8748</v>
      </c>
      <c r="Y1086">
        <v>0.30498277995462708</v>
      </c>
      <c r="Z1086" t="str">
        <f>HYPERLINK("Melting_Curves/meltCurve_sp_P49888_ST1E1_HUMAN_.pdf", "Melting_Curves/meltCurve_sp_P49888_ST1E1_HUMAN_.pdf")</f>
        <v>Melting_Curves/meltCurve_sp_P49888_ST1E1_HUMAN_.pdf</v>
      </c>
      <c r="AA1086" t="s">
        <v>12560</v>
      </c>
      <c r="AB1086" t="s">
        <v>16327</v>
      </c>
    </row>
    <row r="1087" spans="1:28" x14ac:dyDescent="0.25">
      <c r="A1087" t="s">
        <v>1091</v>
      </c>
      <c r="B1087">
        <v>0.98876768158843997</v>
      </c>
      <c r="C1087">
        <v>1.0125582206283299</v>
      </c>
      <c r="D1087">
        <v>0.99143717294398204</v>
      </c>
      <c r="E1087">
        <v>0.92069877005989498</v>
      </c>
      <c r="F1087">
        <v>0.64040752408434798</v>
      </c>
      <c r="G1087">
        <v>0.33894727901726002</v>
      </c>
      <c r="H1087">
        <v>8.4921969730485797E-2</v>
      </c>
      <c r="I1087">
        <v>7.3289449160462594E-2</v>
      </c>
      <c r="J1087">
        <v>7.2626920124193098E-2</v>
      </c>
      <c r="K1087">
        <v>8.3492412284110806E-2</v>
      </c>
      <c r="L1087">
        <v>1280.4839001205801</v>
      </c>
      <c r="M1087">
        <v>23.527404395897499</v>
      </c>
      <c r="N1087">
        <v>54.704431748694297</v>
      </c>
      <c r="O1087">
        <v>54.036576469662599</v>
      </c>
      <c r="P1087">
        <v>-0.102692566641286</v>
      </c>
      <c r="Q1087">
        <v>5.6579084990447198E-2</v>
      </c>
      <c r="R1087">
        <v>0.99646193693481999</v>
      </c>
      <c r="S1087" t="s">
        <v>4919</v>
      </c>
      <c r="T1087" t="s">
        <v>7662</v>
      </c>
      <c r="U1087" t="s">
        <v>7662</v>
      </c>
      <c r="V1087" t="s">
        <v>7662</v>
      </c>
      <c r="W1087">
        <v>6</v>
      </c>
      <c r="X1087" t="s">
        <v>8749</v>
      </c>
      <c r="Y1087">
        <v>0.51993920646807901</v>
      </c>
      <c r="Z1087" t="str">
        <f>HYPERLINK("Melting_Curves/meltCurve_sp_P49902_5NTC_HUMAN_.pdf", "Melting_Curves/meltCurve_sp_P49902_5NTC_HUMAN_.pdf")</f>
        <v>Melting_Curves/meltCurve_sp_P49902_5NTC_HUMAN_.pdf</v>
      </c>
      <c r="AA1087" t="s">
        <v>12561</v>
      </c>
      <c r="AB1087" t="s">
        <v>16328</v>
      </c>
    </row>
    <row r="1088" spans="1:28" x14ac:dyDescent="0.25">
      <c r="A1088" t="s">
        <v>1092</v>
      </c>
      <c r="B1088">
        <v>0.98876768158843997</v>
      </c>
      <c r="C1088">
        <v>1.0754082127103699</v>
      </c>
      <c r="D1088">
        <v>0.97694080179290499</v>
      </c>
      <c r="E1088">
        <v>0.88217831876538699</v>
      </c>
      <c r="F1088">
        <v>0.71251047128658895</v>
      </c>
      <c r="G1088">
        <v>0.51417697096340897</v>
      </c>
      <c r="H1088">
        <v>0.42422930271609299</v>
      </c>
      <c r="I1088">
        <v>0.47891327863956701</v>
      </c>
      <c r="J1088">
        <v>0.43807698672885798</v>
      </c>
      <c r="K1088">
        <v>0.487201560758106</v>
      </c>
      <c r="L1088">
        <v>1418.7224490629901</v>
      </c>
      <c r="M1088">
        <v>26.9529606353757</v>
      </c>
      <c r="N1088">
        <v>57.703375493473601</v>
      </c>
      <c r="O1088">
        <v>52.349786363681197</v>
      </c>
      <c r="P1088">
        <v>-7.0395975624894302E-2</v>
      </c>
      <c r="Q1088">
        <v>0.45309496594651</v>
      </c>
      <c r="R1088">
        <v>0.98351190622677298</v>
      </c>
      <c r="S1088" t="s">
        <v>4920</v>
      </c>
      <c r="T1088" t="s">
        <v>7662</v>
      </c>
      <c r="U1088" t="s">
        <v>7662</v>
      </c>
      <c r="V1088" t="s">
        <v>7662</v>
      </c>
      <c r="W1088">
        <v>8</v>
      </c>
      <c r="X1088" t="s">
        <v>8750</v>
      </c>
      <c r="Y1088">
        <v>0.6878174358047493</v>
      </c>
      <c r="Z1088" t="str">
        <f>HYPERLINK("Melting_Curves/meltCurve_sp_P49903_SPS1_HUMAN_.pdf", "Melting_Curves/meltCurve_sp_P49903_SPS1_HUMAN_.pdf")</f>
        <v>Melting_Curves/meltCurve_sp_P49903_SPS1_HUMAN_.pdf</v>
      </c>
      <c r="AA1088" t="s">
        <v>12562</v>
      </c>
      <c r="AB1088" t="s">
        <v>16329</v>
      </c>
    </row>
    <row r="1089" spans="1:28" x14ac:dyDescent="0.25">
      <c r="A1089" t="s">
        <v>1093</v>
      </c>
      <c r="B1089">
        <v>0.98876768158843997</v>
      </c>
      <c r="C1089">
        <v>1.2704065562768401</v>
      </c>
      <c r="D1089">
        <v>0.73434246299741801</v>
      </c>
      <c r="E1089">
        <v>0.37699853592004601</v>
      </c>
      <c r="F1089">
        <v>0.13872090139017601</v>
      </c>
      <c r="G1089">
        <v>9.5132975441681297E-2</v>
      </c>
      <c r="H1089">
        <v>7.3493333393117602E-2</v>
      </c>
      <c r="I1089">
        <v>7.0872361885531907E-2</v>
      </c>
      <c r="J1089">
        <v>8.1414098435300897E-2</v>
      </c>
      <c r="K1089">
        <v>5.6285334688445703E-2</v>
      </c>
      <c r="L1089">
        <v>1370.56490232244</v>
      </c>
      <c r="M1089">
        <v>28.3125911060507</v>
      </c>
      <c r="N1089">
        <v>48.682207596664703</v>
      </c>
      <c r="O1089">
        <v>48.168739257198197</v>
      </c>
      <c r="P1089">
        <v>-0.136127107009969</v>
      </c>
      <c r="Q1089">
        <v>7.3625050302120701E-2</v>
      </c>
      <c r="R1089">
        <v>0.94626031274872802</v>
      </c>
      <c r="S1089" t="s">
        <v>4921</v>
      </c>
      <c r="T1089" t="s">
        <v>7662</v>
      </c>
      <c r="U1089" t="s">
        <v>7662</v>
      </c>
      <c r="V1089" t="s">
        <v>7662</v>
      </c>
      <c r="W1089">
        <v>11</v>
      </c>
      <c r="X1089" t="s">
        <v>8751</v>
      </c>
      <c r="Y1089">
        <v>0.33958060099461218</v>
      </c>
      <c r="Z1089" t="str">
        <f>HYPERLINK("Melting_Curves/meltCurve_sp_P49914_MTHFS_HUMAN_.pdf", "Melting_Curves/meltCurve_sp_P49914_MTHFS_HUMAN_.pdf")</f>
        <v>Melting_Curves/meltCurve_sp_P49914_MTHFS_HUMAN_.pdf</v>
      </c>
      <c r="AA1089" t="s">
        <v>12563</v>
      </c>
      <c r="AB1089" t="s">
        <v>16330</v>
      </c>
    </row>
    <row r="1090" spans="1:28" x14ac:dyDescent="0.25">
      <c r="A1090" t="s">
        <v>1094</v>
      </c>
      <c r="B1090">
        <v>0.98876768158843997</v>
      </c>
      <c r="C1090">
        <v>0.95288461377370604</v>
      </c>
      <c r="D1090">
        <v>0.91105469934613503</v>
      </c>
      <c r="E1090">
        <v>0.70384356049834496</v>
      </c>
      <c r="F1090">
        <v>0.62183641806057099</v>
      </c>
      <c r="G1090">
        <v>0.38298169788814501</v>
      </c>
      <c r="H1090">
        <v>0.25317272566732701</v>
      </c>
      <c r="I1090">
        <v>0.22625660160340699</v>
      </c>
      <c r="J1090">
        <v>0.22611407957312199</v>
      </c>
      <c r="K1090">
        <v>0.242037656175216</v>
      </c>
      <c r="L1090">
        <v>749.41690013337995</v>
      </c>
      <c r="M1090">
        <v>14.2452240803648</v>
      </c>
      <c r="N1090">
        <v>54.380713971587099</v>
      </c>
      <c r="O1090">
        <v>51.604133361452398</v>
      </c>
      <c r="P1090">
        <v>-5.6202673436810201E-2</v>
      </c>
      <c r="Q1090">
        <v>0.185711270399015</v>
      </c>
      <c r="R1090">
        <v>0.99295259499839506</v>
      </c>
      <c r="S1090" t="s">
        <v>4922</v>
      </c>
      <c r="T1090" t="s">
        <v>7662</v>
      </c>
      <c r="U1090" t="s">
        <v>7662</v>
      </c>
      <c r="V1090" t="s">
        <v>7662</v>
      </c>
      <c r="W1090">
        <v>13</v>
      </c>
      <c r="X1090" t="s">
        <v>8752</v>
      </c>
      <c r="Y1090">
        <v>0.54709116484445119</v>
      </c>
      <c r="Z1090" t="str">
        <f>HYPERLINK("Melting_Curves/meltCurve_sp_P49959_MRE11_HUMAN_.pdf", "Melting_Curves/meltCurve_sp_P49959_MRE11_HUMAN_.pdf")</f>
        <v>Melting_Curves/meltCurve_sp_P49959_MRE11_HUMAN_.pdf</v>
      </c>
      <c r="AA1090" t="s">
        <v>12564</v>
      </c>
      <c r="AB1090" t="s">
        <v>16331</v>
      </c>
    </row>
    <row r="1091" spans="1:28" x14ac:dyDescent="0.25">
      <c r="A1091" t="s">
        <v>1095</v>
      </c>
      <c r="B1091">
        <v>0.98876768158843997</v>
      </c>
      <c r="C1091">
        <v>0.99425504335943204</v>
      </c>
      <c r="D1091">
        <v>0.86362860708651401</v>
      </c>
      <c r="E1091">
        <v>0.82092913241610299</v>
      </c>
      <c r="F1091">
        <v>0.82434975653627296</v>
      </c>
      <c r="G1091">
        <v>0.54432019710049395</v>
      </c>
      <c r="H1091">
        <v>0.27964829053713702</v>
      </c>
      <c r="I1091">
        <v>0.13662696384402701</v>
      </c>
      <c r="J1091">
        <v>6.7453940543497001E-2</v>
      </c>
      <c r="K1091">
        <v>4.9330716133905599E-2</v>
      </c>
      <c r="L1091">
        <v>873.24817192586397</v>
      </c>
      <c r="M1091">
        <v>15.261833336765701</v>
      </c>
      <c r="N1091">
        <v>57.2177767704</v>
      </c>
      <c r="O1091">
        <v>56.262402534430699</v>
      </c>
      <c r="P1091">
        <v>-6.7821819456985594E-2</v>
      </c>
      <c r="Q1091">
        <v>0</v>
      </c>
      <c r="R1091">
        <v>0.98191478223651396</v>
      </c>
      <c r="S1091" t="s">
        <v>4923</v>
      </c>
      <c r="T1091" t="s">
        <v>7662</v>
      </c>
      <c r="U1091" t="s">
        <v>7662</v>
      </c>
      <c r="V1091" t="s">
        <v>7662</v>
      </c>
      <c r="W1091">
        <v>17</v>
      </c>
      <c r="X1091" t="s">
        <v>8753</v>
      </c>
      <c r="Y1091">
        <v>0.589131112051962</v>
      </c>
      <c r="Z1091" t="str">
        <f>HYPERLINK("Melting_Curves/meltCurve_sp_P50053_2_KHK_HUMAN_.pdf", "Melting_Curves/meltCurve_sp_P50053_2_KHK_HUMAN_.pdf")</f>
        <v>Melting_Curves/meltCurve_sp_P50053_2_KHK_HUMAN_.pdf</v>
      </c>
      <c r="AA1091" t="s">
        <v>12565</v>
      </c>
      <c r="AB1091" t="s">
        <v>16332</v>
      </c>
    </row>
    <row r="1092" spans="1:28" x14ac:dyDescent="0.25">
      <c r="A1092" t="s">
        <v>1096</v>
      </c>
      <c r="B1092">
        <v>0.98876768158843997</v>
      </c>
      <c r="C1092">
        <v>0.97942864529970797</v>
      </c>
      <c r="D1092">
        <v>0.94453728385417701</v>
      </c>
      <c r="E1092">
        <v>0.93529325421884602</v>
      </c>
      <c r="F1092">
        <v>0.76339677747387202</v>
      </c>
      <c r="G1092">
        <v>0.61634906441225701</v>
      </c>
      <c r="H1092">
        <v>0.43335256090354102</v>
      </c>
      <c r="I1092">
        <v>0.33574044991053098</v>
      </c>
      <c r="J1092">
        <v>0.16900639649422</v>
      </c>
      <c r="K1092">
        <v>4.89493640614867E-2</v>
      </c>
      <c r="L1092">
        <v>737.11715680658904</v>
      </c>
      <c r="M1092">
        <v>12.458464434202799</v>
      </c>
      <c r="N1092">
        <v>59.165971970471197</v>
      </c>
      <c r="O1092">
        <v>57.703616777782003</v>
      </c>
      <c r="P1092">
        <v>-5.3987346630542603E-2</v>
      </c>
      <c r="Q1092">
        <v>0</v>
      </c>
      <c r="R1092">
        <v>0.98757162792201403</v>
      </c>
      <c r="S1092" t="s">
        <v>4924</v>
      </c>
      <c r="T1092" t="s">
        <v>7662</v>
      </c>
      <c r="U1092" t="s">
        <v>7662</v>
      </c>
      <c r="V1092" t="s">
        <v>7662</v>
      </c>
      <c r="W1092">
        <v>16</v>
      </c>
      <c r="X1092" t="s">
        <v>8754</v>
      </c>
      <c r="Y1092">
        <v>0.64662413074452041</v>
      </c>
      <c r="Z1092" t="str">
        <f>HYPERLINK("Melting_Curves/meltCurve_sp_P50053_KHK_HUMAN_.pdf", "Melting_Curves/meltCurve_sp_P50053_KHK_HUMAN_.pdf")</f>
        <v>Melting_Curves/meltCurve_sp_P50053_KHK_HUMAN_.pdf</v>
      </c>
      <c r="AA1092" t="s">
        <v>12565</v>
      </c>
      <c r="AB1092" t="s">
        <v>16333</v>
      </c>
    </row>
    <row r="1093" spans="1:28" x14ac:dyDescent="0.25">
      <c r="A1093" t="s">
        <v>1097</v>
      </c>
      <c r="B1093">
        <v>0.98876768158843997</v>
      </c>
      <c r="C1093">
        <v>1.1980493697543</v>
      </c>
      <c r="D1093">
        <v>0.87844526061616701</v>
      </c>
      <c r="E1093">
        <v>0.79604820929561204</v>
      </c>
      <c r="F1093">
        <v>0.65266852858360502</v>
      </c>
      <c r="G1093">
        <v>9.5109601403309596E-2</v>
      </c>
      <c r="H1093">
        <v>4.2269092319236597E-2</v>
      </c>
      <c r="I1093">
        <v>3.02969148808424E-2</v>
      </c>
      <c r="J1093">
        <v>2.7729015008523601E-2</v>
      </c>
      <c r="K1093">
        <v>2.6748721243343099E-2</v>
      </c>
      <c r="L1093">
        <v>1463.3995334503099</v>
      </c>
      <c r="M1093">
        <v>27.3310871770428</v>
      </c>
      <c r="N1093">
        <v>53.5808454031366</v>
      </c>
      <c r="O1093">
        <v>53.259202769417001</v>
      </c>
      <c r="P1093">
        <v>-0.12708057025973199</v>
      </c>
      <c r="Q1093">
        <v>9.4578170127672598E-3</v>
      </c>
      <c r="R1093">
        <v>0.96506953188056499</v>
      </c>
      <c r="S1093" t="s">
        <v>4925</v>
      </c>
      <c r="T1093" t="s">
        <v>7662</v>
      </c>
      <c r="U1093" t="s">
        <v>7662</v>
      </c>
      <c r="V1093" t="s">
        <v>7662</v>
      </c>
      <c r="W1093">
        <v>10</v>
      </c>
      <c r="X1093" t="s">
        <v>8755</v>
      </c>
      <c r="Y1093">
        <v>0.46437585249921598</v>
      </c>
      <c r="Z1093" t="str">
        <f>HYPERLINK("Melting_Curves/meltCurve_sp_P50135_HNMT_HUMAN_.pdf", "Melting_Curves/meltCurve_sp_P50135_HNMT_HUMAN_.pdf")</f>
        <v>Melting_Curves/meltCurve_sp_P50135_HNMT_HUMAN_.pdf</v>
      </c>
      <c r="AA1093" t="s">
        <v>12566</v>
      </c>
      <c r="AB1093" t="s">
        <v>16334</v>
      </c>
    </row>
    <row r="1094" spans="1:28" x14ac:dyDescent="0.25">
      <c r="A1094" t="s">
        <v>1098</v>
      </c>
      <c r="B1094">
        <v>0.98876768158843997</v>
      </c>
      <c r="C1094">
        <v>0.89472201545336505</v>
      </c>
      <c r="D1094">
        <v>0.82962551579973798</v>
      </c>
      <c r="E1094">
        <v>0.54389916075336198</v>
      </c>
      <c r="F1094">
        <v>0.144858341788421</v>
      </c>
      <c r="G1094">
        <v>6.8649444150478606E-2</v>
      </c>
      <c r="H1094">
        <v>3.3215606599246598E-2</v>
      </c>
      <c r="I1094">
        <v>2.6483547918713199E-2</v>
      </c>
      <c r="J1094">
        <v>2.6754682874664801E-2</v>
      </c>
      <c r="K1094">
        <v>2.33549410001141E-2</v>
      </c>
      <c r="L1094">
        <v>1078.34910120687</v>
      </c>
      <c r="M1094">
        <v>21.6920639921596</v>
      </c>
      <c r="N1094">
        <v>49.770424722126698</v>
      </c>
      <c r="O1094">
        <v>49.2949908324292</v>
      </c>
      <c r="P1094">
        <v>-0.108623775778391</v>
      </c>
      <c r="Q1094">
        <v>1.26376841510014E-2</v>
      </c>
      <c r="R1094">
        <v>0.98921704582204095</v>
      </c>
      <c r="S1094" t="s">
        <v>4926</v>
      </c>
      <c r="T1094" t="s">
        <v>7662</v>
      </c>
      <c r="U1094" t="s">
        <v>7662</v>
      </c>
      <c r="V1094" t="s">
        <v>7662</v>
      </c>
      <c r="W1094">
        <v>21</v>
      </c>
      <c r="X1094" t="s">
        <v>8756</v>
      </c>
      <c r="Y1094">
        <v>0.34398073836761872</v>
      </c>
      <c r="Z1094" t="str">
        <f>HYPERLINK("Melting_Curves/meltCurve_sp_P50225_ST1A1_HUMAN_.pdf", "Melting_Curves/meltCurve_sp_P50225_ST1A1_HUMAN_.pdf")</f>
        <v>Melting_Curves/meltCurve_sp_P50225_ST1A1_HUMAN_.pdf</v>
      </c>
      <c r="AA1094" t="s">
        <v>12567</v>
      </c>
      <c r="AB1094" t="s">
        <v>16335</v>
      </c>
    </row>
    <row r="1095" spans="1:28" x14ac:dyDescent="0.25">
      <c r="A1095" t="s">
        <v>1099</v>
      </c>
      <c r="B1095">
        <v>0.98876768158843997</v>
      </c>
      <c r="C1095">
        <v>0.87575556545341504</v>
      </c>
      <c r="D1095">
        <v>1.00800681365867</v>
      </c>
      <c r="E1095">
        <v>0.68988073920621595</v>
      </c>
      <c r="F1095">
        <v>0.22327758099596501</v>
      </c>
      <c r="G1095">
        <v>0.12636138119229401</v>
      </c>
      <c r="H1095">
        <v>7.9583733305299997E-2</v>
      </c>
      <c r="I1095">
        <v>7.4417435069182802E-2</v>
      </c>
      <c r="J1095">
        <v>7.8875881829287398E-2</v>
      </c>
      <c r="K1095">
        <v>6.2666719506309504E-2</v>
      </c>
      <c r="L1095">
        <v>2060.4807580727402</v>
      </c>
      <c r="M1095">
        <v>40.535293367222799</v>
      </c>
      <c r="N1095">
        <v>51.054419516682202</v>
      </c>
      <c r="O1095">
        <v>50.708544495412198</v>
      </c>
      <c r="P1095">
        <v>-0.18365421576843499</v>
      </c>
      <c r="Q1095">
        <v>8.1016521336329306E-2</v>
      </c>
      <c r="R1095">
        <v>0.98877360192950103</v>
      </c>
      <c r="S1095" t="s">
        <v>4927</v>
      </c>
      <c r="T1095" t="s">
        <v>7662</v>
      </c>
      <c r="U1095" t="s">
        <v>7662</v>
      </c>
      <c r="V1095" t="s">
        <v>7662</v>
      </c>
      <c r="W1095">
        <v>21</v>
      </c>
      <c r="X1095" t="s">
        <v>8757</v>
      </c>
      <c r="Y1095">
        <v>0.41596744939518471</v>
      </c>
      <c r="Z1095" t="str">
        <f>HYPERLINK("Melting_Curves/meltCurve_sp_P50226_ST1A2_HUMAN_.pdf", "Melting_Curves/meltCurve_sp_P50226_ST1A2_HUMAN_.pdf")</f>
        <v>Melting_Curves/meltCurve_sp_P50226_ST1A2_HUMAN_.pdf</v>
      </c>
      <c r="AA1095" t="s">
        <v>12568</v>
      </c>
      <c r="AB1095" t="s">
        <v>16336</v>
      </c>
    </row>
    <row r="1096" spans="1:28" x14ac:dyDescent="0.25">
      <c r="A1096" t="s">
        <v>1100</v>
      </c>
      <c r="B1096">
        <v>0.98876768158843997</v>
      </c>
      <c r="C1096">
        <v>1.0325491863993601</v>
      </c>
      <c r="D1096">
        <v>0.88632016942409497</v>
      </c>
      <c r="E1096">
        <v>0.82458721366069299</v>
      </c>
      <c r="F1096">
        <v>0.64864939439931002</v>
      </c>
      <c r="G1096">
        <v>0.18149177735597199</v>
      </c>
      <c r="H1096">
        <v>6.7710873681207706E-2</v>
      </c>
      <c r="I1096">
        <v>5.5587173641956603E-2</v>
      </c>
      <c r="J1096">
        <v>6.2548271274231806E-2</v>
      </c>
      <c r="K1096">
        <v>4.9704935452950703E-2</v>
      </c>
      <c r="L1096">
        <v>1314.4966844446001</v>
      </c>
      <c r="M1096">
        <v>24.4825323962414</v>
      </c>
      <c r="N1096">
        <v>53.852055643039698</v>
      </c>
      <c r="O1096">
        <v>53.336836347913703</v>
      </c>
      <c r="P1096">
        <v>-0.11070989651701001</v>
      </c>
      <c r="Q1096">
        <v>3.5258380061305397E-2</v>
      </c>
      <c r="R1096">
        <v>0.98929065772910196</v>
      </c>
      <c r="S1096" t="s">
        <v>4928</v>
      </c>
      <c r="T1096" t="s">
        <v>7662</v>
      </c>
      <c r="U1096" t="s">
        <v>7662</v>
      </c>
      <c r="V1096" t="s">
        <v>7662</v>
      </c>
      <c r="W1096">
        <v>36</v>
      </c>
      <c r="X1096" t="s">
        <v>8758</v>
      </c>
      <c r="Y1096">
        <v>0.48480708004862633</v>
      </c>
      <c r="Z1096" t="str">
        <f>HYPERLINK("Melting_Curves/meltCurve_sp_P50395_GDIB_HUMAN_.pdf", "Melting_Curves/meltCurve_sp_P50395_GDIB_HUMAN_.pdf")</f>
        <v>Melting_Curves/meltCurve_sp_P50395_GDIB_HUMAN_.pdf</v>
      </c>
      <c r="AA1096" t="s">
        <v>12569</v>
      </c>
      <c r="AB1096" t="s">
        <v>16337</v>
      </c>
    </row>
    <row r="1097" spans="1:28" x14ac:dyDescent="0.25">
      <c r="A1097" t="s">
        <v>1101</v>
      </c>
      <c r="B1097">
        <v>0.98876768158843997</v>
      </c>
      <c r="C1097">
        <v>1.0491576530928199</v>
      </c>
      <c r="D1097">
        <v>0.90382401324040695</v>
      </c>
      <c r="E1097">
        <v>0.71498217950333298</v>
      </c>
      <c r="F1097">
        <v>0.71236555840102</v>
      </c>
      <c r="G1097">
        <v>0.51710845810612305</v>
      </c>
      <c r="H1097">
        <v>0.361593983063349</v>
      </c>
      <c r="I1097">
        <v>0.45839218586387098</v>
      </c>
      <c r="J1097">
        <v>0.45815073995411099</v>
      </c>
      <c r="K1097">
        <v>0.62650994968720097</v>
      </c>
      <c r="L1097">
        <v>960.760581282933</v>
      </c>
      <c r="M1097">
        <v>19.0420197113828</v>
      </c>
      <c r="N1097">
        <v>60.006048630492899</v>
      </c>
      <c r="O1097">
        <v>49.908192782745402</v>
      </c>
      <c r="P1097">
        <v>-4.9996694707669397E-2</v>
      </c>
      <c r="Q1097">
        <v>0.47586524466269903</v>
      </c>
      <c r="R1097">
        <v>0.89146541510834099</v>
      </c>
      <c r="S1097" t="s">
        <v>4929</v>
      </c>
      <c r="T1097" t="s">
        <v>7662</v>
      </c>
      <c r="U1097" t="s">
        <v>7662</v>
      </c>
      <c r="V1097" t="s">
        <v>7662</v>
      </c>
      <c r="W1097">
        <v>5</v>
      </c>
      <c r="X1097" t="s">
        <v>8759</v>
      </c>
      <c r="Y1097">
        <v>0.66652095614358231</v>
      </c>
      <c r="Z1097" t="str">
        <f>HYPERLINK("Melting_Curves/meltCurve_sp_P50402_EMD_HUMAN_.pdf", "Melting_Curves/meltCurve_sp_P50402_EMD_HUMAN_.pdf")</f>
        <v>Melting_Curves/meltCurve_sp_P50402_EMD_HUMAN_.pdf</v>
      </c>
      <c r="AA1097" t="s">
        <v>12570</v>
      </c>
      <c r="AB1097" t="s">
        <v>16338</v>
      </c>
    </row>
    <row r="1098" spans="1:28" x14ac:dyDescent="0.25">
      <c r="A1098" t="s">
        <v>1102</v>
      </c>
      <c r="B1098">
        <v>0.98876768158843997</v>
      </c>
      <c r="C1098">
        <v>0.99001267255640102</v>
      </c>
      <c r="D1098">
        <v>0.88006998425798999</v>
      </c>
      <c r="E1098">
        <v>0.82008486400812997</v>
      </c>
      <c r="F1098">
        <v>0.63379206185771997</v>
      </c>
      <c r="G1098">
        <v>0.30255795673716801</v>
      </c>
      <c r="H1098">
        <v>0.21628884158046799</v>
      </c>
      <c r="I1098">
        <v>0.210350568325049</v>
      </c>
      <c r="J1098">
        <v>0.14478908408434399</v>
      </c>
      <c r="K1098">
        <v>8.3180220559814902E-2</v>
      </c>
      <c r="L1098">
        <v>869.75030845422998</v>
      </c>
      <c r="M1098">
        <v>16.166387421584499</v>
      </c>
      <c r="N1098">
        <v>54.5320786180827</v>
      </c>
      <c r="O1098">
        <v>52.996937763248297</v>
      </c>
      <c r="P1098">
        <v>-6.8826397231589703E-2</v>
      </c>
      <c r="Q1098">
        <v>9.7556709868881694E-2</v>
      </c>
      <c r="R1098">
        <v>0.98983875298611301</v>
      </c>
      <c r="S1098" t="s">
        <v>4930</v>
      </c>
      <c r="T1098" t="s">
        <v>7662</v>
      </c>
      <c r="U1098" t="s">
        <v>7662</v>
      </c>
      <c r="V1098" t="s">
        <v>7662</v>
      </c>
      <c r="W1098">
        <v>35</v>
      </c>
      <c r="X1098" t="s">
        <v>8760</v>
      </c>
      <c r="Y1098">
        <v>0.52962584594599849</v>
      </c>
      <c r="Z1098" t="str">
        <f>HYPERLINK("Melting_Curves/meltCurve_sp_P50440_GATM_HUMAN_.pdf", "Melting_Curves/meltCurve_sp_P50440_GATM_HUMAN_.pdf")</f>
        <v>Melting_Curves/meltCurve_sp_P50440_GATM_HUMAN_.pdf</v>
      </c>
      <c r="AA1098" t="s">
        <v>12571</v>
      </c>
      <c r="AB1098" t="s">
        <v>16339</v>
      </c>
    </row>
    <row r="1099" spans="1:28" x14ac:dyDescent="0.25">
      <c r="A1099" t="s">
        <v>1103</v>
      </c>
      <c r="B1099">
        <v>0.98876768158843997</v>
      </c>
      <c r="C1099">
        <v>0.81803868760084897</v>
      </c>
      <c r="D1099">
        <v>0.86693500310897798</v>
      </c>
      <c r="E1099">
        <v>0.61813211270413304</v>
      </c>
      <c r="F1099">
        <v>0.71845775132840395</v>
      </c>
      <c r="G1099">
        <v>0.34596013496519501</v>
      </c>
      <c r="H1099">
        <v>0.20861282070793699</v>
      </c>
      <c r="I1099">
        <v>0.212018811312397</v>
      </c>
      <c r="J1099">
        <v>0.241301490551318</v>
      </c>
      <c r="K1099">
        <v>0.32340584068294898</v>
      </c>
      <c r="L1099">
        <v>571.63719008152202</v>
      </c>
      <c r="M1099">
        <v>10.982211086813001</v>
      </c>
      <c r="N1099">
        <v>54.115814481548298</v>
      </c>
      <c r="O1099">
        <v>50.414659915468498</v>
      </c>
      <c r="P1099">
        <v>-4.5154300195397602E-2</v>
      </c>
      <c r="Q1099">
        <v>0.17114490601189</v>
      </c>
      <c r="R1099">
        <v>0.90945728157452899</v>
      </c>
      <c r="S1099" t="s">
        <v>4931</v>
      </c>
      <c r="T1099" t="s">
        <v>7662</v>
      </c>
      <c r="U1099" t="s">
        <v>7662</v>
      </c>
      <c r="V1099" t="s">
        <v>7662</v>
      </c>
      <c r="W1099">
        <v>4</v>
      </c>
      <c r="X1099" t="s">
        <v>8761</v>
      </c>
      <c r="Y1099">
        <v>0.5322813723313421</v>
      </c>
      <c r="Z1099" t="str">
        <f>HYPERLINK("Melting_Curves/meltCurve_sp_P50452_SPB8_HUMAN_.pdf", "Melting_Curves/meltCurve_sp_P50452_SPB8_HUMAN_.pdf")</f>
        <v>Melting_Curves/meltCurve_sp_P50452_SPB8_HUMAN_.pdf</v>
      </c>
      <c r="AA1099" t="s">
        <v>12572</v>
      </c>
      <c r="AB1099" t="s">
        <v>16340</v>
      </c>
    </row>
    <row r="1100" spans="1:28" x14ac:dyDescent="0.25">
      <c r="A1100" t="s">
        <v>1104</v>
      </c>
      <c r="B1100">
        <v>0.98876768158843997</v>
      </c>
      <c r="C1100">
        <v>1.0278132853095401</v>
      </c>
      <c r="D1100">
        <v>0.91601649194866397</v>
      </c>
      <c r="E1100">
        <v>0.74919368155430199</v>
      </c>
      <c r="F1100">
        <v>0.70313946989222198</v>
      </c>
      <c r="G1100">
        <v>0.321935231532468</v>
      </c>
      <c r="H1100">
        <v>0.110662962683507</v>
      </c>
      <c r="I1100">
        <v>8.2689549231201406E-2</v>
      </c>
      <c r="J1100">
        <v>9.1599389617284602E-2</v>
      </c>
      <c r="K1100">
        <v>8.9236632588390097E-2</v>
      </c>
      <c r="L1100">
        <v>933.65067996375296</v>
      </c>
      <c r="M1100">
        <v>17.192985868706302</v>
      </c>
      <c r="N1100">
        <v>54.540724814852901</v>
      </c>
      <c r="O1100">
        <v>53.585479178239503</v>
      </c>
      <c r="P1100">
        <v>-7.7335443708099E-2</v>
      </c>
      <c r="Q1100">
        <v>3.5929678611832702E-2</v>
      </c>
      <c r="R1100">
        <v>0.98627833911961604</v>
      </c>
      <c r="S1100" t="s">
        <v>4932</v>
      </c>
      <c r="T1100" t="s">
        <v>7662</v>
      </c>
      <c r="U1100" t="s">
        <v>7662</v>
      </c>
      <c r="V1100" t="s">
        <v>7662</v>
      </c>
      <c r="W1100">
        <v>11</v>
      </c>
      <c r="X1100" t="s">
        <v>8762</v>
      </c>
      <c r="Y1100">
        <v>0.51191630380170994</v>
      </c>
      <c r="Z1100" t="str">
        <f>HYPERLINK("Melting_Curves/meltCurve_sp_P50453_SPB9_HUMAN_.pdf", "Melting_Curves/meltCurve_sp_P50453_SPB9_HUMAN_.pdf")</f>
        <v>Melting_Curves/meltCurve_sp_P50453_SPB9_HUMAN_.pdf</v>
      </c>
      <c r="AA1100" t="s">
        <v>12573</v>
      </c>
      <c r="AB1100" t="s">
        <v>16341</v>
      </c>
    </row>
    <row r="1101" spans="1:28" x14ac:dyDescent="0.25">
      <c r="A1101" t="s">
        <v>1105</v>
      </c>
      <c r="B1101">
        <v>0.98876768158843997</v>
      </c>
      <c r="C1101">
        <v>1.18431104668748</v>
      </c>
      <c r="D1101">
        <v>0.72134623767031303</v>
      </c>
      <c r="E1101">
        <v>0.55428169155106699</v>
      </c>
      <c r="F1101">
        <v>0.556472498695742</v>
      </c>
      <c r="G1101">
        <v>0.28061898612934399</v>
      </c>
      <c r="H1101">
        <v>9.9932807514285904E-2</v>
      </c>
      <c r="I1101">
        <v>8.1594636153709599E-2</v>
      </c>
      <c r="J1101">
        <v>0.38413660579365499</v>
      </c>
      <c r="K1101">
        <v>0.27823488289139497</v>
      </c>
      <c r="L1101">
        <v>861.22175364361101</v>
      </c>
      <c r="M1101">
        <v>17.2540556718955</v>
      </c>
      <c r="N1101">
        <v>51.538558052479097</v>
      </c>
      <c r="O1101">
        <v>49.258146372486799</v>
      </c>
      <c r="P1101">
        <v>-6.9207179492133605E-2</v>
      </c>
      <c r="Q1101">
        <v>0.20973509511658101</v>
      </c>
      <c r="R1101">
        <v>0.86539113336974405</v>
      </c>
      <c r="S1101" t="s">
        <v>4933</v>
      </c>
      <c r="T1101" t="s">
        <v>7662</v>
      </c>
      <c r="U1101" t="s">
        <v>7662</v>
      </c>
      <c r="V1101" t="s">
        <v>7662</v>
      </c>
      <c r="W1101">
        <v>8</v>
      </c>
      <c r="X1101" t="s">
        <v>8763</v>
      </c>
      <c r="Y1101">
        <v>0.48551427036480632</v>
      </c>
      <c r="Z1101" t="str">
        <f>HYPERLINK("Melting_Curves/meltCurve_sp_P50454_SERPH_HUMAN_.pdf", "Melting_Curves/meltCurve_sp_P50454_SERPH_HUMAN_.pdf")</f>
        <v>Melting_Curves/meltCurve_sp_P50454_SERPH_HUMAN_.pdf</v>
      </c>
      <c r="AA1101" t="s">
        <v>12574</v>
      </c>
      <c r="AB1101" t="s">
        <v>16342</v>
      </c>
    </row>
    <row r="1102" spans="1:28" x14ac:dyDescent="0.25">
      <c r="A1102" t="s">
        <v>1106</v>
      </c>
      <c r="B1102">
        <v>0.98876768158843997</v>
      </c>
      <c r="C1102">
        <v>1.0248360397813201</v>
      </c>
      <c r="D1102">
        <v>0.89435809907057395</v>
      </c>
      <c r="E1102">
        <v>0.75080206711365904</v>
      </c>
      <c r="F1102">
        <v>0.81409510408934205</v>
      </c>
      <c r="G1102">
        <v>0.47288009930397201</v>
      </c>
      <c r="H1102">
        <v>0.27372650818729699</v>
      </c>
      <c r="I1102">
        <v>0.28859758762771598</v>
      </c>
      <c r="J1102">
        <v>0.35278231340291299</v>
      </c>
      <c r="K1102">
        <v>0.43876532386375799</v>
      </c>
      <c r="L1102">
        <v>956.35198326397096</v>
      </c>
      <c r="M1102">
        <v>17.892786918762301</v>
      </c>
      <c r="N1102">
        <v>56.607850300768803</v>
      </c>
      <c r="O1102">
        <v>52.7948080705116</v>
      </c>
      <c r="P1102">
        <v>-5.7975898248951302E-2</v>
      </c>
      <c r="Q1102">
        <v>0.31577527734196298</v>
      </c>
      <c r="R1102">
        <v>0.92211875767452101</v>
      </c>
      <c r="S1102" t="s">
        <v>4934</v>
      </c>
      <c r="T1102" t="s">
        <v>7662</v>
      </c>
      <c r="U1102" t="s">
        <v>7662</v>
      </c>
      <c r="V1102" t="s">
        <v>7662</v>
      </c>
      <c r="W1102">
        <v>14</v>
      </c>
      <c r="X1102" t="s">
        <v>8764</v>
      </c>
      <c r="Y1102">
        <v>0.63371635366510282</v>
      </c>
      <c r="Z1102" t="str">
        <f>HYPERLINK("Melting_Curves/meltCurve_sp_P50502_F10A1_HUMAN_.pdf", "Melting_Curves/meltCurve_sp_P50502_F10A1_HUMAN_.pdf")</f>
        <v>Melting_Curves/meltCurve_sp_P50502_F10A1_HUMAN_.pdf</v>
      </c>
      <c r="AA1102" t="s">
        <v>12575</v>
      </c>
      <c r="AB1102" t="s">
        <v>16343</v>
      </c>
    </row>
    <row r="1103" spans="1:28" x14ac:dyDescent="0.25">
      <c r="A1103" t="s">
        <v>1107</v>
      </c>
      <c r="B1103">
        <v>0.98876768158843997</v>
      </c>
      <c r="C1103">
        <v>0.95930720536536795</v>
      </c>
      <c r="D1103">
        <v>0.94751130972085595</v>
      </c>
      <c r="E1103">
        <v>0.72563858344656396</v>
      </c>
      <c r="F1103">
        <v>0.59483854130696101</v>
      </c>
      <c r="G1103">
        <v>0.361385844859206</v>
      </c>
      <c r="H1103">
        <v>0.25412000471397</v>
      </c>
      <c r="I1103">
        <v>0.33280187467705402</v>
      </c>
      <c r="J1103">
        <v>0.30083124523931698</v>
      </c>
      <c r="K1103">
        <v>0.346055761533553</v>
      </c>
      <c r="L1103">
        <v>1041.4976589810999</v>
      </c>
      <c r="M1103">
        <v>20.2273916026721</v>
      </c>
      <c r="N1103">
        <v>53.880451499689599</v>
      </c>
      <c r="O1103">
        <v>50.994136375565702</v>
      </c>
      <c r="P1103">
        <v>-6.9791945469971806E-2</v>
      </c>
      <c r="Q1103">
        <v>0.29622773992673801</v>
      </c>
      <c r="R1103">
        <v>0.98544072126606896</v>
      </c>
      <c r="S1103" t="s">
        <v>4935</v>
      </c>
      <c r="T1103" t="s">
        <v>7662</v>
      </c>
      <c r="U1103" t="s">
        <v>7662</v>
      </c>
      <c r="V1103" t="s">
        <v>7662</v>
      </c>
      <c r="W1103">
        <v>1</v>
      </c>
      <c r="X1103" t="s">
        <v>8765</v>
      </c>
      <c r="Y1103">
        <v>0.57531632487924744</v>
      </c>
      <c r="Z1103" t="str">
        <f>HYPERLINK("Melting_Curves/meltCurve_sp_P50542_2_PEX5_HUMAN_.pdf", "Melting_Curves/meltCurve_sp_P50542_2_PEX5_HUMAN_.pdf")</f>
        <v>Melting_Curves/meltCurve_sp_P50542_2_PEX5_HUMAN_.pdf</v>
      </c>
      <c r="AA1103" t="s">
        <v>12576</v>
      </c>
      <c r="AB1103" t="s">
        <v>16344</v>
      </c>
    </row>
    <row r="1104" spans="1:28" x14ac:dyDescent="0.25">
      <c r="A1104" t="s">
        <v>1108</v>
      </c>
      <c r="B1104">
        <v>0.98876768158843997</v>
      </c>
      <c r="C1104">
        <v>1.05727224483702</v>
      </c>
      <c r="D1104">
        <v>0.84980676374166397</v>
      </c>
      <c r="E1104">
        <v>0.68754828770308796</v>
      </c>
      <c r="F1104">
        <v>0.56318112622879402</v>
      </c>
      <c r="G1104">
        <v>0.252112120226269</v>
      </c>
      <c r="H1104">
        <v>0.143902160189566</v>
      </c>
      <c r="I1104">
        <v>0.133576256173188</v>
      </c>
      <c r="J1104">
        <v>0.161638028081454</v>
      </c>
      <c r="K1104">
        <v>0.189344334815604</v>
      </c>
      <c r="L1104">
        <v>894.649069272014</v>
      </c>
      <c r="M1104">
        <v>17.199406172642199</v>
      </c>
      <c r="N1104">
        <v>52.914946801050398</v>
      </c>
      <c r="O1104">
        <v>51.328375750865398</v>
      </c>
      <c r="P1104">
        <v>-7.3165949453736501E-2</v>
      </c>
      <c r="Q1104">
        <v>0.12665178200709201</v>
      </c>
      <c r="R1104">
        <v>0.98146863663122197</v>
      </c>
      <c r="S1104" t="s">
        <v>4936</v>
      </c>
      <c r="T1104" t="s">
        <v>7662</v>
      </c>
      <c r="U1104" t="s">
        <v>7662</v>
      </c>
      <c r="V1104" t="s">
        <v>7662</v>
      </c>
      <c r="W1104">
        <v>12</v>
      </c>
      <c r="X1104" t="s">
        <v>8766</v>
      </c>
      <c r="Y1104">
        <v>0.49215159352890292</v>
      </c>
      <c r="Z1104" t="str">
        <f>HYPERLINK("Melting_Curves/meltCurve_sp_P50552_VASP_HUMAN_.pdf", "Melting_Curves/meltCurve_sp_P50552_VASP_HUMAN_.pdf")</f>
        <v>Melting_Curves/meltCurve_sp_P50552_VASP_HUMAN_.pdf</v>
      </c>
      <c r="AA1104" t="s">
        <v>12577</v>
      </c>
      <c r="AB1104" t="s">
        <v>16345</v>
      </c>
    </row>
    <row r="1105" spans="1:28" x14ac:dyDescent="0.25">
      <c r="A1105" t="s">
        <v>1109</v>
      </c>
      <c r="B1105">
        <v>0.98876768158843997</v>
      </c>
      <c r="C1105">
        <v>0.88116383740821003</v>
      </c>
      <c r="D1105">
        <v>0.88574925745760102</v>
      </c>
      <c r="E1105">
        <v>0.46931362695441597</v>
      </c>
      <c r="F1105">
        <v>0.161701561205852</v>
      </c>
      <c r="G1105">
        <v>9.7769484888946198E-2</v>
      </c>
      <c r="H1105">
        <v>5.96010983628779E-2</v>
      </c>
      <c r="I1105">
        <v>5.5422487286429199E-2</v>
      </c>
      <c r="J1105">
        <v>6.1030946720780799E-2</v>
      </c>
      <c r="K1105">
        <v>4.97894170621975E-2</v>
      </c>
      <c r="L1105">
        <v>1238.06065226696</v>
      </c>
      <c r="M1105">
        <v>25.076259935812999</v>
      </c>
      <c r="N1105">
        <v>49.5882288695311</v>
      </c>
      <c r="O1105">
        <v>49.0610664069062</v>
      </c>
      <c r="P1105">
        <v>-0.121159699884422</v>
      </c>
      <c r="Q1105">
        <v>5.1829374117721497E-2</v>
      </c>
      <c r="R1105">
        <v>0.99186242928065305</v>
      </c>
      <c r="S1105" t="s">
        <v>4937</v>
      </c>
      <c r="T1105" t="s">
        <v>7662</v>
      </c>
      <c r="U1105" t="s">
        <v>7662</v>
      </c>
      <c r="V1105" t="s">
        <v>7662</v>
      </c>
      <c r="W1105">
        <v>14</v>
      </c>
      <c r="X1105" t="s">
        <v>8767</v>
      </c>
      <c r="Y1105">
        <v>0.35640524253940309</v>
      </c>
      <c r="Z1105" t="str">
        <f>HYPERLINK("Melting_Curves/meltCurve_sp_P50570_2_DYN2_HUMAN_.pdf", "Melting_Curves/meltCurve_sp_P50570_2_DYN2_HUMAN_.pdf")</f>
        <v>Melting_Curves/meltCurve_sp_P50570_2_DYN2_HUMAN_.pdf</v>
      </c>
      <c r="AA1105" t="s">
        <v>12578</v>
      </c>
      <c r="AB1105" t="s">
        <v>16346</v>
      </c>
    </row>
    <row r="1106" spans="1:28" x14ac:dyDescent="0.25">
      <c r="A1106" t="s">
        <v>1110</v>
      </c>
      <c r="B1106">
        <v>0.98876768158843997</v>
      </c>
      <c r="C1106">
        <v>1.1571598750757299</v>
      </c>
      <c r="D1106">
        <v>0.78439796573525999</v>
      </c>
      <c r="E1106">
        <v>0.63727949308018905</v>
      </c>
      <c r="F1106">
        <v>0.29966871214033203</v>
      </c>
      <c r="G1106">
        <v>0.18291066530917499</v>
      </c>
      <c r="H1106">
        <v>0.10100501137854299</v>
      </c>
      <c r="I1106">
        <v>6.7943198140354502E-2</v>
      </c>
      <c r="J1106">
        <v>6.3861132466934201E-2</v>
      </c>
      <c r="K1106">
        <v>6.1182025720879503E-2</v>
      </c>
      <c r="L1106">
        <v>999.60523234957896</v>
      </c>
      <c r="M1106">
        <v>19.734668792201099</v>
      </c>
      <c r="N1106">
        <v>50.991685732260201</v>
      </c>
      <c r="O1106">
        <v>50.140741625362203</v>
      </c>
      <c r="P1106">
        <v>-9.2342899175400797E-2</v>
      </c>
      <c r="Q1106">
        <v>6.1553528981219401E-2</v>
      </c>
      <c r="R1106">
        <v>0.96947631122506905</v>
      </c>
      <c r="S1106" t="s">
        <v>4938</v>
      </c>
      <c r="T1106" t="s">
        <v>7662</v>
      </c>
      <c r="U1106" t="s">
        <v>7662</v>
      </c>
      <c r="V1106" t="s">
        <v>7662</v>
      </c>
      <c r="W1106">
        <v>2</v>
      </c>
      <c r="X1106" t="s">
        <v>8768</v>
      </c>
      <c r="Y1106">
        <v>0.4081447861628083</v>
      </c>
      <c r="Z1106" t="str">
        <f>HYPERLINK("Melting_Curves/meltCurve_sp_P50583_AP4A_HUMAN_.pdf", "Melting_Curves/meltCurve_sp_P50583_AP4A_HUMAN_.pdf")</f>
        <v>Melting_Curves/meltCurve_sp_P50583_AP4A_HUMAN_.pdf</v>
      </c>
      <c r="AA1106" t="s">
        <v>12579</v>
      </c>
      <c r="AB1106" t="s">
        <v>16347</v>
      </c>
    </row>
    <row r="1107" spans="1:28" x14ac:dyDescent="0.25">
      <c r="A1107" t="s">
        <v>1111</v>
      </c>
      <c r="B1107">
        <v>0.98876768158843997</v>
      </c>
      <c r="C1107">
        <v>0.93945787140383197</v>
      </c>
      <c r="D1107">
        <v>0.86832834092579203</v>
      </c>
      <c r="E1107">
        <v>0.53866302985327197</v>
      </c>
      <c r="F1107">
        <v>0.24161967854567201</v>
      </c>
      <c r="G1107">
        <v>0.127579658114606</v>
      </c>
      <c r="H1107">
        <v>8.5313521892360605E-2</v>
      </c>
      <c r="I1107">
        <v>9.5729778155299899E-2</v>
      </c>
      <c r="J1107">
        <v>0.10162369510418599</v>
      </c>
      <c r="K1107">
        <v>5.9091316959180101E-2</v>
      </c>
      <c r="L1107">
        <v>1113.19620416149</v>
      </c>
      <c r="M1107">
        <v>22.358542609345001</v>
      </c>
      <c r="N1107">
        <v>50.161169230589699</v>
      </c>
      <c r="O1107">
        <v>49.395255533028198</v>
      </c>
      <c r="P1107">
        <v>-0.10450204388487599</v>
      </c>
      <c r="Q1107">
        <v>7.6541408539519198E-2</v>
      </c>
      <c r="R1107">
        <v>0.99745473410239305</v>
      </c>
      <c r="S1107" t="s">
        <v>4939</v>
      </c>
      <c r="T1107" t="s">
        <v>7662</v>
      </c>
      <c r="U1107" t="s">
        <v>7662</v>
      </c>
      <c r="V1107" t="s">
        <v>7662</v>
      </c>
      <c r="W1107">
        <v>3</v>
      </c>
      <c r="X1107" t="s">
        <v>8769</v>
      </c>
      <c r="Y1107">
        <v>0.38815930572216512</v>
      </c>
      <c r="Z1107" t="str">
        <f>HYPERLINK("Melting_Curves/meltCurve_sp_P50747_BPL1_HUMAN_.pdf", "Melting_Curves/meltCurve_sp_P50747_BPL1_HUMAN_.pdf")</f>
        <v>Melting_Curves/meltCurve_sp_P50747_BPL1_HUMAN_.pdf</v>
      </c>
      <c r="AA1107" t="s">
        <v>12580</v>
      </c>
      <c r="AB1107" t="s">
        <v>16348</v>
      </c>
    </row>
    <row r="1108" spans="1:28" x14ac:dyDescent="0.25">
      <c r="A1108" t="s">
        <v>1112</v>
      </c>
      <c r="B1108">
        <v>0.98876768158843997</v>
      </c>
      <c r="C1108">
        <v>0.94540431879916398</v>
      </c>
      <c r="D1108">
        <v>0.52874968562890501</v>
      </c>
      <c r="E1108">
        <v>0.124661025475888</v>
      </c>
      <c r="F1108">
        <v>4.8939191096731699E-2</v>
      </c>
      <c r="G1108">
        <v>2.2678760079817901E-2</v>
      </c>
      <c r="H1108">
        <v>1.46247087645631E-2</v>
      </c>
      <c r="I1108">
        <v>9.7969344277057096E-3</v>
      </c>
      <c r="J1108">
        <v>1.28189446148196E-2</v>
      </c>
      <c r="K1108">
        <v>1.60260829179927E-2</v>
      </c>
      <c r="L1108">
        <v>1429.61182423726</v>
      </c>
      <c r="M1108">
        <v>30.936565701421699</v>
      </c>
      <c r="N1108">
        <v>46.269880000916999</v>
      </c>
      <c r="O1108">
        <v>46.019276498468898</v>
      </c>
      <c r="P1108">
        <v>-0.16482429255082801</v>
      </c>
      <c r="Q1108">
        <v>1.9277064244561899E-2</v>
      </c>
      <c r="R1108">
        <v>0.99880179124315605</v>
      </c>
      <c r="S1108" t="s">
        <v>4940</v>
      </c>
      <c r="T1108" t="s">
        <v>7662</v>
      </c>
      <c r="U1108" t="s">
        <v>7662</v>
      </c>
      <c r="V1108" t="s">
        <v>7662</v>
      </c>
      <c r="W1108">
        <v>1</v>
      </c>
      <c r="X1108" t="s">
        <v>8770</v>
      </c>
      <c r="Y1108">
        <v>0.22787201213223329</v>
      </c>
      <c r="Z1108" t="str">
        <f>HYPERLINK("Melting_Curves/meltCurve_sp_P50748_KNTC1_HUMAN_.pdf", "Melting_Curves/meltCurve_sp_P50748_KNTC1_HUMAN_.pdf")</f>
        <v>Melting_Curves/meltCurve_sp_P50748_KNTC1_HUMAN_.pdf</v>
      </c>
      <c r="AA1108" t="s">
        <v>12581</v>
      </c>
      <c r="AB1108" t="s">
        <v>16349</v>
      </c>
    </row>
    <row r="1109" spans="1:28" x14ac:dyDescent="0.25">
      <c r="A1109" t="s">
        <v>1113</v>
      </c>
      <c r="B1109">
        <v>0.98876768158843997</v>
      </c>
      <c r="C1109">
        <v>0.87503734576882697</v>
      </c>
      <c r="D1109">
        <v>0.73303647374534897</v>
      </c>
      <c r="E1109">
        <v>0.32176501785214001</v>
      </c>
      <c r="F1109">
        <v>0.16523063872545701</v>
      </c>
      <c r="G1109">
        <v>8.1464979467870097E-2</v>
      </c>
      <c r="H1109">
        <v>4.6824421450206502E-2</v>
      </c>
      <c r="I1109">
        <v>9.2981153045780196E-2</v>
      </c>
      <c r="J1109">
        <v>6.3854334634415602E-2</v>
      </c>
      <c r="K1109">
        <v>5.6114189227122697E-2</v>
      </c>
      <c r="L1109">
        <v>978.96756998229102</v>
      </c>
      <c r="M1109">
        <v>20.481703725082699</v>
      </c>
      <c r="N1109">
        <v>48.080619972452901</v>
      </c>
      <c r="O1109">
        <v>47.348517790816203</v>
      </c>
      <c r="P1109">
        <v>-0.101996213653946</v>
      </c>
      <c r="Q1109">
        <v>5.6869846124615903E-2</v>
      </c>
      <c r="R1109">
        <v>0.99683439500654203</v>
      </c>
      <c r="S1109" t="s">
        <v>4941</v>
      </c>
      <c r="T1109" t="s">
        <v>7662</v>
      </c>
      <c r="U1109" t="s">
        <v>7662</v>
      </c>
      <c r="V1109" t="s">
        <v>7662</v>
      </c>
      <c r="W1109">
        <v>4</v>
      </c>
      <c r="X1109" t="s">
        <v>8771</v>
      </c>
      <c r="Y1109">
        <v>0.31478985656057301</v>
      </c>
      <c r="Z1109" t="str">
        <f>HYPERLINK("Melting_Curves/meltCurve_sp_P50897_PPT1_HUMAN_.pdf", "Melting_Curves/meltCurve_sp_P50897_PPT1_HUMAN_.pdf")</f>
        <v>Melting_Curves/meltCurve_sp_P50897_PPT1_HUMAN_.pdf</v>
      </c>
      <c r="AA1109" t="s">
        <v>12582</v>
      </c>
      <c r="AB1109" t="s">
        <v>16350</v>
      </c>
    </row>
    <row r="1110" spans="1:28" x14ac:dyDescent="0.25">
      <c r="A1110" t="s">
        <v>1114</v>
      </c>
      <c r="B1110">
        <v>0.98876768158843997</v>
      </c>
      <c r="C1110">
        <v>0.99109383240509896</v>
      </c>
      <c r="D1110">
        <v>1.09034002648565</v>
      </c>
      <c r="E1110">
        <v>0.95277967207136405</v>
      </c>
      <c r="F1110">
        <v>0.463792308271335</v>
      </c>
      <c r="G1110">
        <v>0.15710496540714899</v>
      </c>
      <c r="H1110">
        <v>6.4492484863515206E-2</v>
      </c>
      <c r="I1110">
        <v>5.0055659493438202E-2</v>
      </c>
      <c r="J1110">
        <v>6.8401835726169105E-2</v>
      </c>
      <c r="K1110">
        <v>4.5579737506638997E-2</v>
      </c>
      <c r="L1110">
        <v>2407.0621316414499</v>
      </c>
      <c r="M1110">
        <v>45.658568203484002</v>
      </c>
      <c r="N1110">
        <v>52.891352428798903</v>
      </c>
      <c r="O1110">
        <v>52.617907807551902</v>
      </c>
      <c r="P1110">
        <v>-0.20191819995489199</v>
      </c>
      <c r="Q1110">
        <v>6.9221777985932695E-2</v>
      </c>
      <c r="R1110">
        <v>0.99285870570421797</v>
      </c>
      <c r="S1110" t="s">
        <v>4942</v>
      </c>
      <c r="T1110" t="s">
        <v>7662</v>
      </c>
      <c r="U1110" t="s">
        <v>7662</v>
      </c>
      <c r="V1110" t="s">
        <v>7662</v>
      </c>
      <c r="W1110">
        <v>32</v>
      </c>
      <c r="X1110" t="s">
        <v>8772</v>
      </c>
      <c r="Y1110">
        <v>0.46643035445335379</v>
      </c>
      <c r="Z1110" t="str">
        <f>HYPERLINK("Melting_Curves/meltCurve_sp_P50990_TCPQ_HUMAN_.pdf", "Melting_Curves/meltCurve_sp_P50990_TCPQ_HUMAN_.pdf")</f>
        <v>Melting_Curves/meltCurve_sp_P50990_TCPQ_HUMAN_.pdf</v>
      </c>
      <c r="AA1110" t="s">
        <v>12583</v>
      </c>
      <c r="AB1110" t="s">
        <v>16351</v>
      </c>
    </row>
    <row r="1111" spans="1:28" x14ac:dyDescent="0.25">
      <c r="A1111" t="s">
        <v>1115</v>
      </c>
      <c r="B1111">
        <v>0.98876768158843997</v>
      </c>
      <c r="C1111">
        <v>1.1423533006804001</v>
      </c>
      <c r="D1111">
        <v>1.0963671512572</v>
      </c>
      <c r="E1111">
        <v>1.0015202370270799</v>
      </c>
      <c r="F1111">
        <v>0.531542590690114</v>
      </c>
      <c r="G1111">
        <v>0.13573777295902401</v>
      </c>
      <c r="H1111">
        <v>6.0215682026025903E-2</v>
      </c>
      <c r="I1111">
        <v>4.9159569361317601E-2</v>
      </c>
      <c r="J1111">
        <v>4.9873281566904903E-2</v>
      </c>
      <c r="K1111">
        <v>4.81809285555354E-2</v>
      </c>
      <c r="L1111">
        <v>2845.58004760327</v>
      </c>
      <c r="M1111">
        <v>53.648133491063</v>
      </c>
      <c r="N1111">
        <v>53.175263299859203</v>
      </c>
      <c r="O1111">
        <v>52.967991825653201</v>
      </c>
      <c r="P1111">
        <v>-0.23723263708581999</v>
      </c>
      <c r="Q1111">
        <v>6.3100258945871401E-2</v>
      </c>
      <c r="R1111">
        <v>0.98437529136175295</v>
      </c>
      <c r="S1111" t="s">
        <v>4943</v>
      </c>
      <c r="T1111" t="s">
        <v>7662</v>
      </c>
      <c r="U1111" t="s">
        <v>7662</v>
      </c>
      <c r="V1111" t="s">
        <v>7662</v>
      </c>
      <c r="W1111">
        <v>17</v>
      </c>
      <c r="X1111" t="s">
        <v>8773</v>
      </c>
      <c r="Y1111">
        <v>0.47229021838648289</v>
      </c>
      <c r="Z1111" t="str">
        <f>HYPERLINK("Melting_Curves/meltCurve_sp_P50991_TCPD_HUMAN_.pdf", "Melting_Curves/meltCurve_sp_P50991_TCPD_HUMAN_.pdf")</f>
        <v>Melting_Curves/meltCurve_sp_P50991_TCPD_HUMAN_.pdf</v>
      </c>
      <c r="AA1111" t="s">
        <v>12584</v>
      </c>
      <c r="AB1111" t="s">
        <v>16352</v>
      </c>
    </row>
    <row r="1112" spans="1:28" x14ac:dyDescent="0.25">
      <c r="A1112" t="s">
        <v>1116</v>
      </c>
      <c r="B1112">
        <v>0.98876768158843997</v>
      </c>
      <c r="C1112">
        <v>1.04454027792296</v>
      </c>
      <c r="D1112">
        <v>0.79505447237642701</v>
      </c>
      <c r="E1112">
        <v>0.398275047594632</v>
      </c>
      <c r="F1112">
        <v>0.32177680808357101</v>
      </c>
      <c r="G1112">
        <v>0.206843959425316</v>
      </c>
      <c r="H1112">
        <v>0.11320256415739</v>
      </c>
      <c r="I1112">
        <v>0.101285888163946</v>
      </c>
      <c r="J1112">
        <v>0.101214279912914</v>
      </c>
      <c r="K1112">
        <v>8.6235680455149497E-2</v>
      </c>
      <c r="L1112">
        <v>986.39422896769599</v>
      </c>
      <c r="M1112">
        <v>20.174858728218702</v>
      </c>
      <c r="N1112">
        <v>49.4960611272165</v>
      </c>
      <c r="O1112">
        <v>48.4194898719009</v>
      </c>
      <c r="P1112">
        <v>-9.2806954244704698E-2</v>
      </c>
      <c r="Q1112">
        <v>0.109084407089849</v>
      </c>
      <c r="R1112">
        <v>0.98519898753495305</v>
      </c>
      <c r="S1112" t="s">
        <v>4944</v>
      </c>
      <c r="T1112" t="s">
        <v>7662</v>
      </c>
      <c r="U1112" t="s">
        <v>7662</v>
      </c>
      <c r="V1112" t="s">
        <v>7662</v>
      </c>
      <c r="W1112">
        <v>7</v>
      </c>
      <c r="X1112" t="s">
        <v>8774</v>
      </c>
      <c r="Y1112">
        <v>0.38543182760831562</v>
      </c>
      <c r="Z1112" t="str">
        <f>HYPERLINK("Melting_Curves/meltCurve_sp_P51114_3_FXR1_HUMAN_.pdf", "Melting_Curves/meltCurve_sp_P51114_3_FXR1_HUMAN_.pdf")</f>
        <v>Melting_Curves/meltCurve_sp_P51114_3_FXR1_HUMAN_.pdf</v>
      </c>
      <c r="AA1112" t="s">
        <v>12585</v>
      </c>
      <c r="AB1112" t="s">
        <v>16353</v>
      </c>
    </row>
    <row r="1113" spans="1:28" x14ac:dyDescent="0.25">
      <c r="A1113" t="s">
        <v>1117</v>
      </c>
      <c r="B1113">
        <v>0.98876768158843997</v>
      </c>
      <c r="C1113">
        <v>0.96263812611753197</v>
      </c>
      <c r="D1113">
        <v>0.79763516348131702</v>
      </c>
      <c r="E1113">
        <v>0.51759116079443801</v>
      </c>
      <c r="F1113">
        <v>0.481395586166319</v>
      </c>
      <c r="G1113">
        <v>0.29962612365434499</v>
      </c>
      <c r="H1113">
        <v>0.217308769502257</v>
      </c>
      <c r="I1113">
        <v>0.227140168988228</v>
      </c>
      <c r="J1113">
        <v>0.30795793641484098</v>
      </c>
      <c r="K1113">
        <v>0.30653238895439899</v>
      </c>
      <c r="L1113">
        <v>843.29872361412902</v>
      </c>
      <c r="M1113">
        <v>17.2817550716094</v>
      </c>
      <c r="N1113">
        <v>50.9492382907167</v>
      </c>
      <c r="O1113">
        <v>48.157726972142903</v>
      </c>
      <c r="P1113">
        <v>-6.6477877431409899E-2</v>
      </c>
      <c r="Q1113">
        <v>0.25904791638433999</v>
      </c>
      <c r="R1113">
        <v>0.97860251099415896</v>
      </c>
      <c r="S1113" t="s">
        <v>4945</v>
      </c>
      <c r="T1113" t="s">
        <v>7662</v>
      </c>
      <c r="U1113" t="s">
        <v>7662</v>
      </c>
      <c r="V1113" t="s">
        <v>7662</v>
      </c>
      <c r="W1113">
        <v>10</v>
      </c>
      <c r="X1113" t="s">
        <v>8775</v>
      </c>
      <c r="Y1113">
        <v>0.49030190970792231</v>
      </c>
      <c r="Z1113" t="str">
        <f>HYPERLINK("Melting_Curves/meltCurve_sp_P51116_FXR2_HUMAN_.pdf", "Melting_Curves/meltCurve_sp_P51116_FXR2_HUMAN_.pdf")</f>
        <v>Melting_Curves/meltCurve_sp_P51116_FXR2_HUMAN_.pdf</v>
      </c>
      <c r="AA1113" t="s">
        <v>12586</v>
      </c>
      <c r="AB1113" t="s">
        <v>16354</v>
      </c>
    </row>
    <row r="1114" spans="1:28" x14ac:dyDescent="0.25">
      <c r="A1114" t="s">
        <v>1118</v>
      </c>
      <c r="B1114">
        <v>0.98876768158843997</v>
      </c>
      <c r="C1114">
        <v>0.97611026656977296</v>
      </c>
      <c r="D1114">
        <v>0.87035950099102399</v>
      </c>
      <c r="E1114">
        <v>0.68556645701791297</v>
      </c>
      <c r="F1114">
        <v>0.38682695075733903</v>
      </c>
      <c r="G1114">
        <v>0.112462422747085</v>
      </c>
      <c r="H1114">
        <v>3.8937365621215803E-2</v>
      </c>
      <c r="I1114">
        <v>2.29377273852851E-2</v>
      </c>
      <c r="J1114">
        <v>2.79539878246341E-2</v>
      </c>
      <c r="K1114">
        <v>2.81415669880852E-2</v>
      </c>
      <c r="L1114">
        <v>1024.19563723281</v>
      </c>
      <c r="M1114">
        <v>19.827996725704399</v>
      </c>
      <c r="N1114">
        <v>51.681798301849497</v>
      </c>
      <c r="O1114">
        <v>51.137214942829203</v>
      </c>
      <c r="P1114">
        <v>-9.6424559503992799E-2</v>
      </c>
      <c r="Q1114">
        <v>5.3019587224350101E-3</v>
      </c>
      <c r="R1114">
        <v>0.99714658444079896</v>
      </c>
      <c r="S1114" t="s">
        <v>4946</v>
      </c>
      <c r="T1114" t="s">
        <v>7662</v>
      </c>
      <c r="U1114" t="s">
        <v>7662</v>
      </c>
      <c r="V1114" t="s">
        <v>7662</v>
      </c>
      <c r="W1114">
        <v>7</v>
      </c>
      <c r="X1114" t="s">
        <v>8776</v>
      </c>
      <c r="Y1114">
        <v>0.40571051744186543</v>
      </c>
      <c r="Z1114" t="str">
        <f>HYPERLINK("Melting_Curves/meltCurve_sp_P51148_RAB5C_HUMAN_.pdf", "Melting_Curves/meltCurve_sp_P51148_RAB5C_HUMAN_.pdf")</f>
        <v>Melting_Curves/meltCurve_sp_P51148_RAB5C_HUMAN_.pdf</v>
      </c>
      <c r="AA1114" t="s">
        <v>12587</v>
      </c>
      <c r="AB1114" t="s">
        <v>16355</v>
      </c>
    </row>
    <row r="1115" spans="1:28" x14ac:dyDescent="0.25">
      <c r="A1115" t="s">
        <v>1119</v>
      </c>
      <c r="B1115">
        <v>0.98876768158843997</v>
      </c>
      <c r="C1115">
        <v>1.0043229881610001</v>
      </c>
      <c r="D1115">
        <v>0.802606625325192</v>
      </c>
      <c r="E1115">
        <v>0.52924002573967999</v>
      </c>
      <c r="F1115">
        <v>0.35129122593350898</v>
      </c>
      <c r="G1115">
        <v>0.159552018396732</v>
      </c>
      <c r="H1115">
        <v>7.8591842630335904E-2</v>
      </c>
      <c r="I1115">
        <v>6.0220995862455703E-2</v>
      </c>
      <c r="J1115">
        <v>5.0074441127164297E-2</v>
      </c>
      <c r="K1115">
        <v>3.3437176221685301E-2</v>
      </c>
      <c r="L1115">
        <v>812.56723860672605</v>
      </c>
      <c r="M1115">
        <v>16.128162722943301</v>
      </c>
      <c r="N1115">
        <v>50.569256484420599</v>
      </c>
      <c r="O1115">
        <v>49.626417989009298</v>
      </c>
      <c r="P1115">
        <v>-7.8897340408781796E-2</v>
      </c>
      <c r="Q1115">
        <v>2.9004148042442199E-2</v>
      </c>
      <c r="R1115">
        <v>0.99655462013034801</v>
      </c>
      <c r="S1115" t="s">
        <v>4947</v>
      </c>
      <c r="T1115" t="s">
        <v>7662</v>
      </c>
      <c r="U1115" t="s">
        <v>7662</v>
      </c>
      <c r="V1115" t="s">
        <v>7662</v>
      </c>
      <c r="W1115">
        <v>6</v>
      </c>
      <c r="X1115" t="s">
        <v>8777</v>
      </c>
      <c r="Y1115">
        <v>0.38516777197014679</v>
      </c>
      <c r="Z1115" t="str">
        <f>HYPERLINK("Melting_Curves/meltCurve_sp_P51149_RAB7A_HUMAN_.pdf", "Melting_Curves/meltCurve_sp_P51149_RAB7A_HUMAN_.pdf")</f>
        <v>Melting_Curves/meltCurve_sp_P51149_RAB7A_HUMAN_.pdf</v>
      </c>
      <c r="AA1115" t="s">
        <v>12588</v>
      </c>
      <c r="AB1115" t="s">
        <v>16356</v>
      </c>
    </row>
    <row r="1116" spans="1:28" x14ac:dyDescent="0.25">
      <c r="A1116" t="s">
        <v>1120</v>
      </c>
      <c r="B1116">
        <v>0.98876768158843997</v>
      </c>
      <c r="C1116">
        <v>0.75677617256165097</v>
      </c>
      <c r="D1116">
        <v>0.8721337583066</v>
      </c>
      <c r="E1116">
        <v>0.616470354550819</v>
      </c>
      <c r="F1116">
        <v>0.14368870229568401</v>
      </c>
      <c r="G1116">
        <v>0.160858500233615</v>
      </c>
      <c r="H1116">
        <v>9.6197310439656597E-2</v>
      </c>
      <c r="I1116">
        <v>7.59735391218824E-2</v>
      </c>
      <c r="J1116">
        <v>0.14451778646698801</v>
      </c>
      <c r="K1116">
        <v>2.0520306754164601E-2</v>
      </c>
      <c r="L1116">
        <v>1015.17888938971</v>
      </c>
      <c r="M1116">
        <v>20.3934391744029</v>
      </c>
      <c r="N1116">
        <v>50.136311463325903</v>
      </c>
      <c r="O1116">
        <v>49.308457283835899</v>
      </c>
      <c r="P1116">
        <v>-9.6419231780150799E-2</v>
      </c>
      <c r="Q1116">
        <v>6.7516028996150598E-2</v>
      </c>
      <c r="R1116">
        <v>0.93622581360811696</v>
      </c>
      <c r="S1116" t="s">
        <v>4948</v>
      </c>
      <c r="T1116" t="s">
        <v>7662</v>
      </c>
      <c r="U1116" t="s">
        <v>7662</v>
      </c>
      <c r="V1116" t="s">
        <v>7662</v>
      </c>
      <c r="W1116">
        <v>1</v>
      </c>
      <c r="X1116" t="s">
        <v>8778</v>
      </c>
      <c r="Y1116">
        <v>0.38399967448689748</v>
      </c>
      <c r="Z1116" t="str">
        <f>HYPERLINK("Melting_Curves/meltCurve_sp_P51151_RAB9A_HUMAN_.pdf", "Melting_Curves/meltCurve_sp_P51151_RAB9A_HUMAN_.pdf")</f>
        <v>Melting_Curves/meltCurve_sp_P51151_RAB9A_HUMAN_.pdf</v>
      </c>
      <c r="AA1116" t="s">
        <v>12589</v>
      </c>
      <c r="AB1116" t="s">
        <v>16357</v>
      </c>
    </row>
    <row r="1117" spans="1:28" x14ac:dyDescent="0.25">
      <c r="A1117" t="s">
        <v>1121</v>
      </c>
      <c r="B1117">
        <v>0.98876768158843997</v>
      </c>
      <c r="C1117">
        <v>0.66279341111900403</v>
      </c>
      <c r="D1117">
        <v>0.53509736065148705</v>
      </c>
      <c r="E1117">
        <v>0.244417993487444</v>
      </c>
      <c r="F1117">
        <v>8.5877538764525099E-2</v>
      </c>
      <c r="G1117">
        <v>5.6588182272178301E-2</v>
      </c>
      <c r="H1117">
        <v>4.1636788935911002E-2</v>
      </c>
      <c r="I1117">
        <v>4.6306153824001599E-2</v>
      </c>
      <c r="J1117">
        <v>3.2219345895122702E-2</v>
      </c>
      <c r="K1117">
        <v>1.7968929855033601E-2</v>
      </c>
      <c r="L1117">
        <v>722.195350277437</v>
      </c>
      <c r="M1117">
        <v>15.7660622172668</v>
      </c>
      <c r="N1117">
        <v>45.924953030939903</v>
      </c>
      <c r="O1117">
        <v>45.089021057582102</v>
      </c>
      <c r="P1117">
        <v>-8.5688315310481905E-2</v>
      </c>
      <c r="Q1117">
        <v>1.9849142622834701E-2</v>
      </c>
      <c r="R1117">
        <v>0.98321883689949696</v>
      </c>
      <c r="S1117" t="s">
        <v>4949</v>
      </c>
      <c r="T1117" t="s">
        <v>7662</v>
      </c>
      <c r="U1117" t="s">
        <v>7662</v>
      </c>
      <c r="V1117" t="s">
        <v>7662</v>
      </c>
      <c r="W1117">
        <v>5</v>
      </c>
      <c r="X1117" t="s">
        <v>8779</v>
      </c>
      <c r="Y1117">
        <v>0.23574331079647329</v>
      </c>
      <c r="Z1117" t="str">
        <f>HYPERLINK("Melting_Curves/meltCurve_sp_P51153_RAB13_HUMAN_.pdf", "Melting_Curves/meltCurve_sp_P51153_RAB13_HUMAN_.pdf")</f>
        <v>Melting_Curves/meltCurve_sp_P51153_RAB13_HUMAN_.pdf</v>
      </c>
      <c r="AA1117" t="s">
        <v>12590</v>
      </c>
      <c r="AB1117" t="s">
        <v>16358</v>
      </c>
    </row>
    <row r="1118" spans="1:28" x14ac:dyDescent="0.25">
      <c r="A1118" t="s">
        <v>1122</v>
      </c>
      <c r="B1118">
        <v>0.98876768158843997</v>
      </c>
      <c r="C1118">
        <v>1.0253378147286301</v>
      </c>
      <c r="D1118">
        <v>0.99382217659896899</v>
      </c>
      <c r="E1118">
        <v>0.48609237616850898</v>
      </c>
      <c r="F1118">
        <v>0.29195265265394099</v>
      </c>
      <c r="G1118">
        <v>0.17672963620399099</v>
      </c>
      <c r="H1118">
        <v>0.10413413918487401</v>
      </c>
      <c r="I1118">
        <v>0.124330566588969</v>
      </c>
      <c r="J1118">
        <v>0.108062511758328</v>
      </c>
      <c r="K1118">
        <v>0.11600475863713</v>
      </c>
      <c r="L1118">
        <v>1539.5885057103401</v>
      </c>
      <c r="M1118">
        <v>30.950157971480401</v>
      </c>
      <c r="N1118">
        <v>50.218974600722802</v>
      </c>
      <c r="O1118">
        <v>49.537839648606003</v>
      </c>
      <c r="P1118">
        <v>-0.13638061139270999</v>
      </c>
      <c r="Q1118">
        <v>0.12685912971184299</v>
      </c>
      <c r="R1118">
        <v>0.99229661371828204</v>
      </c>
      <c r="S1118" t="s">
        <v>4950</v>
      </c>
      <c r="T1118" t="s">
        <v>7662</v>
      </c>
      <c r="U1118" t="s">
        <v>7662</v>
      </c>
      <c r="V1118" t="s">
        <v>7662</v>
      </c>
      <c r="W1118">
        <v>3</v>
      </c>
      <c r="X1118" t="s">
        <v>8780</v>
      </c>
      <c r="Y1118">
        <v>0.41550750503773459</v>
      </c>
      <c r="Z1118" t="str">
        <f>HYPERLINK("Melting_Curves/meltCurve_sp_P51398_2_RT29_HUMAN_.pdf", "Melting_Curves/meltCurve_sp_P51398_2_RT29_HUMAN_.pdf")</f>
        <v>Melting_Curves/meltCurve_sp_P51398_2_RT29_HUMAN_.pdf</v>
      </c>
      <c r="AA1118" t="s">
        <v>12591</v>
      </c>
      <c r="AB1118" t="s">
        <v>16359</v>
      </c>
    </row>
    <row r="1119" spans="1:28" x14ac:dyDescent="0.25">
      <c r="A1119" t="s">
        <v>1123</v>
      </c>
      <c r="B1119">
        <v>0.98876768158843997</v>
      </c>
      <c r="C1119">
        <v>1.08232545887048</v>
      </c>
      <c r="D1119">
        <v>0.86647433566505805</v>
      </c>
      <c r="E1119">
        <v>0.69144164673837105</v>
      </c>
      <c r="F1119">
        <v>0.77837986410654203</v>
      </c>
      <c r="G1119">
        <v>0.28029966162664599</v>
      </c>
      <c r="H1119">
        <v>9.4465753258456797E-2</v>
      </c>
      <c r="I1119">
        <v>6.1351783955498999E-2</v>
      </c>
      <c r="J1119">
        <v>0.17360863221994</v>
      </c>
      <c r="K1119">
        <v>5.8625892792867E-2</v>
      </c>
      <c r="L1119">
        <v>923.40337467211998</v>
      </c>
      <c r="M1119">
        <v>17.0290182495498</v>
      </c>
      <c r="N1119">
        <v>54.479279974044999</v>
      </c>
      <c r="O1119">
        <v>53.494059243050899</v>
      </c>
      <c r="P1119">
        <v>-7.6551349714697695E-2</v>
      </c>
      <c r="Q1119">
        <v>3.8161358658569601E-2</v>
      </c>
      <c r="R1119">
        <v>0.94854116418616696</v>
      </c>
      <c r="S1119" t="s">
        <v>4951</v>
      </c>
      <c r="T1119" t="s">
        <v>7662</v>
      </c>
      <c r="U1119" t="s">
        <v>7662</v>
      </c>
      <c r="V1119" t="s">
        <v>7662</v>
      </c>
      <c r="W1119">
        <v>7</v>
      </c>
      <c r="X1119" t="s">
        <v>8781</v>
      </c>
      <c r="Y1119">
        <v>0.51078317769500592</v>
      </c>
      <c r="Z1119" t="str">
        <f>HYPERLINK("Melting_Curves/meltCurve_sp_P51452_DUS3_HUMAN_.pdf", "Melting_Curves/meltCurve_sp_P51452_DUS3_HUMAN_.pdf")</f>
        <v>Melting_Curves/meltCurve_sp_P51452_DUS3_HUMAN_.pdf</v>
      </c>
      <c r="AA1119" t="s">
        <v>12592</v>
      </c>
      <c r="AB1119" t="s">
        <v>16360</v>
      </c>
    </row>
    <row r="1120" spans="1:28" x14ac:dyDescent="0.25">
      <c r="A1120" t="s">
        <v>1124</v>
      </c>
      <c r="B1120">
        <v>0.98876768158843997</v>
      </c>
      <c r="C1120">
        <v>1.2115155934733199</v>
      </c>
      <c r="D1120">
        <v>0.84524114975305298</v>
      </c>
      <c r="E1120">
        <v>0.80817141660796399</v>
      </c>
      <c r="F1120">
        <v>1.1022564315298999</v>
      </c>
      <c r="G1120">
        <v>0.88738964341696502</v>
      </c>
      <c r="H1120">
        <v>0.57668673606856802</v>
      </c>
      <c r="I1120">
        <v>0.70734995480516505</v>
      </c>
      <c r="J1120">
        <v>0.82014077911055305</v>
      </c>
      <c r="K1120">
        <v>0.84555548554761295</v>
      </c>
      <c r="L1120">
        <v>14266.3253692907</v>
      </c>
      <c r="M1120">
        <v>250</v>
      </c>
      <c r="O1120">
        <v>57.061649301270798</v>
      </c>
      <c r="P1120">
        <v>-0.28759109562313201</v>
      </c>
      <c r="Q1120">
        <v>0.73743324273170796</v>
      </c>
      <c r="R1120">
        <v>0.46947662230224702</v>
      </c>
      <c r="S1120" t="s">
        <v>4952</v>
      </c>
      <c r="T1120" t="s">
        <v>7662</v>
      </c>
      <c r="U1120" t="s">
        <v>7662</v>
      </c>
      <c r="V1120" t="s">
        <v>7662</v>
      </c>
      <c r="W1120">
        <v>1</v>
      </c>
      <c r="X1120" t="s">
        <v>8782</v>
      </c>
      <c r="Y1120">
        <v>0.88681890081078307</v>
      </c>
      <c r="Z1120" t="str">
        <f>HYPERLINK("Melting_Curves/meltCurve_sp_P51532_5_SMCA4_HUMAN_.pdf", "Melting_Curves/meltCurve_sp_P51532_5_SMCA4_HUMAN_.pdf")</f>
        <v>Melting_Curves/meltCurve_sp_P51532_5_SMCA4_HUMAN_.pdf</v>
      </c>
      <c r="AA1120" t="s">
        <v>12593</v>
      </c>
      <c r="AB1120" t="s">
        <v>16361</v>
      </c>
    </row>
    <row r="1121" spans="1:28" x14ac:dyDescent="0.25">
      <c r="A1121" t="s">
        <v>1125</v>
      </c>
      <c r="B1121">
        <v>0.98876768158843997</v>
      </c>
      <c r="C1121">
        <v>0.84222165859001896</v>
      </c>
      <c r="D1121">
        <v>0.73685393942597399</v>
      </c>
      <c r="E1121">
        <v>0.48115066165647402</v>
      </c>
      <c r="F1121">
        <v>0.28691457030218298</v>
      </c>
      <c r="G1121">
        <v>0.13089036544728899</v>
      </c>
      <c r="H1121">
        <v>4.5442965263822403E-2</v>
      </c>
      <c r="I1121">
        <v>2.4693078293272899E-2</v>
      </c>
      <c r="J1121">
        <v>3.7671142873343402E-2</v>
      </c>
      <c r="K1121">
        <v>2.8832568646576399E-2</v>
      </c>
      <c r="L1121">
        <v>673.43657311225002</v>
      </c>
      <c r="M1121">
        <v>13.629038589702899</v>
      </c>
      <c r="N1121">
        <v>49.411891130990099</v>
      </c>
      <c r="O1121">
        <v>48.384518903966402</v>
      </c>
      <c r="P1121">
        <v>-7.0430797362816794E-2</v>
      </c>
      <c r="Q1121">
        <v>0</v>
      </c>
      <c r="R1121">
        <v>0.99640712655083896</v>
      </c>
      <c r="S1121" t="s">
        <v>4953</v>
      </c>
      <c r="T1121" t="s">
        <v>7662</v>
      </c>
      <c r="U1121" t="s">
        <v>7662</v>
      </c>
      <c r="V1121" t="s">
        <v>7662</v>
      </c>
      <c r="W1121">
        <v>7</v>
      </c>
      <c r="X1121" t="s">
        <v>8783</v>
      </c>
      <c r="Y1121">
        <v>0.34261875634039413</v>
      </c>
      <c r="Z1121" t="str">
        <f>HYPERLINK("Melting_Curves/meltCurve_sp_P51553_IDH3G_HUMAN_.pdf", "Melting_Curves/meltCurve_sp_P51553_IDH3G_HUMAN_.pdf")</f>
        <v>Melting_Curves/meltCurve_sp_P51553_IDH3G_HUMAN_.pdf</v>
      </c>
      <c r="AA1121" t="s">
        <v>12594</v>
      </c>
      <c r="AB1121" t="s">
        <v>16362</v>
      </c>
    </row>
    <row r="1122" spans="1:28" x14ac:dyDescent="0.25">
      <c r="A1122" t="s">
        <v>1126</v>
      </c>
      <c r="B1122">
        <v>0.98876768158843997</v>
      </c>
      <c r="C1122">
        <v>1.08703240526587</v>
      </c>
      <c r="D1122">
        <v>0.71194525564599298</v>
      </c>
      <c r="E1122">
        <v>0.38281859013695402</v>
      </c>
      <c r="F1122">
        <v>0.108884359906635</v>
      </c>
      <c r="G1122">
        <v>7.0322313134649997E-2</v>
      </c>
      <c r="H1122">
        <v>4.1887834878814499E-2</v>
      </c>
      <c r="I1122">
        <v>3.9569643204001102E-2</v>
      </c>
      <c r="J1122">
        <v>4.5473789167208997E-2</v>
      </c>
      <c r="K1122">
        <v>3.5698233797904703E-2</v>
      </c>
      <c r="L1122">
        <v>1163.9571652059999</v>
      </c>
      <c r="M1122">
        <v>24.0736049231867</v>
      </c>
      <c r="N1122">
        <v>48.508762674782297</v>
      </c>
      <c r="O1122">
        <v>48.019995136181798</v>
      </c>
      <c r="P1122">
        <v>-0.120583152897329</v>
      </c>
      <c r="Q1122">
        <v>3.78983993083927E-2</v>
      </c>
      <c r="R1122">
        <v>0.98427172057338097</v>
      </c>
      <c r="S1122" t="s">
        <v>4954</v>
      </c>
      <c r="T1122" t="s">
        <v>7662</v>
      </c>
      <c r="U1122" t="s">
        <v>7662</v>
      </c>
      <c r="V1122" t="s">
        <v>7662</v>
      </c>
      <c r="W1122">
        <v>21</v>
      </c>
      <c r="X1122" t="s">
        <v>8784</v>
      </c>
      <c r="Y1122">
        <v>0.31488585387197349</v>
      </c>
      <c r="Z1122" t="str">
        <f>HYPERLINK("Melting_Curves/meltCurve_sp_P51570_GALK1_HUMAN_.pdf", "Melting_Curves/meltCurve_sp_P51570_GALK1_HUMAN_.pdf")</f>
        <v>Melting_Curves/meltCurve_sp_P51570_GALK1_HUMAN_.pdf</v>
      </c>
      <c r="AA1122" t="s">
        <v>12595</v>
      </c>
      <c r="AB1122" t="s">
        <v>16363</v>
      </c>
    </row>
    <row r="1123" spans="1:28" x14ac:dyDescent="0.25">
      <c r="A1123" t="s">
        <v>1127</v>
      </c>
      <c r="B1123">
        <v>0.98876768158843997</v>
      </c>
      <c r="C1123">
        <v>1.19737261453373</v>
      </c>
      <c r="D1123">
        <v>0.92148106278813002</v>
      </c>
      <c r="E1123">
        <v>0.81804435576496304</v>
      </c>
      <c r="F1123">
        <v>0.82642258273080804</v>
      </c>
      <c r="G1123">
        <v>0.354203915227015</v>
      </c>
      <c r="H1123">
        <v>9.2085824381211198E-2</v>
      </c>
      <c r="I1123">
        <v>6.7500500527021903E-2</v>
      </c>
      <c r="J1123">
        <v>5.8504262881889299E-2</v>
      </c>
      <c r="K1123">
        <v>5.28144139492943E-2</v>
      </c>
      <c r="L1123">
        <v>1335.6576786232699</v>
      </c>
      <c r="M1123">
        <v>24.087272358809301</v>
      </c>
      <c r="N1123">
        <v>55.594775512684599</v>
      </c>
      <c r="O1123">
        <v>55.072823690690903</v>
      </c>
      <c r="P1123">
        <v>-0.10603719138538401</v>
      </c>
      <c r="Q1123">
        <v>3.0247163611977601E-2</v>
      </c>
      <c r="R1123">
        <v>0.96556074438594497</v>
      </c>
      <c r="S1123" t="s">
        <v>4955</v>
      </c>
      <c r="T1123" t="s">
        <v>7662</v>
      </c>
      <c r="U1123" t="s">
        <v>7662</v>
      </c>
      <c r="V1123" t="s">
        <v>7662</v>
      </c>
      <c r="W1123">
        <v>10</v>
      </c>
      <c r="X1123" t="s">
        <v>8785</v>
      </c>
      <c r="Y1123">
        <v>0.53922696716464524</v>
      </c>
      <c r="Z1123" t="str">
        <f>HYPERLINK("Melting_Curves/meltCurve_sp_P51580_TPMT_HUMAN_.pdf", "Melting_Curves/meltCurve_sp_P51580_TPMT_HUMAN_.pdf")</f>
        <v>Melting_Curves/meltCurve_sp_P51580_TPMT_HUMAN_.pdf</v>
      </c>
      <c r="AA1123" t="s">
        <v>12596</v>
      </c>
      <c r="AB1123" t="s">
        <v>16364</v>
      </c>
    </row>
    <row r="1124" spans="1:28" x14ac:dyDescent="0.25">
      <c r="A1124" t="s">
        <v>1128</v>
      </c>
      <c r="B1124">
        <v>0.98876768158843997</v>
      </c>
      <c r="C1124">
        <v>1.1595820000378501</v>
      </c>
      <c r="D1124">
        <v>0.90526590199109203</v>
      </c>
      <c r="E1124">
        <v>0.80014231526281299</v>
      </c>
      <c r="F1124">
        <v>1.0222382050511201</v>
      </c>
      <c r="G1124">
        <v>0.81675262709688501</v>
      </c>
      <c r="H1124">
        <v>0.63070202067889902</v>
      </c>
      <c r="I1124">
        <v>0.24984004783771199</v>
      </c>
      <c r="J1124">
        <v>0.86156858467375097</v>
      </c>
      <c r="K1124">
        <v>1.03358563897579</v>
      </c>
      <c r="L1124">
        <v>14227.1972844352</v>
      </c>
      <c r="M1124">
        <v>250</v>
      </c>
      <c r="O1124">
        <v>56.905134081626997</v>
      </c>
      <c r="P1124">
        <v>-0.33616898317957999</v>
      </c>
      <c r="Q1124">
        <v>0.69392407172630799</v>
      </c>
      <c r="R1124">
        <v>0.29277805120429101</v>
      </c>
      <c r="S1124" t="s">
        <v>4956</v>
      </c>
      <c r="T1124" t="s">
        <v>7662</v>
      </c>
      <c r="U1124" t="s">
        <v>7662</v>
      </c>
      <c r="V1124" t="s">
        <v>7662</v>
      </c>
      <c r="W1124">
        <v>2</v>
      </c>
      <c r="X1124" t="s">
        <v>8786</v>
      </c>
      <c r="Y1124">
        <v>0.86646708514285009</v>
      </c>
      <c r="Z1124" t="str">
        <f>HYPERLINK("Melting_Curves/meltCurve_sp_P51608_MECP2_HUMAN_.pdf", "Melting_Curves/meltCurve_sp_P51608_MECP2_HUMAN_.pdf")</f>
        <v>Melting_Curves/meltCurve_sp_P51608_MECP2_HUMAN_.pdf</v>
      </c>
      <c r="AA1124" t="s">
        <v>12597</v>
      </c>
      <c r="AB1124" t="s">
        <v>16365</v>
      </c>
    </row>
    <row r="1125" spans="1:28" x14ac:dyDescent="0.25">
      <c r="A1125" t="s">
        <v>1129</v>
      </c>
      <c r="B1125">
        <v>0.98876768158843997</v>
      </c>
      <c r="C1125">
        <v>1.0151454527482899</v>
      </c>
      <c r="D1125">
        <v>0.89013505249996105</v>
      </c>
      <c r="E1125">
        <v>0.67020293724570301</v>
      </c>
      <c r="F1125">
        <v>0.65672604977101201</v>
      </c>
      <c r="G1125">
        <v>0.387872328122572</v>
      </c>
      <c r="H1125">
        <v>0.218662321576678</v>
      </c>
      <c r="I1125">
        <v>0.17926265701355201</v>
      </c>
      <c r="J1125">
        <v>0.19673041547995601</v>
      </c>
      <c r="K1125">
        <v>0.202138026132685</v>
      </c>
      <c r="L1125">
        <v>716.63915196176799</v>
      </c>
      <c r="M1125">
        <v>13.478071400028901</v>
      </c>
      <c r="N1125">
        <v>54.4209626363103</v>
      </c>
      <c r="O1125">
        <v>52.041192264242802</v>
      </c>
      <c r="P1125">
        <v>-5.6135220642900503E-2</v>
      </c>
      <c r="Q1125">
        <v>0.13314140688716899</v>
      </c>
      <c r="R1125">
        <v>0.98235750988371695</v>
      </c>
      <c r="S1125" t="s">
        <v>4957</v>
      </c>
      <c r="T1125" t="s">
        <v>7662</v>
      </c>
      <c r="U1125" t="s">
        <v>7662</v>
      </c>
      <c r="V1125" t="s">
        <v>7662</v>
      </c>
      <c r="W1125">
        <v>20</v>
      </c>
      <c r="X1125" t="s">
        <v>8787</v>
      </c>
      <c r="Y1125">
        <v>0.53499465073151387</v>
      </c>
      <c r="Z1125" t="str">
        <f>HYPERLINK("Melting_Curves/meltCurve_sp_P51610_4_HCFC1_HUMAN_.pdf", "Melting_Curves/meltCurve_sp_P51610_4_HCFC1_HUMAN_.pdf")</f>
        <v>Melting_Curves/meltCurve_sp_P51610_4_HCFC1_HUMAN_.pdf</v>
      </c>
      <c r="AA1125" t="s">
        <v>12598</v>
      </c>
      <c r="AB1125" t="s">
        <v>16366</v>
      </c>
    </row>
    <row r="1126" spans="1:28" x14ac:dyDescent="0.25">
      <c r="A1126" t="s">
        <v>1130</v>
      </c>
      <c r="B1126">
        <v>0.98876768158843997</v>
      </c>
      <c r="C1126">
        <v>0.76435634242178196</v>
      </c>
      <c r="D1126">
        <v>1.0929250693916599</v>
      </c>
      <c r="E1126">
        <v>1.04938633486349</v>
      </c>
      <c r="F1126">
        <v>0.431771183535262</v>
      </c>
      <c r="G1126">
        <v>0.121357146148629</v>
      </c>
      <c r="H1126">
        <v>4.9830585366212099E-2</v>
      </c>
      <c r="I1126">
        <v>4.0583766709685803E-2</v>
      </c>
      <c r="J1126">
        <v>4.3041479029647299E-2</v>
      </c>
      <c r="K1126">
        <v>3.7020014211123602E-2</v>
      </c>
      <c r="L1126">
        <v>13227.7473584484</v>
      </c>
      <c r="M1126">
        <v>250</v>
      </c>
      <c r="N1126">
        <v>52.937273817796203</v>
      </c>
      <c r="O1126">
        <v>52.907617898706199</v>
      </c>
      <c r="P1126">
        <v>-1.11235596476599</v>
      </c>
      <c r="Q1126">
        <v>5.83665869880894E-2</v>
      </c>
      <c r="R1126">
        <v>0.96285967797730998</v>
      </c>
      <c r="S1126" t="s">
        <v>4958</v>
      </c>
      <c r="T1126" t="s">
        <v>7662</v>
      </c>
      <c r="U1126" t="s">
        <v>7662</v>
      </c>
      <c r="V1126" t="s">
        <v>7662</v>
      </c>
      <c r="W1126">
        <v>21</v>
      </c>
      <c r="X1126" t="s">
        <v>8788</v>
      </c>
      <c r="Y1126">
        <v>0.46370132667882269</v>
      </c>
      <c r="Z1126" t="str">
        <f>HYPERLINK("Melting_Curves/meltCurve_sp_P51649_SSDH_HUMAN_.pdf", "Melting_Curves/meltCurve_sp_P51649_SSDH_HUMAN_.pdf")</f>
        <v>Melting_Curves/meltCurve_sp_P51649_SSDH_HUMAN_.pdf</v>
      </c>
      <c r="AA1126" t="s">
        <v>12599</v>
      </c>
      <c r="AB1126" t="s">
        <v>16367</v>
      </c>
    </row>
    <row r="1127" spans="1:28" x14ac:dyDescent="0.25">
      <c r="A1127" t="s">
        <v>1131</v>
      </c>
      <c r="B1127">
        <v>0.98876768158843997</v>
      </c>
      <c r="C1127">
        <v>0.80749173982156297</v>
      </c>
      <c r="D1127">
        <v>0.940383525221825</v>
      </c>
      <c r="E1127">
        <v>0.65444455943497803</v>
      </c>
      <c r="F1127">
        <v>0.19844562811069999</v>
      </c>
      <c r="G1127">
        <v>7.78445191451895E-2</v>
      </c>
      <c r="H1127">
        <v>3.9035060410807398E-2</v>
      </c>
      <c r="I1127">
        <v>2.9908679908907301E-2</v>
      </c>
      <c r="J1127">
        <v>3.1453944382729103E-2</v>
      </c>
      <c r="K1127">
        <v>3.0438816709099901E-2</v>
      </c>
      <c r="L1127">
        <v>1693.63795281187</v>
      </c>
      <c r="M1127">
        <v>33.371599986413301</v>
      </c>
      <c r="N1127">
        <v>50.855556819198199</v>
      </c>
      <c r="O1127">
        <v>50.569675211485603</v>
      </c>
      <c r="P1127">
        <v>-0.15950346898350201</v>
      </c>
      <c r="Q1127">
        <v>3.31893763939069E-2</v>
      </c>
      <c r="R1127">
        <v>0.97507575951502001</v>
      </c>
      <c r="S1127" t="s">
        <v>4959</v>
      </c>
      <c r="T1127" t="s">
        <v>7662</v>
      </c>
      <c r="U1127" t="s">
        <v>7662</v>
      </c>
      <c r="V1127" t="s">
        <v>7662</v>
      </c>
      <c r="W1127">
        <v>39</v>
      </c>
      <c r="X1127" t="s">
        <v>8789</v>
      </c>
      <c r="Y1127">
        <v>0.3845445329655271</v>
      </c>
      <c r="Z1127" t="str">
        <f>HYPERLINK("Melting_Curves/meltCurve_sp_P51659_DHB4_HUMAN_.pdf", "Melting_Curves/meltCurve_sp_P51659_DHB4_HUMAN_.pdf")</f>
        <v>Melting_Curves/meltCurve_sp_P51659_DHB4_HUMAN_.pdf</v>
      </c>
      <c r="AA1127" t="s">
        <v>12600</v>
      </c>
      <c r="AB1127" t="s">
        <v>16368</v>
      </c>
    </row>
    <row r="1128" spans="1:28" x14ac:dyDescent="0.25">
      <c r="A1128" t="s">
        <v>1132</v>
      </c>
      <c r="B1128">
        <v>0.98876768158843997</v>
      </c>
      <c r="C1128">
        <v>0.834764170828735</v>
      </c>
      <c r="D1128">
        <v>0.86940485831772396</v>
      </c>
      <c r="E1128">
        <v>0.51845998041049901</v>
      </c>
      <c r="F1128">
        <v>0.26003590769011098</v>
      </c>
      <c r="G1128">
        <v>0.13105168769693101</v>
      </c>
      <c r="H1128">
        <v>8.3649468890336504E-2</v>
      </c>
      <c r="I1128">
        <v>9.9842398136721994E-2</v>
      </c>
      <c r="J1128">
        <v>0.13170407363320799</v>
      </c>
      <c r="K1128">
        <v>0.106644579227028</v>
      </c>
      <c r="L1128">
        <v>976.318057632717</v>
      </c>
      <c r="M1128">
        <v>19.737064647621899</v>
      </c>
      <c r="N1128">
        <v>49.966580048885703</v>
      </c>
      <c r="O1128">
        <v>48.966818812123201</v>
      </c>
      <c r="P1128">
        <v>-9.1735015069330406E-2</v>
      </c>
      <c r="Q1128">
        <v>8.9668523965060698E-2</v>
      </c>
      <c r="R1128">
        <v>0.98330800323221501</v>
      </c>
      <c r="S1128" t="s">
        <v>4960</v>
      </c>
      <c r="T1128" t="s">
        <v>7662</v>
      </c>
      <c r="U1128" t="s">
        <v>7662</v>
      </c>
      <c r="V1128" t="s">
        <v>7662</v>
      </c>
      <c r="W1128">
        <v>3</v>
      </c>
      <c r="X1128" t="s">
        <v>8790</v>
      </c>
      <c r="Y1128">
        <v>0.38996080425754448</v>
      </c>
      <c r="Z1128" t="str">
        <f>HYPERLINK("Melting_Curves/meltCurve_sp_P51665_PSD7_HUMAN_.pdf", "Melting_Curves/meltCurve_sp_P51665_PSD7_HUMAN_.pdf")</f>
        <v>Melting_Curves/meltCurve_sp_P51665_PSD7_HUMAN_.pdf</v>
      </c>
      <c r="AA1128" t="s">
        <v>12601</v>
      </c>
      <c r="AB1128" t="s">
        <v>16369</v>
      </c>
    </row>
    <row r="1129" spans="1:28" x14ac:dyDescent="0.25">
      <c r="A1129" t="s">
        <v>1133</v>
      </c>
      <c r="B1129">
        <v>0.98876768158843997</v>
      </c>
      <c r="C1129">
        <v>0.93759010593388603</v>
      </c>
      <c r="D1129">
        <v>0.92349137082166299</v>
      </c>
      <c r="E1129">
        <v>0.89448558339689899</v>
      </c>
      <c r="F1129">
        <v>0.79141617980324397</v>
      </c>
      <c r="G1129">
        <v>0.59304881904129303</v>
      </c>
      <c r="H1129">
        <v>0.40359100945464799</v>
      </c>
      <c r="I1129">
        <v>0.21755841553411401</v>
      </c>
      <c r="J1129">
        <v>7.5015559211992697E-2</v>
      </c>
      <c r="K1129">
        <v>7.3661248817088507E-2</v>
      </c>
      <c r="L1129">
        <v>816.025296119514</v>
      </c>
      <c r="M1129">
        <v>13.9914633946072</v>
      </c>
      <c r="N1129">
        <v>58.323084212549297</v>
      </c>
      <c r="O1129">
        <v>57.170420009114601</v>
      </c>
      <c r="P1129">
        <v>-6.1191256231549897E-2</v>
      </c>
      <c r="Q1129">
        <v>0</v>
      </c>
      <c r="R1129">
        <v>0.98866395378858796</v>
      </c>
      <c r="S1129" t="s">
        <v>4961</v>
      </c>
      <c r="T1129" t="s">
        <v>7662</v>
      </c>
      <c r="U1129" t="s">
        <v>7662</v>
      </c>
      <c r="V1129" t="s">
        <v>7662</v>
      </c>
      <c r="W1129">
        <v>14</v>
      </c>
      <c r="X1129" t="s">
        <v>8791</v>
      </c>
      <c r="Y1129">
        <v>0.623201013644197</v>
      </c>
      <c r="Z1129" t="str">
        <f>HYPERLINK("Melting_Curves/meltCurve_sp_P51687_SUOX_HUMAN_.pdf", "Melting_Curves/meltCurve_sp_P51687_SUOX_HUMAN_.pdf")</f>
        <v>Melting_Curves/meltCurve_sp_P51687_SUOX_HUMAN_.pdf</v>
      </c>
      <c r="AA1129" t="s">
        <v>12602</v>
      </c>
      <c r="AB1129" t="s">
        <v>16370</v>
      </c>
    </row>
    <row r="1130" spans="1:28" x14ac:dyDescent="0.25">
      <c r="A1130" t="s">
        <v>1134</v>
      </c>
      <c r="B1130">
        <v>0.98876768158843997</v>
      </c>
      <c r="C1130">
        <v>0.76486482454224003</v>
      </c>
      <c r="D1130">
        <v>0.87749930414001698</v>
      </c>
      <c r="E1130">
        <v>0.72634116472541399</v>
      </c>
      <c r="F1130">
        <v>0.45665019777266902</v>
      </c>
      <c r="G1130">
        <v>0.37139142214241899</v>
      </c>
      <c r="H1130">
        <v>0.28161885684573701</v>
      </c>
      <c r="I1130">
        <v>0.32832575380893902</v>
      </c>
      <c r="J1130">
        <v>0.29902957394725999</v>
      </c>
      <c r="K1130">
        <v>0.43533869949592902</v>
      </c>
      <c r="L1130">
        <v>694.50273086024197</v>
      </c>
      <c r="M1130">
        <v>13.9971354938678</v>
      </c>
      <c r="N1130">
        <v>53.216295347700402</v>
      </c>
      <c r="O1130">
        <v>48.637646179587101</v>
      </c>
      <c r="P1130">
        <v>-4.9939640953112097E-2</v>
      </c>
      <c r="Q1130">
        <v>0.30596513901575201</v>
      </c>
      <c r="R1130">
        <v>0.89946788812285206</v>
      </c>
      <c r="S1130" t="s">
        <v>4962</v>
      </c>
      <c r="T1130" t="s">
        <v>7662</v>
      </c>
      <c r="U1130" t="s">
        <v>7662</v>
      </c>
      <c r="V1130" t="s">
        <v>7662</v>
      </c>
      <c r="W1130">
        <v>3</v>
      </c>
      <c r="X1130" t="s">
        <v>8792</v>
      </c>
      <c r="Y1130">
        <v>0.54742476730896461</v>
      </c>
      <c r="Z1130" t="str">
        <f>HYPERLINK("Melting_Curves/meltCurve_sp_P51688_SPHM_HUMAN_.pdf", "Melting_Curves/meltCurve_sp_P51688_SPHM_HUMAN_.pdf")</f>
        <v>Melting_Curves/meltCurve_sp_P51688_SPHM_HUMAN_.pdf</v>
      </c>
      <c r="AA1130" t="s">
        <v>12603</v>
      </c>
      <c r="AB1130" t="s">
        <v>16371</v>
      </c>
    </row>
    <row r="1131" spans="1:28" x14ac:dyDescent="0.25">
      <c r="A1131" t="s">
        <v>1135</v>
      </c>
      <c r="B1131">
        <v>0.98876768158843997</v>
      </c>
      <c r="C1131">
        <v>0.93430049314549801</v>
      </c>
      <c r="D1131">
        <v>0.83116238859512104</v>
      </c>
      <c r="E1131">
        <v>0.46192552141749499</v>
      </c>
      <c r="F1131">
        <v>0.15303018513576799</v>
      </c>
      <c r="G1131">
        <v>9.6330481649289895E-2</v>
      </c>
      <c r="H1131">
        <v>4.8638647340348902E-2</v>
      </c>
      <c r="I1131">
        <v>5.7512834413237797E-2</v>
      </c>
      <c r="J1131">
        <v>7.0680604059738694E-2</v>
      </c>
      <c r="K1131">
        <v>5.4713843890226599E-2</v>
      </c>
      <c r="L1131">
        <v>1148.7645553700099</v>
      </c>
      <c r="M1131">
        <v>23.382946168162999</v>
      </c>
      <c r="N1131">
        <v>49.354907385290602</v>
      </c>
      <c r="O1131">
        <v>48.773215569796797</v>
      </c>
      <c r="P1131">
        <v>-0.113757136766414</v>
      </c>
      <c r="Q1131">
        <v>5.0897336221544701E-2</v>
      </c>
      <c r="R1131">
        <v>0.99665035054249995</v>
      </c>
      <c r="S1131" t="s">
        <v>4963</v>
      </c>
      <c r="T1131" t="s">
        <v>7662</v>
      </c>
      <c r="U1131" t="s">
        <v>7662</v>
      </c>
      <c r="V1131" t="s">
        <v>7662</v>
      </c>
      <c r="W1131">
        <v>9</v>
      </c>
      <c r="X1131" t="s">
        <v>8793</v>
      </c>
      <c r="Y1131">
        <v>0.34934334473458062</v>
      </c>
      <c r="Z1131" t="str">
        <f>HYPERLINK("Melting_Curves/meltCurve_sp_P51692_STA5B_HUMAN_.pdf", "Melting_Curves/meltCurve_sp_P51692_STA5B_HUMAN_.pdf")</f>
        <v>Melting_Curves/meltCurve_sp_P51692_STA5B_HUMAN_.pdf</v>
      </c>
      <c r="AA1131" t="s">
        <v>12604</v>
      </c>
      <c r="AB1131" t="s">
        <v>16372</v>
      </c>
    </row>
    <row r="1132" spans="1:28" x14ac:dyDescent="0.25">
      <c r="A1132" t="s">
        <v>1136</v>
      </c>
      <c r="B1132">
        <v>0.98876768158843997</v>
      </c>
      <c r="C1132">
        <v>0.97488039306747198</v>
      </c>
      <c r="D1132">
        <v>0.68499618638723703</v>
      </c>
      <c r="E1132">
        <v>0.35145401320542702</v>
      </c>
      <c r="F1132">
        <v>0.192554684615036</v>
      </c>
      <c r="G1132">
        <v>9.4353248062562595E-2</v>
      </c>
      <c r="H1132">
        <v>5.3127011347952002E-2</v>
      </c>
      <c r="I1132">
        <v>4.4818950321563598E-2</v>
      </c>
      <c r="J1132">
        <v>4.4124488509467E-2</v>
      </c>
      <c r="K1132">
        <v>4.3244034209914399E-2</v>
      </c>
      <c r="L1132">
        <v>946.108435301025</v>
      </c>
      <c r="M1132">
        <v>19.683907814624</v>
      </c>
      <c r="N1132">
        <v>48.292472235856003</v>
      </c>
      <c r="O1132">
        <v>47.5772320416567</v>
      </c>
      <c r="P1132">
        <v>-9.8856406830861901E-2</v>
      </c>
      <c r="Q1132">
        <v>4.4264745110296502E-2</v>
      </c>
      <c r="R1132">
        <v>0.99638265654994596</v>
      </c>
      <c r="S1132" t="s">
        <v>4964</v>
      </c>
      <c r="T1132" t="s">
        <v>7662</v>
      </c>
      <c r="U1132" t="s">
        <v>7662</v>
      </c>
      <c r="V1132" t="s">
        <v>7662</v>
      </c>
      <c r="W1132">
        <v>23</v>
      </c>
      <c r="X1132" t="s">
        <v>8794</v>
      </c>
      <c r="Y1132">
        <v>0.31522933186637031</v>
      </c>
      <c r="Z1132" t="str">
        <f>HYPERLINK("Melting_Curves/meltCurve_sp_P51857_AK1D1_HUMAN_.pdf", "Melting_Curves/meltCurve_sp_P51857_AK1D1_HUMAN_.pdf")</f>
        <v>Melting_Curves/meltCurve_sp_P51857_AK1D1_HUMAN_.pdf</v>
      </c>
      <c r="AA1132" t="s">
        <v>12605</v>
      </c>
      <c r="AB1132" t="s">
        <v>16373</v>
      </c>
    </row>
    <row r="1133" spans="1:28" x14ac:dyDescent="0.25">
      <c r="A1133" t="s">
        <v>1137</v>
      </c>
      <c r="B1133">
        <v>0.98876768158843997</v>
      </c>
      <c r="C1133">
        <v>1.1512790740171699</v>
      </c>
      <c r="D1133">
        <v>0.87077708234060602</v>
      </c>
      <c r="E1133">
        <v>0.80862578860134804</v>
      </c>
      <c r="F1133">
        <v>0.95006360418747804</v>
      </c>
      <c r="G1133">
        <v>0.67843211248998103</v>
      </c>
      <c r="H1133">
        <v>0.52478336232783096</v>
      </c>
      <c r="I1133">
        <v>0.63206322469957399</v>
      </c>
      <c r="J1133">
        <v>0.71589486595018004</v>
      </c>
      <c r="K1133">
        <v>0.98405401303812301</v>
      </c>
      <c r="L1133">
        <v>964.62419525524103</v>
      </c>
      <c r="M1133">
        <v>19.2376649010736</v>
      </c>
      <c r="O1133">
        <v>49.610066376838297</v>
      </c>
      <c r="P1133">
        <v>-2.73540517957927E-2</v>
      </c>
      <c r="Q1133">
        <v>0.71784819267230204</v>
      </c>
      <c r="R1133">
        <v>0.45053628406628599</v>
      </c>
      <c r="S1133" t="s">
        <v>4965</v>
      </c>
      <c r="T1133" t="s">
        <v>7662</v>
      </c>
      <c r="U1133" t="s">
        <v>7662</v>
      </c>
      <c r="V1133" t="s">
        <v>7662</v>
      </c>
      <c r="W1133">
        <v>16</v>
      </c>
      <c r="X1133" t="s">
        <v>8795</v>
      </c>
      <c r="Y1133">
        <v>0.81747057044168403</v>
      </c>
      <c r="Z1133" t="str">
        <f>HYPERLINK("Melting_Curves/meltCurve_sp_P51858_HDGF_HUMAN_.pdf", "Melting_Curves/meltCurve_sp_P51858_HDGF_HUMAN_.pdf")</f>
        <v>Melting_Curves/meltCurve_sp_P51858_HDGF_HUMAN_.pdf</v>
      </c>
      <c r="AA1133" t="s">
        <v>12606</v>
      </c>
      <c r="AB1133" t="s">
        <v>16374</v>
      </c>
    </row>
    <row r="1134" spans="1:28" x14ac:dyDescent="0.25">
      <c r="A1134" t="s">
        <v>1138</v>
      </c>
      <c r="B1134">
        <v>0.98876768158843997</v>
      </c>
      <c r="C1134">
        <v>0.95040485346298698</v>
      </c>
      <c r="D1134">
        <v>0.82160663910456</v>
      </c>
      <c r="E1134">
        <v>0.64321237425090505</v>
      </c>
      <c r="F1134">
        <v>0.572384946205162</v>
      </c>
      <c r="G1134">
        <v>0.31016732161359301</v>
      </c>
      <c r="H1134">
        <v>0.20904488880766101</v>
      </c>
      <c r="I1134">
        <v>0.232111168166314</v>
      </c>
      <c r="J1134">
        <v>0.30689710233471301</v>
      </c>
      <c r="K1134">
        <v>0.37921683061158501</v>
      </c>
      <c r="L1134">
        <v>792.01780041823395</v>
      </c>
      <c r="M1134">
        <v>15.7605176216369</v>
      </c>
      <c r="N1134">
        <v>52.738589371808096</v>
      </c>
      <c r="O1134">
        <v>49.465104129261199</v>
      </c>
      <c r="P1134">
        <v>-5.8782951799963797E-2</v>
      </c>
      <c r="Q1134">
        <v>0.26208949540559701</v>
      </c>
      <c r="R1134">
        <v>0.95471184401621301</v>
      </c>
      <c r="S1134" t="s">
        <v>4966</v>
      </c>
      <c r="T1134" t="s">
        <v>7662</v>
      </c>
      <c r="U1134" t="s">
        <v>7662</v>
      </c>
      <c r="V1134" t="s">
        <v>7662</v>
      </c>
      <c r="W1134">
        <v>9</v>
      </c>
      <c r="X1134" t="s">
        <v>8796</v>
      </c>
      <c r="Y1134">
        <v>0.53028721079310193</v>
      </c>
      <c r="Z1134" t="str">
        <f>HYPERLINK("Melting_Curves/meltCurve_sp_P51991_ROA3_HUMAN_.pdf", "Melting_Curves/meltCurve_sp_P51991_ROA3_HUMAN_.pdf")</f>
        <v>Melting_Curves/meltCurve_sp_P51991_ROA3_HUMAN_.pdf</v>
      </c>
      <c r="AA1134" t="s">
        <v>12607</v>
      </c>
      <c r="AB1134" t="s">
        <v>16375</v>
      </c>
    </row>
    <row r="1135" spans="1:28" x14ac:dyDescent="0.25">
      <c r="A1135" t="s">
        <v>1139</v>
      </c>
      <c r="B1135">
        <v>0.98876768158843997</v>
      </c>
      <c r="C1135">
        <v>1.0913539591878001</v>
      </c>
      <c r="D1135">
        <v>0.85920663553939902</v>
      </c>
      <c r="E1135">
        <v>0.65807463615887596</v>
      </c>
      <c r="F1135">
        <v>0.57465679444704298</v>
      </c>
      <c r="G1135">
        <v>0.34709867990647802</v>
      </c>
      <c r="H1135">
        <v>0.23620359954599099</v>
      </c>
      <c r="I1135">
        <v>0.238383837061205</v>
      </c>
      <c r="J1135">
        <v>0.26224244771670902</v>
      </c>
      <c r="K1135">
        <v>0.15109690291906999</v>
      </c>
      <c r="L1135">
        <v>779.16863825124597</v>
      </c>
      <c r="M1135">
        <v>15.0136381930264</v>
      </c>
      <c r="N1135">
        <v>53.513442072116803</v>
      </c>
      <c r="O1135">
        <v>51.002787003037199</v>
      </c>
      <c r="P1135">
        <v>-6.01848632183681E-2</v>
      </c>
      <c r="Q1135">
        <v>0.18226701154929201</v>
      </c>
      <c r="R1135">
        <v>0.97463163612716097</v>
      </c>
      <c r="S1135" t="s">
        <v>4967</v>
      </c>
      <c r="T1135" t="s">
        <v>7662</v>
      </c>
      <c r="U1135" t="s">
        <v>7662</v>
      </c>
      <c r="V1135" t="s">
        <v>7662</v>
      </c>
      <c r="W1135">
        <v>10</v>
      </c>
      <c r="X1135" t="s">
        <v>8797</v>
      </c>
      <c r="Y1135">
        <v>0.52488440475468034</v>
      </c>
      <c r="Z1135" t="str">
        <f>HYPERLINK("Melting_Curves/meltCurve_sp_P52272_2_HNRPM_HUMAN_.pdf", "Melting_Curves/meltCurve_sp_P52272_2_HNRPM_HUMAN_.pdf")</f>
        <v>Melting_Curves/meltCurve_sp_P52272_2_HNRPM_HUMAN_.pdf</v>
      </c>
      <c r="AA1135" t="s">
        <v>12608</v>
      </c>
      <c r="AB1135" t="s">
        <v>16376</v>
      </c>
    </row>
    <row r="1136" spans="1:28" x14ac:dyDescent="0.25">
      <c r="A1136" t="s">
        <v>1140</v>
      </c>
      <c r="B1136">
        <v>0.98876768158843997</v>
      </c>
      <c r="C1136">
        <v>0.91103975985119601</v>
      </c>
      <c r="D1136">
        <v>0.93684107931417104</v>
      </c>
      <c r="E1136">
        <v>0.487281436837398</v>
      </c>
      <c r="F1136">
        <v>0.18744966007645</v>
      </c>
      <c r="G1136">
        <v>9.7221941425604599E-2</v>
      </c>
      <c r="H1136">
        <v>6.8838028935544401E-2</v>
      </c>
      <c r="I1136">
        <v>6.8315187663050198E-2</v>
      </c>
      <c r="J1136">
        <v>9.3187009768264994E-2</v>
      </c>
      <c r="K1136">
        <v>8.4996954811677905E-2</v>
      </c>
      <c r="L1136">
        <v>1523.5512089009601</v>
      </c>
      <c r="M1136">
        <v>30.69982961933</v>
      </c>
      <c r="N1136">
        <v>49.901440819325103</v>
      </c>
      <c r="O1136">
        <v>49.418204324500401</v>
      </c>
      <c r="P1136">
        <v>-0.143258116588621</v>
      </c>
      <c r="Q1136">
        <v>7.7582277705310995E-2</v>
      </c>
      <c r="R1136">
        <v>0.99486101222311396</v>
      </c>
      <c r="S1136" t="s">
        <v>4968</v>
      </c>
      <c r="T1136" t="s">
        <v>7662</v>
      </c>
      <c r="U1136" t="s">
        <v>7662</v>
      </c>
      <c r="V1136" t="s">
        <v>7662</v>
      </c>
      <c r="W1136">
        <v>8</v>
      </c>
      <c r="X1136" t="s">
        <v>8798</v>
      </c>
      <c r="Y1136">
        <v>0.37900870812502702</v>
      </c>
      <c r="Z1136" t="str">
        <f>HYPERLINK("Melting_Curves/meltCurve_sp_P52294_IMA1_HUMAN_.pdf", "Melting_Curves/meltCurve_sp_P52294_IMA1_HUMAN_.pdf")</f>
        <v>Melting_Curves/meltCurve_sp_P52294_IMA1_HUMAN_.pdf</v>
      </c>
      <c r="AA1136" t="s">
        <v>12609</v>
      </c>
      <c r="AB1136" t="s">
        <v>16377</v>
      </c>
    </row>
    <row r="1137" spans="1:28" x14ac:dyDescent="0.25">
      <c r="A1137" t="s">
        <v>1141</v>
      </c>
      <c r="B1137">
        <v>0.98876768158843997</v>
      </c>
      <c r="C1137">
        <v>1.0563547582341</v>
      </c>
      <c r="D1137">
        <v>0.93343362279148401</v>
      </c>
      <c r="E1137">
        <v>0.84183793429562004</v>
      </c>
      <c r="F1137">
        <v>0.48883520311198397</v>
      </c>
      <c r="G1137">
        <v>0.20490959505179401</v>
      </c>
      <c r="H1137">
        <v>0.10033063638484099</v>
      </c>
      <c r="I1137">
        <v>8.7388690754715503E-2</v>
      </c>
      <c r="J1137">
        <v>8.2779369118590504E-2</v>
      </c>
      <c r="K1137">
        <v>7.5610097671699197E-2</v>
      </c>
      <c r="L1137">
        <v>1380.0810955475999</v>
      </c>
      <c r="M1137">
        <v>26.187764075375899</v>
      </c>
      <c r="N1137">
        <v>53.045603559893898</v>
      </c>
      <c r="O1137">
        <v>52.395045515751903</v>
      </c>
      <c r="P1137">
        <v>-0.115140734429365</v>
      </c>
      <c r="Q1137">
        <v>7.8541239282973394E-2</v>
      </c>
      <c r="R1137">
        <v>0.99585240459360902</v>
      </c>
      <c r="S1137" t="s">
        <v>4969</v>
      </c>
      <c r="T1137" t="s">
        <v>7662</v>
      </c>
      <c r="U1137" t="s">
        <v>7662</v>
      </c>
      <c r="V1137" t="s">
        <v>7662</v>
      </c>
      <c r="W1137">
        <v>16</v>
      </c>
      <c r="X1137" t="s">
        <v>8799</v>
      </c>
      <c r="Y1137">
        <v>0.47635762516411551</v>
      </c>
      <c r="Z1137" t="str">
        <f>HYPERLINK("Melting_Curves/meltCurve_sp_P52306_GDS1_HUMAN_.pdf", "Melting_Curves/meltCurve_sp_P52306_GDS1_HUMAN_.pdf")</f>
        <v>Melting_Curves/meltCurve_sp_P52306_GDS1_HUMAN_.pdf</v>
      </c>
      <c r="AA1137" t="s">
        <v>12610</v>
      </c>
      <c r="AB1137" t="s">
        <v>16378</v>
      </c>
    </row>
    <row r="1138" spans="1:28" x14ac:dyDescent="0.25">
      <c r="A1138" t="s">
        <v>1142</v>
      </c>
      <c r="B1138">
        <v>0.98876768158843997</v>
      </c>
      <c r="C1138">
        <v>0.93943693657596195</v>
      </c>
      <c r="D1138">
        <v>0.90337780356360697</v>
      </c>
      <c r="E1138">
        <v>0.60872574113136801</v>
      </c>
      <c r="F1138">
        <v>0.63598940188142605</v>
      </c>
      <c r="G1138">
        <v>0.41342783437319802</v>
      </c>
      <c r="H1138">
        <v>0.265674992197171</v>
      </c>
      <c r="I1138">
        <v>0.215453978872861</v>
      </c>
      <c r="J1138">
        <v>0.20995549433765301</v>
      </c>
      <c r="K1138">
        <v>0.18352635028368799</v>
      </c>
      <c r="L1138">
        <v>579.68012507232402</v>
      </c>
      <c r="M1138">
        <v>10.901407500203</v>
      </c>
      <c r="N1138">
        <v>54.469281878727202</v>
      </c>
      <c r="O1138">
        <v>51.479344364344001</v>
      </c>
      <c r="P1138">
        <v>-4.69155818818408E-2</v>
      </c>
      <c r="Q1138">
        <v>0.114118021865388</v>
      </c>
      <c r="R1138">
        <v>0.98159424721767596</v>
      </c>
      <c r="S1138" t="s">
        <v>4970</v>
      </c>
      <c r="T1138" t="s">
        <v>7662</v>
      </c>
      <c r="U1138" t="s">
        <v>7662</v>
      </c>
      <c r="V1138" t="s">
        <v>7662</v>
      </c>
      <c r="W1138">
        <v>4</v>
      </c>
      <c r="X1138" t="s">
        <v>8800</v>
      </c>
      <c r="Y1138">
        <v>0.53060986285160361</v>
      </c>
      <c r="Z1138" t="str">
        <f>HYPERLINK("Melting_Curves/meltCurve_sp_P52594_2_AGFG1_HUMAN_.pdf", "Melting_Curves/meltCurve_sp_P52594_2_AGFG1_HUMAN_.pdf")</f>
        <v>Melting_Curves/meltCurve_sp_P52594_2_AGFG1_HUMAN_.pdf</v>
      </c>
      <c r="AA1138" t="s">
        <v>12611</v>
      </c>
      <c r="AB1138" t="s">
        <v>16379</v>
      </c>
    </row>
    <row r="1139" spans="1:28" x14ac:dyDescent="0.25">
      <c r="A1139" t="s">
        <v>1143</v>
      </c>
      <c r="B1139">
        <v>0.98876768158843997</v>
      </c>
      <c r="C1139">
        <v>0.98742895581448797</v>
      </c>
      <c r="D1139">
        <v>0.88987017600585705</v>
      </c>
      <c r="E1139">
        <v>0.60361175657791599</v>
      </c>
      <c r="F1139">
        <v>0.55171811351062305</v>
      </c>
      <c r="G1139">
        <v>0.26855951520569399</v>
      </c>
      <c r="H1139">
        <v>0.16534803897779801</v>
      </c>
      <c r="I1139">
        <v>0.15573126840768001</v>
      </c>
      <c r="J1139">
        <v>0.20600163393458301</v>
      </c>
      <c r="K1139">
        <v>0.20761780084027801</v>
      </c>
      <c r="L1139">
        <v>837.02348868325601</v>
      </c>
      <c r="M1139">
        <v>16.336858718880201</v>
      </c>
      <c r="N1139">
        <v>52.454270315118798</v>
      </c>
      <c r="O1139">
        <v>50.486045481515703</v>
      </c>
      <c r="P1139">
        <v>-6.8124893932065902E-2</v>
      </c>
      <c r="Q1139">
        <v>0.157951235255404</v>
      </c>
      <c r="R1139">
        <v>0.98377599680365402</v>
      </c>
      <c r="S1139" t="s">
        <v>4971</v>
      </c>
      <c r="T1139" t="s">
        <v>7662</v>
      </c>
      <c r="U1139" t="s">
        <v>7662</v>
      </c>
      <c r="V1139" t="s">
        <v>7662</v>
      </c>
      <c r="W1139">
        <v>12</v>
      </c>
      <c r="X1139" t="s">
        <v>8801</v>
      </c>
      <c r="Y1139">
        <v>0.49005912655433831</v>
      </c>
      <c r="Z1139" t="str">
        <f>HYPERLINK("Melting_Curves/meltCurve_sp_P52597_HNRPF_HUMAN_.pdf", "Melting_Curves/meltCurve_sp_P52597_HNRPF_HUMAN_.pdf")</f>
        <v>Melting_Curves/meltCurve_sp_P52597_HNRPF_HUMAN_.pdf</v>
      </c>
      <c r="AA1139" t="s">
        <v>12612</v>
      </c>
      <c r="AB1139" t="s">
        <v>16380</v>
      </c>
    </row>
    <row r="1140" spans="1:28" x14ac:dyDescent="0.25">
      <c r="A1140" t="s">
        <v>1144</v>
      </c>
      <c r="B1140">
        <v>0.98876768158843997</v>
      </c>
      <c r="C1140">
        <v>0.85117617187563699</v>
      </c>
      <c r="D1140">
        <v>0.91966156073889804</v>
      </c>
      <c r="E1140">
        <v>0.58105536400090896</v>
      </c>
      <c r="F1140">
        <v>0.21981485939390599</v>
      </c>
      <c r="G1140">
        <v>0.124858213866337</v>
      </c>
      <c r="H1140">
        <v>9.2005133902906405E-2</v>
      </c>
      <c r="I1140">
        <v>6.7909539782369605E-2</v>
      </c>
      <c r="J1140">
        <v>5.6298229552627997E-2</v>
      </c>
      <c r="K1140">
        <v>4.32707265926843E-2</v>
      </c>
      <c r="L1140">
        <v>1222.6491664907701</v>
      </c>
      <c r="M1140">
        <v>24.3551534362174</v>
      </c>
      <c r="N1140">
        <v>50.459283596369403</v>
      </c>
      <c r="O1140">
        <v>49.866071366962899</v>
      </c>
      <c r="P1140">
        <v>-0.11494467522804599</v>
      </c>
      <c r="Q1140">
        <v>5.86379961048537E-2</v>
      </c>
      <c r="R1140">
        <v>0.98448463463397096</v>
      </c>
      <c r="S1140" t="s">
        <v>4972</v>
      </c>
      <c r="T1140" t="s">
        <v>7662</v>
      </c>
      <c r="U1140" t="s">
        <v>7662</v>
      </c>
      <c r="V1140" t="s">
        <v>7662</v>
      </c>
      <c r="W1140">
        <v>10</v>
      </c>
      <c r="X1140" t="s">
        <v>8802</v>
      </c>
      <c r="Y1140">
        <v>0.38761078017054201</v>
      </c>
      <c r="Z1140" t="str">
        <f>HYPERLINK("Melting_Curves/meltCurve_sp_P52630_4_STAT2_HUMAN_.pdf", "Melting_Curves/meltCurve_sp_P52630_4_STAT2_HUMAN_.pdf")</f>
        <v>Melting_Curves/meltCurve_sp_P52630_4_STAT2_HUMAN_.pdf</v>
      </c>
      <c r="AA1140" t="s">
        <v>12613</v>
      </c>
      <c r="AB1140" t="s">
        <v>16381</v>
      </c>
    </row>
    <row r="1141" spans="1:28" x14ac:dyDescent="0.25">
      <c r="A1141" t="s">
        <v>1145</v>
      </c>
      <c r="B1141">
        <v>0.98876768158843997</v>
      </c>
      <c r="C1141">
        <v>0.99784420118755901</v>
      </c>
      <c r="D1141">
        <v>0.94301816244219006</v>
      </c>
      <c r="E1141">
        <v>0.788436337989467</v>
      </c>
      <c r="F1141">
        <v>0.17306945083960401</v>
      </c>
      <c r="G1141">
        <v>0.106220969337816</v>
      </c>
      <c r="H1141">
        <v>6.3446193813252505E-2</v>
      </c>
      <c r="I1141">
        <v>5.6771209262145503E-2</v>
      </c>
      <c r="J1141">
        <v>6.8111447184475898E-2</v>
      </c>
      <c r="K1141">
        <v>5.6847263233898798E-2</v>
      </c>
      <c r="L1141">
        <v>2864.7819254855699</v>
      </c>
      <c r="M1141">
        <v>56.085639816317801</v>
      </c>
      <c r="N1141">
        <v>51.214499864517101</v>
      </c>
      <c r="O1141">
        <v>51.013891085186302</v>
      </c>
      <c r="P1141">
        <v>-0.255862641014583</v>
      </c>
      <c r="Q1141">
        <v>6.9099190270116906E-2</v>
      </c>
      <c r="R1141">
        <v>0.99729821605003899</v>
      </c>
      <c r="S1141" t="s">
        <v>4973</v>
      </c>
      <c r="T1141" t="s">
        <v>7662</v>
      </c>
      <c r="U1141" t="s">
        <v>7662</v>
      </c>
      <c r="V1141" t="s">
        <v>7662</v>
      </c>
      <c r="W1141">
        <v>18</v>
      </c>
      <c r="X1141" t="s">
        <v>8803</v>
      </c>
      <c r="Y1141">
        <v>0.41453675684404678</v>
      </c>
      <c r="Z1141" t="str">
        <f>HYPERLINK("Melting_Curves/meltCurve_sp_P52735_3_VAV2_HUMAN_.pdf", "Melting_Curves/meltCurve_sp_P52735_3_VAV2_HUMAN_.pdf")</f>
        <v>Melting_Curves/meltCurve_sp_P52735_3_VAV2_HUMAN_.pdf</v>
      </c>
      <c r="AA1141" t="s">
        <v>12614</v>
      </c>
      <c r="AB1141" t="s">
        <v>16382</v>
      </c>
    </row>
    <row r="1142" spans="1:28" x14ac:dyDescent="0.25">
      <c r="A1142" t="s">
        <v>1146</v>
      </c>
      <c r="B1142">
        <v>0.98876768158843997</v>
      </c>
      <c r="C1142">
        <v>0.98513746690845205</v>
      </c>
      <c r="D1142">
        <v>0.85351071041690196</v>
      </c>
      <c r="E1142">
        <v>0.75619353458462701</v>
      </c>
      <c r="F1142">
        <v>0.74473160191312804</v>
      </c>
      <c r="G1142">
        <v>0.59774645107998403</v>
      </c>
      <c r="H1142">
        <v>0.46050444585178701</v>
      </c>
      <c r="I1142">
        <v>0.48568245904222501</v>
      </c>
      <c r="J1142">
        <v>0.55791637962636798</v>
      </c>
      <c r="K1142">
        <v>0.65133176512730695</v>
      </c>
      <c r="L1142">
        <v>726.57479573119497</v>
      </c>
      <c r="M1142">
        <v>14.5414103407682</v>
      </c>
      <c r="O1142">
        <v>49.049469559518002</v>
      </c>
      <c r="P1142">
        <v>-3.4645313037113497E-2</v>
      </c>
      <c r="Q1142">
        <v>0.53260639852703096</v>
      </c>
      <c r="R1142">
        <v>0.89335677587504103</v>
      </c>
      <c r="S1142" t="s">
        <v>4974</v>
      </c>
      <c r="T1142" t="s">
        <v>7662</v>
      </c>
      <c r="U1142" t="s">
        <v>7662</v>
      </c>
      <c r="V1142" t="s">
        <v>7662</v>
      </c>
      <c r="W1142">
        <v>9</v>
      </c>
      <c r="X1142" t="s">
        <v>8804</v>
      </c>
      <c r="Y1142">
        <v>0.69965854418423079</v>
      </c>
      <c r="Z1142" t="str">
        <f>HYPERLINK("Melting_Curves/meltCurve_sp_P52758_UK114_HUMAN_.pdf", "Melting_Curves/meltCurve_sp_P52758_UK114_HUMAN_.pdf")</f>
        <v>Melting_Curves/meltCurve_sp_P52758_UK114_HUMAN_.pdf</v>
      </c>
      <c r="AA1142" t="s">
        <v>12615</v>
      </c>
      <c r="AB1142" t="s">
        <v>16383</v>
      </c>
    </row>
    <row r="1143" spans="1:28" x14ac:dyDescent="0.25">
      <c r="A1143" t="s">
        <v>1147</v>
      </c>
      <c r="B1143">
        <v>0.98876768158843997</v>
      </c>
      <c r="C1143">
        <v>1.08325530085705</v>
      </c>
      <c r="D1143">
        <v>0.93829707709398102</v>
      </c>
      <c r="E1143">
        <v>0.81756731915213099</v>
      </c>
      <c r="F1143">
        <v>0.45629419672807298</v>
      </c>
      <c r="G1143">
        <v>0.17799311447723301</v>
      </c>
      <c r="H1143">
        <v>8.9251706468594205E-2</v>
      </c>
      <c r="I1143">
        <v>6.9388785261413705E-2</v>
      </c>
      <c r="J1143">
        <v>9.3166312820607194E-2</v>
      </c>
      <c r="K1143">
        <v>7.45545341965793E-2</v>
      </c>
      <c r="L1143">
        <v>1437.5040046239901</v>
      </c>
      <c r="M1143">
        <v>27.4372908071878</v>
      </c>
      <c r="N1143">
        <v>52.709852355096501</v>
      </c>
      <c r="O1143">
        <v>52.116403706973003</v>
      </c>
      <c r="P1143">
        <v>-0.12159156407223699</v>
      </c>
      <c r="Q1143">
        <v>7.6168877971712304E-2</v>
      </c>
      <c r="R1143">
        <v>0.99403705347228699</v>
      </c>
      <c r="S1143" t="s">
        <v>4975</v>
      </c>
      <c r="T1143" t="s">
        <v>7662</v>
      </c>
      <c r="U1143" t="s">
        <v>7662</v>
      </c>
      <c r="V1143" t="s">
        <v>7662</v>
      </c>
      <c r="W1143">
        <v>7</v>
      </c>
      <c r="X1143" t="s">
        <v>8805</v>
      </c>
      <c r="Y1143">
        <v>0.46485819178933141</v>
      </c>
      <c r="Z1143" t="str">
        <f>HYPERLINK("Melting_Curves/meltCurve_sp_P52788_SPSY_HUMAN_.pdf", "Melting_Curves/meltCurve_sp_P52788_SPSY_HUMAN_.pdf")</f>
        <v>Melting_Curves/meltCurve_sp_P52788_SPSY_HUMAN_.pdf</v>
      </c>
      <c r="AA1143" t="s">
        <v>12616</v>
      </c>
      <c r="AB1143" t="s">
        <v>16384</v>
      </c>
    </row>
    <row r="1144" spans="1:28" x14ac:dyDescent="0.25">
      <c r="A1144" t="s">
        <v>1148</v>
      </c>
      <c r="B1144">
        <v>0.98876768158843997</v>
      </c>
      <c r="C1144">
        <v>1.08652184605605</v>
      </c>
      <c r="D1144">
        <v>0.90049425529939398</v>
      </c>
      <c r="E1144">
        <v>0.71707225334923796</v>
      </c>
      <c r="F1144">
        <v>0.16134850251730901</v>
      </c>
      <c r="G1144">
        <v>0.10711117618343199</v>
      </c>
      <c r="H1144">
        <v>4.6749146072002701E-2</v>
      </c>
      <c r="I1144">
        <v>4.2146528188512798E-2</v>
      </c>
      <c r="J1144">
        <v>5.3061698222590097E-2</v>
      </c>
      <c r="K1144">
        <v>2.27715972942917E-2</v>
      </c>
      <c r="L1144">
        <v>2384.8361171992001</v>
      </c>
      <c r="M1144">
        <v>46.885928514180002</v>
      </c>
      <c r="N1144">
        <v>50.981518483748197</v>
      </c>
      <c r="O1144">
        <v>50.7723718049116</v>
      </c>
      <c r="P1144">
        <v>-0.21910039308252099</v>
      </c>
      <c r="Q1144">
        <v>5.09532610910075E-2</v>
      </c>
      <c r="R1144">
        <v>0.98906597914210903</v>
      </c>
      <c r="S1144" t="s">
        <v>4976</v>
      </c>
      <c r="T1144" t="s">
        <v>7662</v>
      </c>
      <c r="U1144" t="s">
        <v>7662</v>
      </c>
      <c r="V1144" t="s">
        <v>7662</v>
      </c>
      <c r="W1144">
        <v>6</v>
      </c>
      <c r="X1144" t="s">
        <v>8806</v>
      </c>
      <c r="Y1144">
        <v>0.39707846680732611</v>
      </c>
      <c r="Z1144" t="str">
        <f>HYPERLINK("Melting_Curves/meltCurve_sp_P52790_HXK3_HUMAN_.pdf", "Melting_Curves/meltCurve_sp_P52790_HXK3_HUMAN_.pdf")</f>
        <v>Melting_Curves/meltCurve_sp_P52790_HXK3_HUMAN_.pdf</v>
      </c>
      <c r="AA1144" t="s">
        <v>12617</v>
      </c>
      <c r="AB1144" t="s">
        <v>16385</v>
      </c>
    </row>
    <row r="1145" spans="1:28" x14ac:dyDescent="0.25">
      <c r="A1145" t="s">
        <v>1149</v>
      </c>
      <c r="B1145">
        <v>0.98876768158843997</v>
      </c>
      <c r="C1145">
        <v>1.16409456803953</v>
      </c>
      <c r="D1145">
        <v>0.83224545863640498</v>
      </c>
      <c r="E1145">
        <v>0.52346915502133495</v>
      </c>
      <c r="F1145">
        <v>0.61178168437703195</v>
      </c>
      <c r="G1145">
        <v>0.371128932810045</v>
      </c>
      <c r="H1145">
        <v>0.348017885937142</v>
      </c>
      <c r="I1145">
        <v>0.44303831485712403</v>
      </c>
      <c r="J1145">
        <v>0.62338010944626998</v>
      </c>
      <c r="K1145">
        <v>0.57284641284746496</v>
      </c>
      <c r="L1145">
        <v>11531.5603008653</v>
      </c>
      <c r="M1145">
        <v>250</v>
      </c>
      <c r="N1145">
        <v>47.321397391296898</v>
      </c>
      <c r="O1145">
        <v>46.123290870825898</v>
      </c>
      <c r="P1145">
        <v>-0.67875872178140695</v>
      </c>
      <c r="Q1145">
        <v>0.49909464093410799</v>
      </c>
      <c r="R1145">
        <v>0.84020180224308505</v>
      </c>
      <c r="S1145" t="s">
        <v>4977</v>
      </c>
      <c r="T1145" t="s">
        <v>7662</v>
      </c>
      <c r="U1145" t="s">
        <v>7662</v>
      </c>
      <c r="V1145" t="s">
        <v>7662</v>
      </c>
      <c r="W1145">
        <v>4</v>
      </c>
      <c r="X1145" t="s">
        <v>8807</v>
      </c>
      <c r="Y1145">
        <v>0.60142409129952845</v>
      </c>
      <c r="Z1145" t="str">
        <f>HYPERLINK("Melting_Curves/meltCurve_sp_P52815_RM12_HUMAN_.pdf", "Melting_Curves/meltCurve_sp_P52815_RM12_HUMAN_.pdf")</f>
        <v>Melting_Curves/meltCurve_sp_P52815_RM12_HUMAN_.pdf</v>
      </c>
      <c r="AA1145" t="s">
        <v>12618</v>
      </c>
      <c r="AB1145" t="s">
        <v>16386</v>
      </c>
    </row>
    <row r="1146" spans="1:28" x14ac:dyDescent="0.25">
      <c r="A1146" t="s">
        <v>1150</v>
      </c>
      <c r="B1146">
        <v>0.98876768158843997</v>
      </c>
      <c r="C1146">
        <v>1.0271875666939001</v>
      </c>
      <c r="D1146">
        <v>0.91914982273667301</v>
      </c>
      <c r="E1146">
        <v>0.86632928030270695</v>
      </c>
      <c r="F1146">
        <v>0.84320374989977998</v>
      </c>
      <c r="G1146">
        <v>0.59870484437094396</v>
      </c>
      <c r="H1146">
        <v>0.329689160421342</v>
      </c>
      <c r="I1146">
        <v>9.06110369237626E-2</v>
      </c>
      <c r="J1146">
        <v>5.98179591307412E-2</v>
      </c>
      <c r="K1146">
        <v>5.0407256251969401E-2</v>
      </c>
      <c r="L1146">
        <v>1024.7265056610599</v>
      </c>
      <c r="M1146">
        <v>17.688800303556999</v>
      </c>
      <c r="N1146">
        <v>57.930809669822899</v>
      </c>
      <c r="O1146">
        <v>57.205629036581001</v>
      </c>
      <c r="P1146">
        <v>-7.7307668383835806E-2</v>
      </c>
      <c r="Q1146">
        <v>0</v>
      </c>
      <c r="R1146">
        <v>0.98711627562918103</v>
      </c>
      <c r="S1146" t="s">
        <v>4978</v>
      </c>
      <c r="T1146" t="s">
        <v>7662</v>
      </c>
      <c r="U1146" t="s">
        <v>7662</v>
      </c>
      <c r="V1146" t="s">
        <v>7662</v>
      </c>
      <c r="W1146">
        <v>26</v>
      </c>
      <c r="X1146" t="s">
        <v>8808</v>
      </c>
      <c r="Y1146">
        <v>0.61032391887683202</v>
      </c>
      <c r="Z1146" t="str">
        <f>HYPERLINK("Melting_Curves/meltCurve_sp_P52888_THOP1_HUMAN_.pdf", "Melting_Curves/meltCurve_sp_P52888_THOP1_HUMAN_.pdf")</f>
        <v>Melting_Curves/meltCurve_sp_P52888_THOP1_HUMAN_.pdf</v>
      </c>
      <c r="AA1146" t="s">
        <v>12619</v>
      </c>
      <c r="AB1146" t="s">
        <v>16387</v>
      </c>
    </row>
    <row r="1147" spans="1:28" x14ac:dyDescent="0.25">
      <c r="A1147" t="s">
        <v>1151</v>
      </c>
      <c r="B1147">
        <v>0.98876768158843997</v>
      </c>
      <c r="C1147">
        <v>0.90256981177870899</v>
      </c>
      <c r="D1147">
        <v>0.82882948945016099</v>
      </c>
      <c r="E1147">
        <v>0.68178099209642296</v>
      </c>
      <c r="F1147">
        <v>0.60854140976734605</v>
      </c>
      <c r="G1147">
        <v>0.39633823330685902</v>
      </c>
      <c r="H1147">
        <v>0.21960561024231401</v>
      </c>
      <c r="I1147">
        <v>0.122407150834593</v>
      </c>
      <c r="J1147">
        <v>9.0652005053209403E-2</v>
      </c>
      <c r="K1147">
        <v>0.10353068272423301</v>
      </c>
      <c r="L1147">
        <v>563.67364983103596</v>
      </c>
      <c r="M1147">
        <v>10.4221216096782</v>
      </c>
      <c r="N1147">
        <v>54.084347581166497</v>
      </c>
      <c r="O1147">
        <v>52.206872427843798</v>
      </c>
      <c r="P1147">
        <v>-4.99285245363651E-2</v>
      </c>
      <c r="Q1147">
        <v>0</v>
      </c>
      <c r="R1147">
        <v>0.99109000115272605</v>
      </c>
      <c r="S1147" t="s">
        <v>4979</v>
      </c>
      <c r="T1147" t="s">
        <v>7662</v>
      </c>
      <c r="U1147" t="s">
        <v>7662</v>
      </c>
      <c r="V1147" t="s">
        <v>7662</v>
      </c>
      <c r="W1147">
        <v>10</v>
      </c>
      <c r="X1147" t="s">
        <v>8809</v>
      </c>
      <c r="Y1147">
        <v>0.49850593625488482</v>
      </c>
      <c r="Z1147" t="str">
        <f>HYPERLINK("Melting_Curves/meltCurve_sp_P52907_CAZA1_HUMAN_.pdf", "Melting_Curves/meltCurve_sp_P52907_CAZA1_HUMAN_.pdf")</f>
        <v>Melting_Curves/meltCurve_sp_P52907_CAZA1_HUMAN_.pdf</v>
      </c>
      <c r="AA1147" t="s">
        <v>12620</v>
      </c>
      <c r="AB1147" t="s">
        <v>16388</v>
      </c>
    </row>
    <row r="1148" spans="1:28" x14ac:dyDescent="0.25">
      <c r="A1148" t="s">
        <v>1152</v>
      </c>
      <c r="B1148">
        <v>0.98876768158843997</v>
      </c>
      <c r="C1148">
        <v>1.1925121731152599</v>
      </c>
      <c r="D1148">
        <v>0.85586536377586997</v>
      </c>
      <c r="E1148">
        <v>0.73679939159718799</v>
      </c>
      <c r="F1148">
        <v>0.97523510663332402</v>
      </c>
      <c r="G1148">
        <v>0.68663156045942597</v>
      </c>
      <c r="H1148">
        <v>0.53048386197202502</v>
      </c>
      <c r="I1148">
        <v>0.69980938520370495</v>
      </c>
      <c r="J1148">
        <v>0.78018503593240096</v>
      </c>
      <c r="K1148">
        <v>0.99319190377848798</v>
      </c>
      <c r="L1148">
        <v>11475.219586183201</v>
      </c>
      <c r="M1148">
        <v>250</v>
      </c>
      <c r="O1148">
        <v>45.8979412347935</v>
      </c>
      <c r="P1148">
        <v>-0.31079509785756099</v>
      </c>
      <c r="Q1148">
        <v>0.77176231926949002</v>
      </c>
      <c r="R1148">
        <v>0.41557770906040697</v>
      </c>
      <c r="S1148" t="s">
        <v>4980</v>
      </c>
      <c r="T1148" t="s">
        <v>7662</v>
      </c>
      <c r="U1148" t="s">
        <v>7662</v>
      </c>
      <c r="V1148" t="s">
        <v>7662</v>
      </c>
      <c r="W1148">
        <v>5</v>
      </c>
      <c r="X1148" t="s">
        <v>8810</v>
      </c>
      <c r="Y1148">
        <v>0.81667413128634125</v>
      </c>
      <c r="Z1148" t="str">
        <f>HYPERLINK("Melting_Curves/meltCurve_sp_P52943_CRIP2_HUMAN_.pdf", "Melting_Curves/meltCurve_sp_P52943_CRIP2_HUMAN_.pdf")</f>
        <v>Melting_Curves/meltCurve_sp_P52943_CRIP2_HUMAN_.pdf</v>
      </c>
      <c r="AA1148" t="s">
        <v>12621</v>
      </c>
      <c r="AB1148" t="s">
        <v>16389</v>
      </c>
    </row>
    <row r="1149" spans="1:28" x14ac:dyDescent="0.25">
      <c r="A1149" t="s">
        <v>1153</v>
      </c>
      <c r="B1149">
        <v>0.98876768158843997</v>
      </c>
      <c r="C1149">
        <v>1.1169916916851499</v>
      </c>
      <c r="D1149">
        <v>0.86407897532977895</v>
      </c>
      <c r="E1149">
        <v>0.687719082590732</v>
      </c>
      <c r="F1149">
        <v>0.20540946780377101</v>
      </c>
      <c r="G1149">
        <v>0.112552570094216</v>
      </c>
      <c r="H1149">
        <v>8.6600914828799003E-2</v>
      </c>
      <c r="I1149">
        <v>4.4847579338714902E-2</v>
      </c>
      <c r="J1149">
        <v>0.27002166964957902</v>
      </c>
      <c r="K1149">
        <v>5.5595686996885101E-2</v>
      </c>
      <c r="L1149">
        <v>2151.22392359278</v>
      </c>
      <c r="M1149">
        <v>42.491068792396703</v>
      </c>
      <c r="N1149">
        <v>50.924521112889003</v>
      </c>
      <c r="O1149">
        <v>50.515922454235202</v>
      </c>
      <c r="P1149">
        <v>-0.187217583398606</v>
      </c>
      <c r="Q1149">
        <v>0.109699653041419</v>
      </c>
      <c r="R1149">
        <v>0.960921661471833</v>
      </c>
      <c r="S1149" t="s">
        <v>4981</v>
      </c>
      <c r="T1149" t="s">
        <v>7662</v>
      </c>
      <c r="U1149" t="s">
        <v>7662</v>
      </c>
      <c r="V1149" t="s">
        <v>7662</v>
      </c>
      <c r="W1149">
        <v>3</v>
      </c>
      <c r="X1149" t="s">
        <v>8811</v>
      </c>
      <c r="Y1149">
        <v>0.42785240538230851</v>
      </c>
      <c r="Z1149" t="str">
        <f>HYPERLINK("Melting_Curves/meltCurve_sp_P53004_BIEA_HUMAN_.pdf", "Melting_Curves/meltCurve_sp_P53004_BIEA_HUMAN_.pdf")</f>
        <v>Melting_Curves/meltCurve_sp_P53004_BIEA_HUMAN_.pdf</v>
      </c>
      <c r="AA1149" t="s">
        <v>12622</v>
      </c>
      <c r="AB1149" t="s">
        <v>16390</v>
      </c>
    </row>
    <row r="1150" spans="1:28" x14ac:dyDescent="0.25">
      <c r="A1150" t="s">
        <v>1154</v>
      </c>
      <c r="B1150">
        <v>0.98876768158843997</v>
      </c>
      <c r="C1150">
        <v>1.0151255135849</v>
      </c>
      <c r="D1150">
        <v>0.83701855391851598</v>
      </c>
      <c r="E1150">
        <v>0.51058280040056603</v>
      </c>
      <c r="F1150">
        <v>0.153837828257331</v>
      </c>
      <c r="G1150">
        <v>0.102470887065301</v>
      </c>
      <c r="H1150">
        <v>5.1104673363584201E-2</v>
      </c>
      <c r="I1150">
        <v>4.2155210822995698E-2</v>
      </c>
      <c r="J1150">
        <v>3.54108483278254E-2</v>
      </c>
      <c r="K1150">
        <v>3.3294167759479701E-2</v>
      </c>
      <c r="L1150">
        <v>1212.9987276326599</v>
      </c>
      <c r="M1150">
        <v>24.4547317521764</v>
      </c>
      <c r="N1150">
        <v>49.757945357662301</v>
      </c>
      <c r="O1150">
        <v>49.273686878779301</v>
      </c>
      <c r="P1150">
        <v>-0.11949500576324</v>
      </c>
      <c r="Q1150">
        <v>3.6935170286407401E-2</v>
      </c>
      <c r="R1150">
        <v>0.99521671965270198</v>
      </c>
      <c r="S1150" t="s">
        <v>4982</v>
      </c>
      <c r="T1150" t="s">
        <v>7662</v>
      </c>
      <c r="U1150" t="s">
        <v>7662</v>
      </c>
      <c r="V1150" t="s">
        <v>7662</v>
      </c>
      <c r="W1150">
        <v>2</v>
      </c>
      <c r="X1150" t="s">
        <v>8812</v>
      </c>
      <c r="Y1150">
        <v>0.35414061739543973</v>
      </c>
      <c r="Z1150" t="str">
        <f>HYPERLINK("Melting_Curves/meltCurve_sp_P53367_ARFP1_HUMAN_.pdf", "Melting_Curves/meltCurve_sp_P53367_ARFP1_HUMAN_.pdf")</f>
        <v>Melting_Curves/meltCurve_sp_P53367_ARFP1_HUMAN_.pdf</v>
      </c>
      <c r="AA1150" t="s">
        <v>12623</v>
      </c>
      <c r="AB1150" t="s">
        <v>16391</v>
      </c>
    </row>
    <row r="1151" spans="1:28" x14ac:dyDescent="0.25">
      <c r="A1151" t="s">
        <v>1155</v>
      </c>
      <c r="B1151">
        <v>0.98876768158843997</v>
      </c>
      <c r="C1151">
        <v>1.0560830503010701</v>
      </c>
      <c r="D1151">
        <v>0.897178924043044</v>
      </c>
      <c r="E1151">
        <v>0.80923981340863904</v>
      </c>
      <c r="F1151">
        <v>0.75123650153044697</v>
      </c>
      <c r="G1151">
        <v>0.41536295608602902</v>
      </c>
      <c r="H1151">
        <v>0.18635980567374599</v>
      </c>
      <c r="I1151">
        <v>8.9347637603960403E-2</v>
      </c>
      <c r="J1151">
        <v>7.0880695417770201E-2</v>
      </c>
      <c r="K1151">
        <v>5.9324701742841997E-2</v>
      </c>
      <c r="L1151">
        <v>879.78729904377303</v>
      </c>
      <c r="M1151">
        <v>15.780905978957</v>
      </c>
      <c r="N1151">
        <v>55.750115404404902</v>
      </c>
      <c r="O1151">
        <v>54.877919788953903</v>
      </c>
      <c r="P1151">
        <v>-7.1896917870041904E-2</v>
      </c>
      <c r="Q1151">
        <v>0</v>
      </c>
      <c r="R1151">
        <v>0.98915439236744396</v>
      </c>
      <c r="S1151" t="s">
        <v>4983</v>
      </c>
      <c r="T1151" t="s">
        <v>7662</v>
      </c>
      <c r="U1151" t="s">
        <v>7662</v>
      </c>
      <c r="V1151" t="s">
        <v>7662</v>
      </c>
      <c r="W1151">
        <v>11</v>
      </c>
      <c r="X1151" t="s">
        <v>8813</v>
      </c>
      <c r="Y1151">
        <v>0.54230586972244388</v>
      </c>
      <c r="Z1151" t="str">
        <f>HYPERLINK("Melting_Curves/meltCurve_sp_P53370_NUDT6_HUMAN_.pdf", "Melting_Curves/meltCurve_sp_P53370_NUDT6_HUMAN_.pdf")</f>
        <v>Melting_Curves/meltCurve_sp_P53370_NUDT6_HUMAN_.pdf</v>
      </c>
      <c r="AA1151" t="s">
        <v>12624</v>
      </c>
      <c r="AB1151" t="s">
        <v>16392</v>
      </c>
    </row>
    <row r="1152" spans="1:28" x14ac:dyDescent="0.25">
      <c r="A1152" t="s">
        <v>1156</v>
      </c>
      <c r="B1152">
        <v>0.98876768158843997</v>
      </c>
      <c r="C1152">
        <v>1.07299316856038</v>
      </c>
      <c r="D1152">
        <v>0.80694384888144</v>
      </c>
      <c r="E1152">
        <v>0.54215755899978502</v>
      </c>
      <c r="F1152">
        <v>0.36110135166673302</v>
      </c>
      <c r="G1152">
        <v>0.133578475307807</v>
      </c>
      <c r="H1152">
        <v>5.8535402104487697E-2</v>
      </c>
      <c r="I1152">
        <v>4.1286896124886098E-2</v>
      </c>
      <c r="J1152">
        <v>6.4722958249963006E-2</v>
      </c>
      <c r="K1152">
        <v>2.9318131300262298E-2</v>
      </c>
      <c r="L1152">
        <v>892.94606481548794</v>
      </c>
      <c r="M1152">
        <v>17.6702845202967</v>
      </c>
      <c r="N1152">
        <v>50.700582855752799</v>
      </c>
      <c r="O1152">
        <v>49.899869032756897</v>
      </c>
      <c r="P1152">
        <v>-8.6032910064171894E-2</v>
      </c>
      <c r="Q1152">
        <v>2.82432406416348E-2</v>
      </c>
      <c r="R1152">
        <v>0.98855195246015903</v>
      </c>
      <c r="S1152" t="s">
        <v>4984</v>
      </c>
      <c r="T1152" t="s">
        <v>7662</v>
      </c>
      <c r="U1152" t="s">
        <v>7662</v>
      </c>
      <c r="V1152" t="s">
        <v>7662</v>
      </c>
      <c r="W1152">
        <v>5</v>
      </c>
      <c r="X1152" t="s">
        <v>8814</v>
      </c>
      <c r="Y1152">
        <v>0.38648517431072438</v>
      </c>
      <c r="Z1152" t="str">
        <f>HYPERLINK("Melting_Curves/meltCurve_sp_P53384_2_NUBP1_HUMAN_.pdf", "Melting_Curves/meltCurve_sp_P53384_2_NUBP1_HUMAN_.pdf")</f>
        <v>Melting_Curves/meltCurve_sp_P53384_2_NUBP1_HUMAN_.pdf</v>
      </c>
      <c r="AA1152" t="s">
        <v>12625</v>
      </c>
      <c r="AB1152" t="s">
        <v>16393</v>
      </c>
    </row>
    <row r="1153" spans="1:28" x14ac:dyDescent="0.25">
      <c r="A1153" t="s">
        <v>1157</v>
      </c>
      <c r="B1153">
        <v>0.98876768158843997</v>
      </c>
      <c r="C1153">
        <v>0.94060587988689703</v>
      </c>
      <c r="D1153">
        <v>1.08574868143015</v>
      </c>
      <c r="E1153">
        <v>0.80479872487233906</v>
      </c>
      <c r="F1153">
        <v>0.20271729809745001</v>
      </c>
      <c r="G1153">
        <v>0.115793478634296</v>
      </c>
      <c r="H1153">
        <v>7.1815192667457006E-2</v>
      </c>
      <c r="I1153">
        <v>5.8673018345431198E-2</v>
      </c>
      <c r="J1153">
        <v>8.2363992612706494E-2</v>
      </c>
      <c r="K1153">
        <v>7.0705396545486299E-2</v>
      </c>
      <c r="L1153">
        <v>2816.53660307667</v>
      </c>
      <c r="M1153">
        <v>55.006111870729903</v>
      </c>
      <c r="N1153">
        <v>51.364855547598303</v>
      </c>
      <c r="O1153">
        <v>51.136528182613503</v>
      </c>
      <c r="P1153">
        <v>-0.24764889481848901</v>
      </c>
      <c r="Q1153">
        <v>7.9091725899151602E-2</v>
      </c>
      <c r="R1153">
        <v>0.99282001274836795</v>
      </c>
      <c r="S1153" t="s">
        <v>4985</v>
      </c>
      <c r="T1153" t="s">
        <v>7662</v>
      </c>
      <c r="U1153" t="s">
        <v>7662</v>
      </c>
      <c r="V1153" t="s">
        <v>7662</v>
      </c>
      <c r="W1153">
        <v>30</v>
      </c>
      <c r="X1153" t="s">
        <v>8815</v>
      </c>
      <c r="Y1153">
        <v>0.42473923091909482</v>
      </c>
      <c r="Z1153" t="str">
        <f>HYPERLINK("Melting_Curves/meltCurve_sp_P53396_ACLY_HUMAN_.pdf", "Melting_Curves/meltCurve_sp_P53396_ACLY_HUMAN_.pdf")</f>
        <v>Melting_Curves/meltCurve_sp_P53396_ACLY_HUMAN_.pdf</v>
      </c>
      <c r="AA1153" t="s">
        <v>12626</v>
      </c>
      <c r="AB1153" t="s">
        <v>16394</v>
      </c>
    </row>
    <row r="1154" spans="1:28" x14ac:dyDescent="0.25">
      <c r="A1154" t="s">
        <v>1158</v>
      </c>
      <c r="B1154">
        <v>0.98876768158843997</v>
      </c>
      <c r="C1154">
        <v>0.90102357467604699</v>
      </c>
      <c r="D1154">
        <v>0.88113924705635405</v>
      </c>
      <c r="E1154">
        <v>0.61056442799524502</v>
      </c>
      <c r="F1154">
        <v>0.10399006261407601</v>
      </c>
      <c r="G1154">
        <v>5.9203441840357897E-2</v>
      </c>
      <c r="H1154">
        <v>3.2927256466304101E-2</v>
      </c>
      <c r="I1154">
        <v>2.6252827869803E-2</v>
      </c>
      <c r="J1154">
        <v>3.2002210790496102E-2</v>
      </c>
      <c r="K1154">
        <v>2.83716787280545E-2</v>
      </c>
      <c r="L1154">
        <v>2103.1152904451901</v>
      </c>
      <c r="M1154">
        <v>41.751318808978802</v>
      </c>
      <c r="N1154">
        <v>50.445565361564398</v>
      </c>
      <c r="O1154">
        <v>50.257280428740799</v>
      </c>
      <c r="P1154">
        <v>-0.20158805158614801</v>
      </c>
      <c r="Q1154">
        <v>2.9372029669965299E-2</v>
      </c>
      <c r="R1154">
        <v>0.98631063179202905</v>
      </c>
      <c r="S1154" t="s">
        <v>4986</v>
      </c>
      <c r="T1154" t="s">
        <v>7662</v>
      </c>
      <c r="U1154" t="s">
        <v>7662</v>
      </c>
      <c r="V1154" t="s">
        <v>7662</v>
      </c>
      <c r="W1154">
        <v>11</v>
      </c>
      <c r="X1154" t="s">
        <v>8816</v>
      </c>
      <c r="Y1154">
        <v>0.36806478122378372</v>
      </c>
      <c r="Z1154" t="str">
        <f>HYPERLINK("Melting_Curves/meltCurve_sp_P53597_SUCA_HUMAN_.pdf", "Melting_Curves/meltCurve_sp_P53597_SUCA_HUMAN_.pdf")</f>
        <v>Melting_Curves/meltCurve_sp_P53597_SUCA_HUMAN_.pdf</v>
      </c>
      <c r="AA1154" t="s">
        <v>12627</v>
      </c>
      <c r="AB1154" t="s">
        <v>16395</v>
      </c>
    </row>
    <row r="1155" spans="1:28" x14ac:dyDescent="0.25">
      <c r="A1155" t="s">
        <v>1159</v>
      </c>
      <c r="B1155">
        <v>0.98876768158843997</v>
      </c>
      <c r="C1155">
        <v>1.0503556540957699</v>
      </c>
      <c r="D1155">
        <v>0.914226780755653</v>
      </c>
      <c r="E1155">
        <v>0.78585599681434504</v>
      </c>
      <c r="F1155">
        <v>0.30383983004966703</v>
      </c>
      <c r="G1155">
        <v>0.124093296481895</v>
      </c>
      <c r="H1155">
        <v>9.1821671934806295E-2</v>
      </c>
      <c r="I1155">
        <v>7.6093415664681904E-2</v>
      </c>
      <c r="J1155">
        <v>0.108682259464322</v>
      </c>
      <c r="K1155">
        <v>0.104272796756172</v>
      </c>
      <c r="L1155">
        <v>1999.17404485114</v>
      </c>
      <c r="M1155">
        <v>38.878504732368199</v>
      </c>
      <c r="N1155">
        <v>51.703547065024999</v>
      </c>
      <c r="O1155">
        <v>51.285584481955802</v>
      </c>
      <c r="P1155">
        <v>-0.17138635938993799</v>
      </c>
      <c r="Q1155">
        <v>9.5682385868123304E-2</v>
      </c>
      <c r="R1155">
        <v>0.99409895229527101</v>
      </c>
      <c r="S1155" t="s">
        <v>4987</v>
      </c>
      <c r="T1155" t="s">
        <v>7662</v>
      </c>
      <c r="U1155" t="s">
        <v>7662</v>
      </c>
      <c r="V1155" t="s">
        <v>7662</v>
      </c>
      <c r="W1155">
        <v>10</v>
      </c>
      <c r="X1155" t="s">
        <v>8817</v>
      </c>
      <c r="Y1155">
        <v>0.44336087693227239</v>
      </c>
      <c r="Z1155" t="str">
        <f>HYPERLINK("Melting_Curves/meltCurve_sp_P53602_MVD1_HUMAN_.pdf", "Melting_Curves/meltCurve_sp_P53602_MVD1_HUMAN_.pdf")</f>
        <v>Melting_Curves/meltCurve_sp_P53602_MVD1_HUMAN_.pdf</v>
      </c>
      <c r="AA1155" t="s">
        <v>12628</v>
      </c>
      <c r="AB1155" t="s">
        <v>16396</v>
      </c>
    </row>
    <row r="1156" spans="1:28" x14ac:dyDescent="0.25">
      <c r="A1156" t="s">
        <v>1160</v>
      </c>
      <c r="B1156">
        <v>0.98876768158843997</v>
      </c>
      <c r="C1156">
        <v>0.99684833325075495</v>
      </c>
      <c r="D1156">
        <v>0.94509703065290496</v>
      </c>
      <c r="E1156">
        <v>0.84453435182146797</v>
      </c>
      <c r="F1156">
        <v>0.64120011149098599</v>
      </c>
      <c r="G1156">
        <v>0.22344649455445301</v>
      </c>
      <c r="H1156">
        <v>9.6468644764267197E-2</v>
      </c>
      <c r="I1156">
        <v>7.2455551193030904E-2</v>
      </c>
      <c r="J1156">
        <v>8.7119874660880794E-2</v>
      </c>
      <c r="K1156">
        <v>7.5334543842755605E-2</v>
      </c>
      <c r="L1156">
        <v>1333.5603488897</v>
      </c>
      <c r="M1156">
        <v>24.824143696214801</v>
      </c>
      <c r="N1156">
        <v>54.012383327026697</v>
      </c>
      <c r="O1156">
        <v>53.375324726856697</v>
      </c>
      <c r="P1156">
        <v>-0.108969942366153</v>
      </c>
      <c r="Q1156">
        <v>6.2811497199639896E-2</v>
      </c>
      <c r="R1156">
        <v>0.99713676916889105</v>
      </c>
      <c r="S1156" t="s">
        <v>4988</v>
      </c>
      <c r="T1156" t="s">
        <v>7662</v>
      </c>
      <c r="U1156" t="s">
        <v>7662</v>
      </c>
      <c r="V1156" t="s">
        <v>7662</v>
      </c>
      <c r="W1156">
        <v>6</v>
      </c>
      <c r="X1156" t="s">
        <v>8818</v>
      </c>
      <c r="Y1156">
        <v>0.50020541124803475</v>
      </c>
      <c r="Z1156" t="str">
        <f>HYPERLINK("Melting_Curves/meltCurve_sp_P53609_PGTB1_HUMAN_.pdf", "Melting_Curves/meltCurve_sp_P53609_PGTB1_HUMAN_.pdf")</f>
        <v>Melting_Curves/meltCurve_sp_P53609_PGTB1_HUMAN_.pdf</v>
      </c>
      <c r="AA1156" t="s">
        <v>12629</v>
      </c>
      <c r="AB1156" t="s">
        <v>16397</v>
      </c>
    </row>
    <row r="1157" spans="1:28" x14ac:dyDescent="0.25">
      <c r="A1157" t="s">
        <v>1161</v>
      </c>
      <c r="B1157">
        <v>0.98876768158843997</v>
      </c>
      <c r="C1157">
        <v>0.99701230988573297</v>
      </c>
      <c r="D1157">
        <v>0.90402324241302301</v>
      </c>
      <c r="E1157">
        <v>0.77747894847377597</v>
      </c>
      <c r="F1157">
        <v>0.48738831608954902</v>
      </c>
      <c r="G1157">
        <v>0.20308969807802599</v>
      </c>
      <c r="H1157">
        <v>9.6126168290222497E-2</v>
      </c>
      <c r="I1157">
        <v>9.5659829870124405E-2</v>
      </c>
      <c r="J1157">
        <v>9.1805377610772093E-2</v>
      </c>
      <c r="K1157">
        <v>9.07343149190495E-2</v>
      </c>
      <c r="L1157">
        <v>1139.30049787587</v>
      </c>
      <c r="M1157">
        <v>21.7320554109866</v>
      </c>
      <c r="N1157">
        <v>52.819492055649697</v>
      </c>
      <c r="O1157">
        <v>51.9870207217594</v>
      </c>
      <c r="P1157">
        <v>-9.6678508212987596E-2</v>
      </c>
      <c r="Q1157">
        <v>7.4931202795902097E-2</v>
      </c>
      <c r="R1157">
        <v>0.99726399333114601</v>
      </c>
      <c r="S1157" t="s">
        <v>4989</v>
      </c>
      <c r="T1157" t="s">
        <v>7662</v>
      </c>
      <c r="U1157" t="s">
        <v>7662</v>
      </c>
      <c r="V1157" t="s">
        <v>7662</v>
      </c>
      <c r="W1157">
        <v>5</v>
      </c>
      <c r="X1157" t="s">
        <v>8819</v>
      </c>
      <c r="Y1157">
        <v>0.46907094657310211</v>
      </c>
      <c r="Z1157" t="str">
        <f>HYPERLINK("Melting_Curves/meltCurve_sp_P53611_PGTB2_HUMAN_.pdf", "Melting_Curves/meltCurve_sp_P53611_PGTB2_HUMAN_.pdf")</f>
        <v>Melting_Curves/meltCurve_sp_P53611_PGTB2_HUMAN_.pdf</v>
      </c>
      <c r="AA1157" t="s">
        <v>12630</v>
      </c>
      <c r="AB1157" t="s">
        <v>16398</v>
      </c>
    </row>
    <row r="1158" spans="1:28" x14ac:dyDescent="0.25">
      <c r="A1158" t="s">
        <v>1162</v>
      </c>
      <c r="B1158">
        <v>0.98876768158843997</v>
      </c>
      <c r="C1158">
        <v>0.98184260363236997</v>
      </c>
      <c r="D1158">
        <v>1.04197117632713</v>
      </c>
      <c r="E1158">
        <v>0.78356552108317701</v>
      </c>
      <c r="F1158">
        <v>0.32750005860027098</v>
      </c>
      <c r="G1158">
        <v>0.14250019174881101</v>
      </c>
      <c r="H1158">
        <v>8.0845616535386799E-2</v>
      </c>
      <c r="I1158">
        <v>6.1102589391416301E-2</v>
      </c>
      <c r="J1158">
        <v>6.9988373048382194E-2</v>
      </c>
      <c r="K1158">
        <v>6.3653729201639697E-2</v>
      </c>
      <c r="L1158">
        <v>1881.4466381500299</v>
      </c>
      <c r="M1158">
        <v>36.438952521079997</v>
      </c>
      <c r="N1158">
        <v>51.866325665587702</v>
      </c>
      <c r="O1158">
        <v>51.478062360702602</v>
      </c>
      <c r="P1158">
        <v>-0.16357768834310099</v>
      </c>
      <c r="Q1158">
        <v>7.5644241854983502E-2</v>
      </c>
      <c r="R1158">
        <v>0.99703887219232701</v>
      </c>
      <c r="S1158" t="s">
        <v>4990</v>
      </c>
      <c r="T1158" t="s">
        <v>7662</v>
      </c>
      <c r="U1158" t="s">
        <v>7662</v>
      </c>
      <c r="V1158" t="s">
        <v>7662</v>
      </c>
      <c r="W1158">
        <v>23</v>
      </c>
      <c r="X1158" t="s">
        <v>8820</v>
      </c>
      <c r="Y1158">
        <v>0.43805198529492478</v>
      </c>
      <c r="Z1158" t="str">
        <f>HYPERLINK("Melting_Curves/meltCurve_sp_P53618_COPB_HUMAN_.pdf", "Melting_Curves/meltCurve_sp_P53618_COPB_HUMAN_.pdf")</f>
        <v>Melting_Curves/meltCurve_sp_P53618_COPB_HUMAN_.pdf</v>
      </c>
      <c r="AA1158" t="s">
        <v>12631</v>
      </c>
      <c r="AB1158" t="s">
        <v>16161</v>
      </c>
    </row>
    <row r="1159" spans="1:28" x14ac:dyDescent="0.25">
      <c r="A1159" t="s">
        <v>1163</v>
      </c>
      <c r="B1159">
        <v>0.98876768158843997</v>
      </c>
      <c r="C1159">
        <v>0.95629028741235</v>
      </c>
      <c r="D1159">
        <v>1.0935311038659501</v>
      </c>
      <c r="E1159">
        <v>0.82471134488877695</v>
      </c>
      <c r="F1159">
        <v>0.25825127782754698</v>
      </c>
      <c r="G1159">
        <v>8.6764135353692498E-2</v>
      </c>
      <c r="H1159">
        <v>4.9299683609299802E-2</v>
      </c>
      <c r="I1159">
        <v>3.9605722562824498E-2</v>
      </c>
      <c r="J1159">
        <v>3.9318348012103502E-2</v>
      </c>
      <c r="K1159">
        <v>4.0907986959360598E-2</v>
      </c>
      <c r="L1159">
        <v>2441.6443208833198</v>
      </c>
      <c r="M1159">
        <v>47.325672171939402</v>
      </c>
      <c r="N1159">
        <v>51.704179215053401</v>
      </c>
      <c r="O1159">
        <v>51.500519160361499</v>
      </c>
      <c r="P1159">
        <v>-0.21855997156052101</v>
      </c>
      <c r="Q1159">
        <v>4.8639834407284199E-2</v>
      </c>
      <c r="R1159">
        <v>0.99361214821736998</v>
      </c>
      <c r="S1159" t="s">
        <v>4991</v>
      </c>
      <c r="T1159" t="s">
        <v>7662</v>
      </c>
      <c r="U1159" t="s">
        <v>7662</v>
      </c>
      <c r="V1159" t="s">
        <v>7662</v>
      </c>
      <c r="W1159">
        <v>30</v>
      </c>
      <c r="X1159" t="s">
        <v>8821</v>
      </c>
      <c r="Y1159">
        <v>0.41867564415589859</v>
      </c>
      <c r="Z1159" t="str">
        <f>HYPERLINK("Melting_Curves/meltCurve_sp_P53621_COPA_HUMAN_.pdf", "Melting_Curves/meltCurve_sp_P53621_COPA_HUMAN_.pdf")</f>
        <v>Melting_Curves/meltCurve_sp_P53621_COPA_HUMAN_.pdf</v>
      </c>
      <c r="AA1159" t="s">
        <v>12632</v>
      </c>
      <c r="AB1159" t="s">
        <v>16399</v>
      </c>
    </row>
    <row r="1160" spans="1:28" x14ac:dyDescent="0.25">
      <c r="A1160" t="s">
        <v>1164</v>
      </c>
      <c r="B1160">
        <v>0.98876768158843997</v>
      </c>
      <c r="C1160">
        <v>0.98874646594246596</v>
      </c>
      <c r="D1160">
        <v>0.95744861344790799</v>
      </c>
      <c r="E1160">
        <v>0.89888220518441997</v>
      </c>
      <c r="F1160">
        <v>0.77092550908398005</v>
      </c>
      <c r="G1160">
        <v>0.48536863017861898</v>
      </c>
      <c r="H1160">
        <v>0.33378819113853297</v>
      </c>
      <c r="I1160">
        <v>0.25645212762075797</v>
      </c>
      <c r="J1160">
        <v>0.245839968655921</v>
      </c>
      <c r="K1160">
        <v>0.21490750090310101</v>
      </c>
      <c r="L1160">
        <v>1018.39569216505</v>
      </c>
      <c r="M1160">
        <v>18.3991774233921</v>
      </c>
      <c r="N1160">
        <v>56.968336300248403</v>
      </c>
      <c r="O1160">
        <v>54.708655036460797</v>
      </c>
      <c r="P1160">
        <v>-6.6968795027546504E-2</v>
      </c>
      <c r="Q1160">
        <v>0.20352810629037901</v>
      </c>
      <c r="R1160">
        <v>0.99860248245071503</v>
      </c>
      <c r="S1160" t="s">
        <v>4992</v>
      </c>
      <c r="T1160" t="s">
        <v>7662</v>
      </c>
      <c r="U1160" t="s">
        <v>7662</v>
      </c>
      <c r="V1160" t="s">
        <v>7662</v>
      </c>
      <c r="W1160">
        <v>5</v>
      </c>
      <c r="X1160" t="s">
        <v>8822</v>
      </c>
      <c r="Y1160">
        <v>0.62285039895698491</v>
      </c>
      <c r="Z1160" t="str">
        <f>HYPERLINK("Melting_Curves/meltCurve_sp_P53634_CATC_HUMAN_.pdf", "Melting_Curves/meltCurve_sp_P53634_CATC_HUMAN_.pdf")</f>
        <v>Melting_Curves/meltCurve_sp_P53634_CATC_HUMAN_.pdf</v>
      </c>
      <c r="AA1160" t="s">
        <v>12633</v>
      </c>
      <c r="AB1160" t="s">
        <v>16400</v>
      </c>
    </row>
    <row r="1161" spans="1:28" x14ac:dyDescent="0.25">
      <c r="A1161" t="s">
        <v>1165</v>
      </c>
      <c r="B1161">
        <v>0.98876768158843997</v>
      </c>
      <c r="C1161">
        <v>0.82576206590482104</v>
      </c>
      <c r="D1161">
        <v>1.3553109569372199</v>
      </c>
      <c r="E1161">
        <v>0.73380801198809698</v>
      </c>
      <c r="F1161">
        <v>0.18834850957699201</v>
      </c>
      <c r="G1161">
        <v>6.2598206857197497E-2</v>
      </c>
      <c r="H1161">
        <v>0</v>
      </c>
      <c r="I1161">
        <v>0</v>
      </c>
      <c r="J1161">
        <v>0</v>
      </c>
      <c r="K1161">
        <v>0</v>
      </c>
      <c r="L1161">
        <v>2420.1191621858002</v>
      </c>
      <c r="M1161">
        <v>47.2925183880999</v>
      </c>
      <c r="N1161">
        <v>51.200657392218702</v>
      </c>
      <c r="O1161">
        <v>51.082158346514099</v>
      </c>
      <c r="P1161">
        <v>-0.22857699945537199</v>
      </c>
      <c r="Q1161">
        <v>1.2427858578701099E-2</v>
      </c>
      <c r="R1161">
        <v>0.93049098543573505</v>
      </c>
      <c r="S1161" t="s">
        <v>4993</v>
      </c>
      <c r="T1161" t="s">
        <v>7662</v>
      </c>
      <c r="U1161" t="s">
        <v>7662</v>
      </c>
      <c r="V1161" t="s">
        <v>7662</v>
      </c>
      <c r="W1161">
        <v>13</v>
      </c>
      <c r="X1161" t="s">
        <v>8823</v>
      </c>
      <c r="Y1161">
        <v>0.38273921508790498</v>
      </c>
      <c r="Z1161" t="str">
        <f>HYPERLINK("Melting_Curves/meltCurve_sp_P53675_2_CLH2_HUMAN_.pdf", "Melting_Curves/meltCurve_sp_P53675_2_CLH2_HUMAN_.pdf")</f>
        <v>Melting_Curves/meltCurve_sp_P53675_2_CLH2_HUMAN_.pdf</v>
      </c>
      <c r="AA1161" t="s">
        <v>12634</v>
      </c>
      <c r="AB1161" t="s">
        <v>16401</v>
      </c>
    </row>
    <row r="1162" spans="1:28" x14ac:dyDescent="0.25">
      <c r="A1162" t="s">
        <v>1166</v>
      </c>
      <c r="B1162">
        <v>0.98876768158843997</v>
      </c>
      <c r="C1162">
        <v>0.98195033930278297</v>
      </c>
      <c r="D1162">
        <v>1.0329806838183599</v>
      </c>
      <c r="E1162">
        <v>0.77465354740051195</v>
      </c>
      <c r="F1162">
        <v>0.41826587080558197</v>
      </c>
      <c r="G1162">
        <v>0.173268615745898</v>
      </c>
      <c r="H1162">
        <v>8.3519145987549406E-2</v>
      </c>
      <c r="I1162">
        <v>7.4592656952026007E-2</v>
      </c>
      <c r="J1162">
        <v>7.1425593599628107E-2</v>
      </c>
      <c r="K1162">
        <v>7.7088206623834504E-2</v>
      </c>
      <c r="L1162">
        <v>1476.3640485870601</v>
      </c>
      <c r="M1162">
        <v>28.354710246944499</v>
      </c>
      <c r="N1162">
        <v>52.371410588858097</v>
      </c>
      <c r="O1162">
        <v>51.810766141689001</v>
      </c>
      <c r="P1162">
        <v>-0.126446750459216</v>
      </c>
      <c r="Q1162">
        <v>7.5815027345882705E-2</v>
      </c>
      <c r="R1162">
        <v>0.99749554218796499</v>
      </c>
      <c r="S1162" t="s">
        <v>4994</v>
      </c>
      <c r="T1162" t="s">
        <v>7662</v>
      </c>
      <c r="U1162" t="s">
        <v>7662</v>
      </c>
      <c r="V1162" t="s">
        <v>7662</v>
      </c>
      <c r="W1162">
        <v>2</v>
      </c>
      <c r="X1162" t="s">
        <v>8824</v>
      </c>
      <c r="Y1162">
        <v>0.45418157715330848</v>
      </c>
      <c r="Z1162" t="str">
        <f>HYPERLINK("Melting_Curves/meltCurve_sp_P53680_AP2S1_HUMAN_.pdf", "Melting_Curves/meltCurve_sp_P53680_AP2S1_HUMAN_.pdf")</f>
        <v>Melting_Curves/meltCurve_sp_P53680_AP2S1_HUMAN_.pdf</v>
      </c>
      <c r="AA1162" t="s">
        <v>12635</v>
      </c>
      <c r="AB1162" t="s">
        <v>16402</v>
      </c>
    </row>
    <row r="1163" spans="1:28" x14ac:dyDescent="0.25">
      <c r="A1163" t="s">
        <v>1167</v>
      </c>
      <c r="B1163">
        <v>0.98876768158843997</v>
      </c>
      <c r="C1163">
        <v>1.1378474301833601</v>
      </c>
      <c r="D1163">
        <v>0.889222131250342</v>
      </c>
      <c r="E1163">
        <v>0.86052851024237498</v>
      </c>
      <c r="F1163">
        <v>0.78564705514533595</v>
      </c>
      <c r="G1163">
        <v>0.55977786877955404</v>
      </c>
      <c r="H1163">
        <v>0.42863319302520603</v>
      </c>
      <c r="I1163">
        <v>0.51183364542410503</v>
      </c>
      <c r="J1163">
        <v>0.60387776554458605</v>
      </c>
      <c r="K1163">
        <v>0.71920467666275301</v>
      </c>
      <c r="L1163">
        <v>1353.06135671373</v>
      </c>
      <c r="M1163">
        <v>26.019667718619399</v>
      </c>
      <c r="O1163">
        <v>51.697240225978497</v>
      </c>
      <c r="P1163">
        <v>-5.5311035551880203E-2</v>
      </c>
      <c r="Q1163">
        <v>0.56042558014699695</v>
      </c>
      <c r="R1163">
        <v>0.81678800496145099</v>
      </c>
      <c r="S1163" t="s">
        <v>4995</v>
      </c>
      <c r="T1163" t="s">
        <v>7662</v>
      </c>
      <c r="U1163" t="s">
        <v>7662</v>
      </c>
      <c r="V1163" t="s">
        <v>7662</v>
      </c>
      <c r="W1163">
        <v>7</v>
      </c>
      <c r="X1163" t="s">
        <v>8825</v>
      </c>
      <c r="Y1163">
        <v>0.73999161711817085</v>
      </c>
      <c r="Z1163" t="str">
        <f>HYPERLINK("Melting_Curves/meltCurve_sp_P53999_TCP4_HUMAN_.pdf", "Melting_Curves/meltCurve_sp_P53999_TCP4_HUMAN_.pdf")</f>
        <v>Melting_Curves/meltCurve_sp_P53999_TCP4_HUMAN_.pdf</v>
      </c>
      <c r="AA1163" t="s">
        <v>12636</v>
      </c>
      <c r="AB1163" t="s">
        <v>16403</v>
      </c>
    </row>
    <row r="1164" spans="1:28" x14ac:dyDescent="0.25">
      <c r="A1164" t="s">
        <v>1168</v>
      </c>
      <c r="B1164">
        <v>0.98876768158843997</v>
      </c>
      <c r="C1164">
        <v>0.82328689461515603</v>
      </c>
      <c r="D1164">
        <v>0.44992233428075201</v>
      </c>
      <c r="E1164">
        <v>0.14282705765520201</v>
      </c>
      <c r="F1164">
        <v>8.3197055185747507E-2</v>
      </c>
      <c r="G1164">
        <v>4.57349091687854E-2</v>
      </c>
      <c r="H1164">
        <v>3.14690358142245E-2</v>
      </c>
      <c r="I1164">
        <v>2.8078927557290599E-2</v>
      </c>
      <c r="J1164">
        <v>2.8024288594472702E-2</v>
      </c>
      <c r="K1164">
        <v>2.55280882980548E-2</v>
      </c>
      <c r="L1164">
        <v>1094.5686269170899</v>
      </c>
      <c r="M1164">
        <v>24.032537663501699</v>
      </c>
      <c r="N1164">
        <v>45.676993336966198</v>
      </c>
      <c r="O1164">
        <v>45.233439301398697</v>
      </c>
      <c r="P1164">
        <v>-0.128381194424811</v>
      </c>
      <c r="Q1164">
        <v>3.3471710700098398E-2</v>
      </c>
      <c r="R1164">
        <v>0.99903515486986705</v>
      </c>
      <c r="S1164" t="s">
        <v>4996</v>
      </c>
      <c r="T1164" t="s">
        <v>7662</v>
      </c>
      <c r="U1164" t="s">
        <v>7662</v>
      </c>
      <c r="V1164" t="s">
        <v>7662</v>
      </c>
      <c r="W1164">
        <v>24</v>
      </c>
      <c r="X1164" t="s">
        <v>8826</v>
      </c>
      <c r="Y1164">
        <v>0.22220310750762351</v>
      </c>
      <c r="Z1164" t="str">
        <f>HYPERLINK("Melting_Curves/meltCurve_sp_P54136_SYRC_HUMAN_.pdf", "Melting_Curves/meltCurve_sp_P54136_SYRC_HUMAN_.pdf")</f>
        <v>Melting_Curves/meltCurve_sp_P54136_SYRC_HUMAN_.pdf</v>
      </c>
      <c r="AA1164" t="s">
        <v>12637</v>
      </c>
      <c r="AB1164" t="s">
        <v>16404</v>
      </c>
    </row>
    <row r="1165" spans="1:28" x14ac:dyDescent="0.25">
      <c r="A1165" t="s">
        <v>1169</v>
      </c>
      <c r="B1165">
        <v>0.98876768158843997</v>
      </c>
      <c r="C1165">
        <v>0.79257604473116205</v>
      </c>
      <c r="D1165">
        <v>0.52321528597237099</v>
      </c>
      <c r="E1165">
        <v>0.239799066752764</v>
      </c>
      <c r="F1165">
        <v>6.6844176661502094E-2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859.91619822421296</v>
      </c>
      <c r="M1165">
        <v>18.568794788586899</v>
      </c>
      <c r="N1165">
        <v>46.309747499395499</v>
      </c>
      <c r="O1165">
        <v>45.782653484628803</v>
      </c>
      <c r="P1165">
        <v>-0.101400835439952</v>
      </c>
      <c r="Q1165">
        <v>0</v>
      </c>
      <c r="R1165">
        <v>0.99606072075462604</v>
      </c>
      <c r="S1165" t="s">
        <v>4997</v>
      </c>
      <c r="T1165" t="s">
        <v>7662</v>
      </c>
      <c r="U1165" t="s">
        <v>7662</v>
      </c>
      <c r="V1165" t="s">
        <v>7662</v>
      </c>
      <c r="W1165">
        <v>1</v>
      </c>
      <c r="X1165" t="s">
        <v>8827</v>
      </c>
      <c r="Y1165">
        <v>0.22823654406476909</v>
      </c>
      <c r="Z1165" t="str">
        <f>HYPERLINK("Melting_Curves/meltCurve_sp_P54278_4_PMS2_HUMAN_.pdf", "Melting_Curves/meltCurve_sp_P54278_4_PMS2_HUMAN_.pdf")</f>
        <v>Melting_Curves/meltCurve_sp_P54278_4_PMS2_HUMAN_.pdf</v>
      </c>
      <c r="AA1165" t="s">
        <v>12638</v>
      </c>
      <c r="AB1165" t="s">
        <v>16405</v>
      </c>
    </row>
    <row r="1166" spans="1:28" x14ac:dyDescent="0.25">
      <c r="A1166" t="s">
        <v>1170</v>
      </c>
      <c r="B1166">
        <v>0.98876768158843997</v>
      </c>
      <c r="C1166">
        <v>0.93440280322948099</v>
      </c>
      <c r="D1166">
        <v>0.76333478942323196</v>
      </c>
      <c r="E1166">
        <v>0.40889922647080501</v>
      </c>
      <c r="F1166">
        <v>0.207233633928712</v>
      </c>
      <c r="G1166">
        <v>0.114925584091227</v>
      </c>
      <c r="H1166">
        <v>6.6301677472790796E-2</v>
      </c>
      <c r="I1166">
        <v>5.8912256589347498E-2</v>
      </c>
      <c r="J1166">
        <v>7.0072680108844404E-2</v>
      </c>
      <c r="K1166">
        <v>6.2864900979357902E-2</v>
      </c>
      <c r="L1166">
        <v>948.60376022346395</v>
      </c>
      <c r="M1166">
        <v>19.514186047360202</v>
      </c>
      <c r="N1166">
        <v>48.916222147751398</v>
      </c>
      <c r="O1166">
        <v>48.109126746477799</v>
      </c>
      <c r="P1166">
        <v>-9.5596302106358097E-2</v>
      </c>
      <c r="Q1166">
        <v>5.7323735838109603E-2</v>
      </c>
      <c r="R1166">
        <v>0.999749698878168</v>
      </c>
      <c r="S1166" t="s">
        <v>4998</v>
      </c>
      <c r="T1166" t="s">
        <v>7662</v>
      </c>
      <c r="U1166" t="s">
        <v>7662</v>
      </c>
      <c r="V1166" t="s">
        <v>7662</v>
      </c>
      <c r="W1166">
        <v>20</v>
      </c>
      <c r="X1166" t="s">
        <v>8828</v>
      </c>
      <c r="Y1166">
        <v>0.34185457372356171</v>
      </c>
      <c r="Z1166" t="str">
        <f>HYPERLINK("Melting_Curves/meltCurve_sp_P54577_SYYC_HUMAN_.pdf", "Melting_Curves/meltCurve_sp_P54577_SYYC_HUMAN_.pdf")</f>
        <v>Melting_Curves/meltCurve_sp_P54577_SYYC_HUMAN_.pdf</v>
      </c>
      <c r="AA1166" t="s">
        <v>12639</v>
      </c>
      <c r="AB1166" t="s">
        <v>16406</v>
      </c>
    </row>
    <row r="1167" spans="1:28" x14ac:dyDescent="0.25">
      <c r="A1167" t="s">
        <v>1171</v>
      </c>
      <c r="B1167">
        <v>0.98876768158843997</v>
      </c>
      <c r="C1167">
        <v>1.0863192258077801</v>
      </c>
      <c r="D1167">
        <v>0.89921903151940497</v>
      </c>
      <c r="E1167">
        <v>0.82233521950695199</v>
      </c>
      <c r="F1167">
        <v>0.35973421940209499</v>
      </c>
      <c r="G1167">
        <v>0.117516614220625</v>
      </c>
      <c r="H1167">
        <v>5.8981491884924298E-2</v>
      </c>
      <c r="I1167">
        <v>5.2102873284824498E-2</v>
      </c>
      <c r="J1167">
        <v>6.1553231922052802E-2</v>
      </c>
      <c r="K1167">
        <v>5.7337198088328101E-2</v>
      </c>
      <c r="L1167">
        <v>1787.03827820219</v>
      </c>
      <c r="M1167">
        <v>34.408896881472103</v>
      </c>
      <c r="N1167">
        <v>52.1230264218512</v>
      </c>
      <c r="O1167">
        <v>51.760858349525201</v>
      </c>
      <c r="P1167">
        <v>-0.156509806382335</v>
      </c>
      <c r="Q1167">
        <v>5.82605390312671E-2</v>
      </c>
      <c r="R1167">
        <v>0.99058932223970098</v>
      </c>
      <c r="S1167" t="s">
        <v>4999</v>
      </c>
      <c r="T1167" t="s">
        <v>7662</v>
      </c>
      <c r="U1167" t="s">
        <v>7662</v>
      </c>
      <c r="V1167" t="s">
        <v>7662</v>
      </c>
      <c r="W1167">
        <v>8</v>
      </c>
      <c r="X1167" t="s">
        <v>8829</v>
      </c>
      <c r="Y1167">
        <v>0.43749937576201409</v>
      </c>
      <c r="Z1167" t="str">
        <f>HYPERLINK("Melting_Curves/meltCurve_sp_P54578_2_UBP14_HUMAN_.pdf", "Melting_Curves/meltCurve_sp_P54578_2_UBP14_HUMAN_.pdf")</f>
        <v>Melting_Curves/meltCurve_sp_P54578_2_UBP14_HUMAN_.pdf</v>
      </c>
      <c r="AA1167" t="s">
        <v>12640</v>
      </c>
      <c r="AB1167" t="s">
        <v>16407</v>
      </c>
    </row>
    <row r="1168" spans="1:28" x14ac:dyDescent="0.25">
      <c r="A1168" t="s">
        <v>1172</v>
      </c>
      <c r="B1168">
        <v>0.98876768158843997</v>
      </c>
      <c r="C1168">
        <v>0.88455912231887601</v>
      </c>
      <c r="D1168">
        <v>0.92620997396781302</v>
      </c>
      <c r="E1168">
        <v>0.65044126549881698</v>
      </c>
      <c r="F1168">
        <v>0.29553731914847398</v>
      </c>
      <c r="G1168">
        <v>0.13333911161391299</v>
      </c>
      <c r="H1168">
        <v>8.6321493458234894E-2</v>
      </c>
      <c r="I1168">
        <v>7.7553885585702295E-2</v>
      </c>
      <c r="J1168">
        <v>8.3736335984528606E-2</v>
      </c>
      <c r="K1168">
        <v>6.4767146845538706E-2</v>
      </c>
      <c r="L1168">
        <v>1240.2263768841001</v>
      </c>
      <c r="M1168">
        <v>24.409367253908801</v>
      </c>
      <c r="N1168">
        <v>51.1257739076989</v>
      </c>
      <c r="O1168">
        <v>50.472103696288102</v>
      </c>
      <c r="P1168">
        <v>-0.112432888291642</v>
      </c>
      <c r="Q1168">
        <v>7.0088048116083199E-2</v>
      </c>
      <c r="R1168">
        <v>0.99114164778784297</v>
      </c>
      <c r="S1168" t="s">
        <v>5000</v>
      </c>
      <c r="T1168" t="s">
        <v>7662</v>
      </c>
      <c r="U1168" t="s">
        <v>7662</v>
      </c>
      <c r="V1168" t="s">
        <v>7662</v>
      </c>
      <c r="W1168">
        <v>8</v>
      </c>
      <c r="X1168" t="s">
        <v>8830</v>
      </c>
      <c r="Y1168">
        <v>0.41393720400375161</v>
      </c>
      <c r="Z1168" t="str">
        <f>HYPERLINK("Melting_Curves/meltCurve_sp_P54619_2_AAKG1_HUMAN_.pdf", "Melting_Curves/meltCurve_sp_P54619_2_AAKG1_HUMAN_.pdf")</f>
        <v>Melting_Curves/meltCurve_sp_P54619_2_AAKG1_HUMAN_.pdf</v>
      </c>
      <c r="AA1168" t="s">
        <v>12641</v>
      </c>
      <c r="AB1168" t="s">
        <v>16408</v>
      </c>
    </row>
    <row r="1169" spans="1:28" x14ac:dyDescent="0.25">
      <c r="A1169" t="s">
        <v>1173</v>
      </c>
      <c r="B1169">
        <v>0.98876768158843997</v>
      </c>
      <c r="C1169">
        <v>1.05813495434479</v>
      </c>
      <c r="D1169">
        <v>0.88246898553549302</v>
      </c>
      <c r="E1169">
        <v>0.75133576070116603</v>
      </c>
      <c r="F1169">
        <v>0.91599313654724301</v>
      </c>
      <c r="G1169">
        <v>0.722743116509588</v>
      </c>
      <c r="H1169">
        <v>0.58410561249067505</v>
      </c>
      <c r="I1169">
        <v>0.64095048230427498</v>
      </c>
      <c r="J1169">
        <v>0.83581713409289204</v>
      </c>
      <c r="K1169">
        <v>0.90130924049529704</v>
      </c>
      <c r="L1169">
        <v>11500.129053147401</v>
      </c>
      <c r="M1169">
        <v>250</v>
      </c>
      <c r="O1169">
        <v>45.997572488003897</v>
      </c>
      <c r="P1169">
        <v>-0.31984326081212799</v>
      </c>
      <c r="Q1169">
        <v>0.76460778310890298</v>
      </c>
      <c r="R1169">
        <v>0.51554582630767998</v>
      </c>
      <c r="S1169" t="s">
        <v>5001</v>
      </c>
      <c r="T1169" t="s">
        <v>7662</v>
      </c>
      <c r="U1169" t="s">
        <v>7662</v>
      </c>
      <c r="V1169" t="s">
        <v>7662</v>
      </c>
      <c r="W1169">
        <v>14</v>
      </c>
      <c r="X1169" t="s">
        <v>8831</v>
      </c>
      <c r="Y1169">
        <v>0.81170928015971788</v>
      </c>
      <c r="Z1169" t="str">
        <f>HYPERLINK("Melting_Curves/meltCurve_sp_P54727_RD23B_HUMAN_.pdf", "Melting_Curves/meltCurve_sp_P54727_RD23B_HUMAN_.pdf")</f>
        <v>Melting_Curves/meltCurve_sp_P54727_RD23B_HUMAN_.pdf</v>
      </c>
      <c r="AA1169" t="s">
        <v>12642</v>
      </c>
      <c r="AB1169" t="s">
        <v>16409</v>
      </c>
    </row>
    <row r="1170" spans="1:28" x14ac:dyDescent="0.25">
      <c r="A1170" t="s">
        <v>1174</v>
      </c>
      <c r="B1170">
        <v>0.98876768158843997</v>
      </c>
      <c r="C1170">
        <v>0.86925368620827803</v>
      </c>
      <c r="D1170">
        <v>1.05550505033677</v>
      </c>
      <c r="E1170">
        <v>0.96768578955085005</v>
      </c>
      <c r="F1170">
        <v>0.59675236530689402</v>
      </c>
      <c r="G1170">
        <v>0.39950422596048901</v>
      </c>
      <c r="H1170">
        <v>0.163496325590793</v>
      </c>
      <c r="I1170">
        <v>4.8036465535045203E-2</v>
      </c>
      <c r="J1170">
        <v>1.1907309487962E-2</v>
      </c>
      <c r="K1170">
        <v>2.2078096177785399E-2</v>
      </c>
      <c r="L1170">
        <v>1054.5440909267099</v>
      </c>
      <c r="M1170">
        <v>19.086138485509</v>
      </c>
      <c r="N1170">
        <v>55.251831984930497</v>
      </c>
      <c r="O1170">
        <v>54.656005428871801</v>
      </c>
      <c r="P1170">
        <v>-8.7304607391717803E-2</v>
      </c>
      <c r="Q1170">
        <v>0</v>
      </c>
      <c r="R1170">
        <v>0.97550904091440205</v>
      </c>
      <c r="S1170" t="s">
        <v>5002</v>
      </c>
      <c r="T1170" t="s">
        <v>7662</v>
      </c>
      <c r="U1170" t="s">
        <v>7662</v>
      </c>
      <c r="V1170" t="s">
        <v>7662</v>
      </c>
      <c r="W1170">
        <v>10</v>
      </c>
      <c r="X1170" t="s">
        <v>8832</v>
      </c>
      <c r="Y1170">
        <v>0.52253226068259673</v>
      </c>
      <c r="Z1170" t="str">
        <f>HYPERLINK("Melting_Curves/meltCurve_sp_P54802_ANAG_HUMAN_.pdf", "Melting_Curves/meltCurve_sp_P54802_ANAG_HUMAN_.pdf")</f>
        <v>Melting_Curves/meltCurve_sp_P54802_ANAG_HUMAN_.pdf</v>
      </c>
      <c r="AA1170" t="s">
        <v>12643</v>
      </c>
      <c r="AB1170" t="s">
        <v>16410</v>
      </c>
    </row>
    <row r="1171" spans="1:28" x14ac:dyDescent="0.25">
      <c r="A1171" t="s">
        <v>1175</v>
      </c>
      <c r="B1171">
        <v>0.98876768158843997</v>
      </c>
      <c r="C1171">
        <v>1.1850184553238801</v>
      </c>
      <c r="D1171">
        <v>0.87679385930522602</v>
      </c>
      <c r="E1171">
        <v>0.833792448685865</v>
      </c>
      <c r="F1171">
        <v>0.965360386928797</v>
      </c>
      <c r="G1171">
        <v>0.67651459081882404</v>
      </c>
      <c r="H1171">
        <v>0.29267925834533998</v>
      </c>
      <c r="I1171">
        <v>0.117869421168714</v>
      </c>
      <c r="J1171">
        <v>9.2958092105705395E-2</v>
      </c>
      <c r="K1171">
        <v>9.5604901748361004E-2</v>
      </c>
      <c r="L1171">
        <v>1527.0609878212199</v>
      </c>
      <c r="M1171">
        <v>26.181810015963698</v>
      </c>
      <c r="N1171">
        <v>58.625308870358097</v>
      </c>
      <c r="O1171">
        <v>57.988194172375501</v>
      </c>
      <c r="P1171">
        <v>-0.10579899777721601</v>
      </c>
      <c r="Q1171">
        <v>6.2704350620530994E-2</v>
      </c>
      <c r="R1171">
        <v>0.95294789564612703</v>
      </c>
      <c r="S1171" t="s">
        <v>5003</v>
      </c>
      <c r="T1171" t="s">
        <v>7662</v>
      </c>
      <c r="U1171" t="s">
        <v>7662</v>
      </c>
      <c r="V1171" t="s">
        <v>7662</v>
      </c>
      <c r="W1171">
        <v>14</v>
      </c>
      <c r="X1171" t="s">
        <v>8833</v>
      </c>
      <c r="Y1171">
        <v>0.64277416879872007</v>
      </c>
      <c r="Z1171" t="str">
        <f>HYPERLINK("Melting_Curves/meltCurve_sp_P54819_5_KAD2_HUMAN_.pdf", "Melting_Curves/meltCurve_sp_P54819_5_KAD2_HUMAN_.pdf")</f>
        <v>Melting_Curves/meltCurve_sp_P54819_5_KAD2_HUMAN_.pdf</v>
      </c>
      <c r="AA1171" t="s">
        <v>12644</v>
      </c>
      <c r="AB1171" t="s">
        <v>16411</v>
      </c>
    </row>
    <row r="1172" spans="1:28" x14ac:dyDescent="0.25">
      <c r="A1172" t="s">
        <v>1176</v>
      </c>
      <c r="B1172">
        <v>0.98876768158843997</v>
      </c>
      <c r="C1172">
        <v>0.91708454120947702</v>
      </c>
      <c r="D1172">
        <v>0.95226607742945302</v>
      </c>
      <c r="E1172">
        <v>0.50378306091062097</v>
      </c>
      <c r="F1172">
        <v>0.223023702834201</v>
      </c>
      <c r="G1172">
        <v>0.102665346501845</v>
      </c>
      <c r="H1172">
        <v>5.7257792049558102E-2</v>
      </c>
      <c r="I1172">
        <v>5.9550710015332499E-2</v>
      </c>
      <c r="J1172">
        <v>6.9561179078701602E-2</v>
      </c>
      <c r="K1172">
        <v>6.8399941506469705E-2</v>
      </c>
      <c r="L1172">
        <v>1407.7778820138899</v>
      </c>
      <c r="M1172">
        <v>28.224993171814599</v>
      </c>
      <c r="N1172">
        <v>50.124561921926301</v>
      </c>
      <c r="O1172">
        <v>49.628644324257301</v>
      </c>
      <c r="P1172">
        <v>-0.132931641168057</v>
      </c>
      <c r="Q1172">
        <v>6.5061019461204003E-2</v>
      </c>
      <c r="R1172">
        <v>0.995260694842379</v>
      </c>
      <c r="S1172" t="s">
        <v>5004</v>
      </c>
      <c r="T1172" t="s">
        <v>7662</v>
      </c>
      <c r="U1172" t="s">
        <v>7662</v>
      </c>
      <c r="V1172" t="s">
        <v>7662</v>
      </c>
      <c r="W1172">
        <v>6</v>
      </c>
      <c r="X1172" t="s">
        <v>8834</v>
      </c>
      <c r="Y1172">
        <v>0.37940434871844231</v>
      </c>
      <c r="Z1172" t="str">
        <f>HYPERLINK("Melting_Curves/meltCurve_sp_P54840_GYS2_HUMAN_.pdf", "Melting_Curves/meltCurve_sp_P54840_GYS2_HUMAN_.pdf")</f>
        <v>Melting_Curves/meltCurve_sp_P54840_GYS2_HUMAN_.pdf</v>
      </c>
      <c r="AA1172" t="s">
        <v>12645</v>
      </c>
      <c r="AB1172" t="s">
        <v>16412</v>
      </c>
    </row>
    <row r="1173" spans="1:28" x14ac:dyDescent="0.25">
      <c r="A1173" t="s">
        <v>1177</v>
      </c>
      <c r="B1173">
        <v>0.98876768158843997</v>
      </c>
      <c r="C1173">
        <v>0.87737403845005202</v>
      </c>
      <c r="D1173">
        <v>0.804081553314687</v>
      </c>
      <c r="E1173">
        <v>0.25576471562775999</v>
      </c>
      <c r="F1173">
        <v>8.0022892623161104E-2</v>
      </c>
      <c r="G1173">
        <v>4.1922943133527901E-2</v>
      </c>
      <c r="H1173">
        <v>2.4440209372332801E-2</v>
      </c>
      <c r="I1173">
        <v>2.1415550978741E-2</v>
      </c>
      <c r="J1173">
        <v>2.3816541720124599E-2</v>
      </c>
      <c r="K1173">
        <v>2.26838371752895E-2</v>
      </c>
      <c r="L1173">
        <v>1314.31194695203</v>
      </c>
      <c r="M1173">
        <v>27.378568773543702</v>
      </c>
      <c r="N1173">
        <v>48.079590370894401</v>
      </c>
      <c r="O1173">
        <v>47.751238223343002</v>
      </c>
      <c r="P1173">
        <v>-0.14036545768786901</v>
      </c>
      <c r="Q1173">
        <v>2.0758231302343801E-2</v>
      </c>
      <c r="R1173">
        <v>0.99405454941270299</v>
      </c>
      <c r="S1173" t="s">
        <v>5005</v>
      </c>
      <c r="T1173" t="s">
        <v>7662</v>
      </c>
      <c r="U1173" t="s">
        <v>7662</v>
      </c>
      <c r="V1173" t="s">
        <v>7662</v>
      </c>
      <c r="W1173">
        <v>26</v>
      </c>
      <c r="X1173" t="s">
        <v>8835</v>
      </c>
      <c r="Y1173">
        <v>0.2891977700799776</v>
      </c>
      <c r="Z1173" t="str">
        <f>HYPERLINK("Melting_Curves/meltCurve_sp_P54868_HMCS2_HUMAN_.pdf", "Melting_Curves/meltCurve_sp_P54868_HMCS2_HUMAN_.pdf")</f>
        <v>Melting_Curves/meltCurve_sp_P54868_HMCS2_HUMAN_.pdf</v>
      </c>
      <c r="AA1173" t="s">
        <v>12646</v>
      </c>
      <c r="AB1173" t="s">
        <v>16413</v>
      </c>
    </row>
    <row r="1174" spans="1:28" x14ac:dyDescent="0.25">
      <c r="A1174" t="s">
        <v>1178</v>
      </c>
      <c r="B1174">
        <v>0.98876768158843997</v>
      </c>
      <c r="C1174">
        <v>0.81656695833551496</v>
      </c>
      <c r="D1174">
        <v>0.82461935302942702</v>
      </c>
      <c r="E1174">
        <v>0.35822468252816603</v>
      </c>
      <c r="F1174">
        <v>9.2218888796512105E-2</v>
      </c>
      <c r="G1174">
        <v>5.5768349809041003E-2</v>
      </c>
      <c r="H1174">
        <v>3.1691681611836102E-2</v>
      </c>
      <c r="I1174">
        <v>2.1489907783874301E-2</v>
      </c>
      <c r="J1174">
        <v>2.1689829056931901E-2</v>
      </c>
      <c r="K1174">
        <v>1.9191650843879301E-2</v>
      </c>
      <c r="L1174">
        <v>1075.50430611663</v>
      </c>
      <c r="M1174">
        <v>22.1808269462705</v>
      </c>
      <c r="N1174">
        <v>48.5461044090993</v>
      </c>
      <c r="O1174">
        <v>48.099074350699702</v>
      </c>
      <c r="P1174">
        <v>-0.113779921917676</v>
      </c>
      <c r="Q1174">
        <v>1.30956608922248E-2</v>
      </c>
      <c r="R1174">
        <v>0.98383884136725597</v>
      </c>
      <c r="S1174" t="s">
        <v>5006</v>
      </c>
      <c r="T1174" t="s">
        <v>7662</v>
      </c>
      <c r="U1174" t="s">
        <v>7662</v>
      </c>
      <c r="V1174" t="s">
        <v>7662</v>
      </c>
      <c r="W1174">
        <v>12</v>
      </c>
      <c r="X1174" t="s">
        <v>8836</v>
      </c>
      <c r="Y1174">
        <v>0.30353105955218501</v>
      </c>
      <c r="Z1174" t="str">
        <f>HYPERLINK("Melting_Curves/meltCurve_sp_P54886_2_P5CS_HUMAN_.pdf", "Melting_Curves/meltCurve_sp_P54886_2_P5CS_HUMAN_.pdf")</f>
        <v>Melting_Curves/meltCurve_sp_P54886_2_P5CS_HUMAN_.pdf</v>
      </c>
      <c r="AA1174" t="s">
        <v>12647</v>
      </c>
      <c r="AB1174" t="s">
        <v>16414</v>
      </c>
    </row>
    <row r="1175" spans="1:28" x14ac:dyDescent="0.25">
      <c r="A1175" t="s">
        <v>1179</v>
      </c>
      <c r="B1175">
        <v>0.98876768158843997</v>
      </c>
      <c r="C1175">
        <v>1.07015919369037</v>
      </c>
      <c r="D1175">
        <v>0.86737121423839403</v>
      </c>
      <c r="E1175">
        <v>0.67726446819200103</v>
      </c>
      <c r="F1175">
        <v>0.75251717205039603</v>
      </c>
      <c r="G1175">
        <v>0.38732091959016801</v>
      </c>
      <c r="H1175">
        <v>8.8445227201389795E-2</v>
      </c>
      <c r="I1175">
        <v>7.9422013863354901E-2</v>
      </c>
      <c r="J1175">
        <v>8.5568406528658297E-2</v>
      </c>
      <c r="K1175">
        <v>7.5034006479171703E-2</v>
      </c>
      <c r="L1175">
        <v>794.49531665961899</v>
      </c>
      <c r="M1175">
        <v>14.504881778133599</v>
      </c>
      <c r="N1175">
        <v>54.774339355390197</v>
      </c>
      <c r="O1175">
        <v>53.764799298907299</v>
      </c>
      <c r="P1175">
        <v>-6.7453767071806794E-2</v>
      </c>
      <c r="Q1175">
        <v>0</v>
      </c>
      <c r="R1175">
        <v>0.96113010157798395</v>
      </c>
      <c r="S1175" t="s">
        <v>5007</v>
      </c>
      <c r="T1175" t="s">
        <v>7662</v>
      </c>
      <c r="U1175" t="s">
        <v>7662</v>
      </c>
      <c r="V1175" t="s">
        <v>7662</v>
      </c>
      <c r="W1175">
        <v>19</v>
      </c>
      <c r="X1175" t="s">
        <v>8837</v>
      </c>
      <c r="Y1175">
        <v>0.51278559311724303</v>
      </c>
      <c r="Z1175" t="str">
        <f>HYPERLINK("Melting_Curves/meltCurve_sp_P54920_SNAA_HUMAN_.pdf", "Melting_Curves/meltCurve_sp_P54920_SNAA_HUMAN_.pdf")</f>
        <v>Melting_Curves/meltCurve_sp_P54920_SNAA_HUMAN_.pdf</v>
      </c>
      <c r="AA1175" t="s">
        <v>12648</v>
      </c>
      <c r="AB1175" t="s">
        <v>16415</v>
      </c>
    </row>
    <row r="1176" spans="1:28" x14ac:dyDescent="0.25">
      <c r="A1176" t="s">
        <v>1180</v>
      </c>
      <c r="B1176">
        <v>0.98876768158843997</v>
      </c>
      <c r="C1176">
        <v>0.99102298122809795</v>
      </c>
      <c r="D1176">
        <v>0.86240895509114501</v>
      </c>
      <c r="E1176">
        <v>0.75434804784506504</v>
      </c>
      <c r="F1176">
        <v>0.63046748503321604</v>
      </c>
      <c r="G1176">
        <v>0.45547940049077701</v>
      </c>
      <c r="H1176">
        <v>0.27753834507899899</v>
      </c>
      <c r="I1176">
        <v>0.23823808593146401</v>
      </c>
      <c r="J1176">
        <v>0.25679289653029003</v>
      </c>
      <c r="K1176">
        <v>0.193855255251976</v>
      </c>
      <c r="L1176">
        <v>640.76445494161601</v>
      </c>
      <c r="M1176">
        <v>11.897285816462899</v>
      </c>
      <c r="N1176">
        <v>55.453055352728398</v>
      </c>
      <c r="O1176">
        <v>52.404044945739102</v>
      </c>
      <c r="P1176">
        <v>-4.8545460602571699E-2</v>
      </c>
      <c r="Q1176">
        <v>0.144899217236164</v>
      </c>
      <c r="R1176">
        <v>0.993363178953662</v>
      </c>
      <c r="S1176" t="s">
        <v>5008</v>
      </c>
      <c r="T1176" t="s">
        <v>7662</v>
      </c>
      <c r="U1176" t="s">
        <v>7662</v>
      </c>
      <c r="V1176" t="s">
        <v>7662</v>
      </c>
      <c r="W1176">
        <v>2</v>
      </c>
      <c r="X1176" t="s">
        <v>8838</v>
      </c>
      <c r="Y1176">
        <v>0.56271814716518331</v>
      </c>
      <c r="Z1176" t="str">
        <f>HYPERLINK("Melting_Curves/meltCurve_sp_P55008_AIF1_HUMAN_.pdf", "Melting_Curves/meltCurve_sp_P55008_AIF1_HUMAN_.pdf")</f>
        <v>Melting_Curves/meltCurve_sp_P55008_AIF1_HUMAN_.pdf</v>
      </c>
      <c r="AA1176" t="s">
        <v>12649</v>
      </c>
      <c r="AB1176" t="s">
        <v>16416</v>
      </c>
    </row>
    <row r="1177" spans="1:28" x14ac:dyDescent="0.25">
      <c r="A1177" t="s">
        <v>1181</v>
      </c>
      <c r="B1177">
        <v>0.98876768158843997</v>
      </c>
      <c r="C1177">
        <v>0.99167664436484704</v>
      </c>
      <c r="D1177">
        <v>0.85440329522929903</v>
      </c>
      <c r="E1177">
        <v>0.78210274706684202</v>
      </c>
      <c r="F1177">
        <v>0.59636511440253803</v>
      </c>
      <c r="G1177">
        <v>0.209886400337607</v>
      </c>
      <c r="H1177">
        <v>0.123298076372827</v>
      </c>
      <c r="I1177">
        <v>0.119279498422266</v>
      </c>
      <c r="J1177">
        <v>0.12589178404139201</v>
      </c>
      <c r="K1177">
        <v>9.7375162731592399E-2</v>
      </c>
      <c r="L1177">
        <v>1029.5620414541099</v>
      </c>
      <c r="M1177">
        <v>19.434358928251999</v>
      </c>
      <c r="N1177">
        <v>53.463790002004203</v>
      </c>
      <c r="O1177">
        <v>52.425038635543999</v>
      </c>
      <c r="P1177">
        <v>-8.5156175789701E-2</v>
      </c>
      <c r="Q1177">
        <v>8.1183369882492196E-2</v>
      </c>
      <c r="R1177">
        <v>0.98668022387639098</v>
      </c>
      <c r="S1177" t="s">
        <v>5009</v>
      </c>
      <c r="T1177" t="s">
        <v>7662</v>
      </c>
      <c r="U1177" t="s">
        <v>7662</v>
      </c>
      <c r="V1177" t="s">
        <v>7662</v>
      </c>
      <c r="W1177">
        <v>9</v>
      </c>
      <c r="X1177" t="s">
        <v>8839</v>
      </c>
      <c r="Y1177">
        <v>0.49188365596441291</v>
      </c>
      <c r="Z1177" t="str">
        <f>HYPERLINK("Melting_Curves/meltCurve_sp_P55010_IF5_HUMAN_.pdf", "Melting_Curves/meltCurve_sp_P55010_IF5_HUMAN_.pdf")</f>
        <v>Melting_Curves/meltCurve_sp_P55010_IF5_HUMAN_.pdf</v>
      </c>
      <c r="AA1177" t="s">
        <v>12650</v>
      </c>
      <c r="AB1177" t="s">
        <v>16417</v>
      </c>
    </row>
    <row r="1178" spans="1:28" x14ac:dyDescent="0.25">
      <c r="A1178" t="s">
        <v>1182</v>
      </c>
      <c r="B1178">
        <v>0.98876768158843997</v>
      </c>
      <c r="C1178">
        <v>1.0059251265148099</v>
      </c>
      <c r="D1178">
        <v>0.81437061153887602</v>
      </c>
      <c r="E1178">
        <v>0.58078341719207904</v>
      </c>
      <c r="F1178">
        <v>0.86715495764335704</v>
      </c>
      <c r="G1178">
        <v>0.63409891368243099</v>
      </c>
      <c r="H1178">
        <v>0.46562172465718998</v>
      </c>
      <c r="I1178">
        <v>0.465204927223343</v>
      </c>
      <c r="J1178">
        <v>0.59872516378554697</v>
      </c>
      <c r="K1178">
        <v>0.65039943877419104</v>
      </c>
      <c r="L1178">
        <v>660.45184062127998</v>
      </c>
      <c r="M1178">
        <v>13.694339005262201</v>
      </c>
      <c r="O1178">
        <v>47.234551343183398</v>
      </c>
      <c r="P1178">
        <v>-3.2049197485438698E-2</v>
      </c>
      <c r="Q1178">
        <v>0.55788705778598202</v>
      </c>
      <c r="R1178">
        <v>0.70391162896458404</v>
      </c>
      <c r="S1178" t="s">
        <v>5010</v>
      </c>
      <c r="T1178" t="s">
        <v>7662</v>
      </c>
      <c r="U1178" t="s">
        <v>7662</v>
      </c>
      <c r="V1178" t="s">
        <v>7662</v>
      </c>
      <c r="W1178">
        <v>9</v>
      </c>
      <c r="X1178" t="s">
        <v>8840</v>
      </c>
      <c r="Y1178">
        <v>0.69255601820534807</v>
      </c>
      <c r="Z1178" t="str">
        <f>HYPERLINK("Melting_Curves/meltCurve_sp_P55036_PSMD4_HUMAN_.pdf", "Melting_Curves/meltCurve_sp_P55036_PSMD4_HUMAN_.pdf")</f>
        <v>Melting_Curves/meltCurve_sp_P55036_PSMD4_HUMAN_.pdf</v>
      </c>
      <c r="AA1178" t="s">
        <v>12651</v>
      </c>
      <c r="AB1178" t="s">
        <v>16418</v>
      </c>
    </row>
    <row r="1179" spans="1:28" x14ac:dyDescent="0.25">
      <c r="A1179" t="s">
        <v>1183</v>
      </c>
      <c r="B1179">
        <v>0.98876768158843997</v>
      </c>
      <c r="C1179">
        <v>0.874958740272754</v>
      </c>
      <c r="D1179">
        <v>0.64348503454969597</v>
      </c>
      <c r="E1179">
        <v>0.275363776320874</v>
      </c>
      <c r="F1179">
        <v>0.12527043797628101</v>
      </c>
      <c r="G1179">
        <v>6.6969148797874106E-2</v>
      </c>
      <c r="H1179">
        <v>4.4239731810547002E-2</v>
      </c>
      <c r="I1179">
        <v>3.1369926979693097E-2</v>
      </c>
      <c r="J1179">
        <v>5.2858254756027998E-2</v>
      </c>
      <c r="K1179">
        <v>4.0514861230579902E-2</v>
      </c>
      <c r="L1179">
        <v>949.48783125718001</v>
      </c>
      <c r="M1179">
        <v>20.123560926420801</v>
      </c>
      <c r="N1179">
        <v>47.363796185342999</v>
      </c>
      <c r="O1179">
        <v>46.7243707167206</v>
      </c>
      <c r="P1179">
        <v>-0.103692256821849</v>
      </c>
      <c r="Q1179">
        <v>3.6989217193212097E-2</v>
      </c>
      <c r="R1179">
        <v>0.99945201918809701</v>
      </c>
      <c r="S1179" t="s">
        <v>5011</v>
      </c>
      <c r="T1179" t="s">
        <v>7662</v>
      </c>
      <c r="U1179" t="s">
        <v>7662</v>
      </c>
      <c r="V1179" t="s">
        <v>7662</v>
      </c>
      <c r="W1179">
        <v>7</v>
      </c>
      <c r="X1179" t="s">
        <v>8841</v>
      </c>
      <c r="Y1179">
        <v>0.28137477309161729</v>
      </c>
      <c r="Z1179" t="str">
        <f>HYPERLINK("Melting_Curves/meltCurve_sp_P55039_DRG2_HUMAN_.pdf", "Melting_Curves/meltCurve_sp_P55039_DRG2_HUMAN_.pdf")</f>
        <v>Melting_Curves/meltCurve_sp_P55039_DRG2_HUMAN_.pdf</v>
      </c>
      <c r="AA1179" t="s">
        <v>12652</v>
      </c>
      <c r="AB1179" t="s">
        <v>16419</v>
      </c>
    </row>
    <row r="1180" spans="1:28" x14ac:dyDescent="0.25">
      <c r="A1180" t="s">
        <v>1184</v>
      </c>
      <c r="B1180">
        <v>0.98876768158843997</v>
      </c>
      <c r="C1180">
        <v>1.01675950264844</v>
      </c>
      <c r="D1180">
        <v>0.89737591647728199</v>
      </c>
      <c r="E1180">
        <v>0.89836803878667704</v>
      </c>
      <c r="F1180">
        <v>0.60261896594797704</v>
      </c>
      <c r="G1180">
        <v>0.57215653511725595</v>
      </c>
      <c r="H1180">
        <v>0.473583479487521</v>
      </c>
      <c r="I1180">
        <v>0.47401860785011002</v>
      </c>
      <c r="J1180">
        <v>0.40154382995219501</v>
      </c>
      <c r="K1180">
        <v>0.31147852053910202</v>
      </c>
      <c r="L1180">
        <v>667.39659579362205</v>
      </c>
      <c r="M1180">
        <v>12.395601450922801</v>
      </c>
      <c r="N1180">
        <v>59.160494167241602</v>
      </c>
      <c r="O1180">
        <v>52.4976794981973</v>
      </c>
      <c r="P1180">
        <v>-3.9206289758554197E-2</v>
      </c>
      <c r="Q1180">
        <v>0.33595742095214798</v>
      </c>
      <c r="R1180">
        <v>0.95666894279444603</v>
      </c>
      <c r="S1180" t="s">
        <v>5012</v>
      </c>
      <c r="T1180" t="s">
        <v>7662</v>
      </c>
      <c r="U1180" t="s">
        <v>7662</v>
      </c>
      <c r="V1180" t="s">
        <v>7662</v>
      </c>
      <c r="W1180">
        <v>2</v>
      </c>
      <c r="X1180" t="s">
        <v>8842</v>
      </c>
      <c r="Y1180">
        <v>0.65938688359456821</v>
      </c>
      <c r="Z1180" t="str">
        <f>HYPERLINK("Melting_Curves/meltCurve_sp_P55058_PLTP_HUMAN_.pdf", "Melting_Curves/meltCurve_sp_P55058_PLTP_HUMAN_.pdf")</f>
        <v>Melting_Curves/meltCurve_sp_P55058_PLTP_HUMAN_.pdf</v>
      </c>
      <c r="AA1180" t="s">
        <v>12653</v>
      </c>
      <c r="AB1180" t="s">
        <v>16420</v>
      </c>
    </row>
    <row r="1181" spans="1:28" x14ac:dyDescent="0.25">
      <c r="A1181" t="s">
        <v>1185</v>
      </c>
      <c r="B1181">
        <v>0.98876768158843997</v>
      </c>
      <c r="C1181">
        <v>0.89738464700079701</v>
      </c>
      <c r="D1181">
        <v>0.92496206880530696</v>
      </c>
      <c r="E1181">
        <v>0.82646765525389798</v>
      </c>
      <c r="F1181">
        <v>0.10971346948338501</v>
      </c>
      <c r="G1181">
        <v>6.7199914665566698E-2</v>
      </c>
      <c r="H1181">
        <v>3.4405713201185698E-2</v>
      </c>
      <c r="I1181">
        <v>2.7982646227527701E-2</v>
      </c>
      <c r="J1181">
        <v>3.6182316631994997E-2</v>
      </c>
      <c r="K1181">
        <v>2.6414202143444199E-2</v>
      </c>
      <c r="L1181">
        <v>3538.81363658792</v>
      </c>
      <c r="M1181">
        <v>69.268018485060395</v>
      </c>
      <c r="N1181">
        <v>51.1471434768508</v>
      </c>
      <c r="O1181">
        <v>51.046195056614401</v>
      </c>
      <c r="P1181">
        <v>-0.32633743675270099</v>
      </c>
      <c r="Q1181">
        <v>3.8039485582392001E-2</v>
      </c>
      <c r="R1181">
        <v>0.99034555342086505</v>
      </c>
      <c r="S1181" t="s">
        <v>5013</v>
      </c>
      <c r="T1181" t="s">
        <v>7662</v>
      </c>
      <c r="U1181" t="s">
        <v>7662</v>
      </c>
      <c r="V1181" t="s">
        <v>7662</v>
      </c>
      <c r="W1181">
        <v>22</v>
      </c>
      <c r="X1181" t="s">
        <v>8843</v>
      </c>
      <c r="Y1181">
        <v>0.39472932389960608</v>
      </c>
      <c r="Z1181" t="str">
        <f>HYPERLINK("Melting_Curves/meltCurve_sp_P55060_3_XPO2_HUMAN_.pdf", "Melting_Curves/meltCurve_sp_P55060_3_XPO2_HUMAN_.pdf")</f>
        <v>Melting_Curves/meltCurve_sp_P55060_3_XPO2_HUMAN_.pdf</v>
      </c>
      <c r="AA1181" t="s">
        <v>12654</v>
      </c>
      <c r="AB1181" t="s">
        <v>16421</v>
      </c>
    </row>
    <row r="1182" spans="1:28" x14ac:dyDescent="0.25">
      <c r="A1182" t="s">
        <v>1186</v>
      </c>
      <c r="B1182">
        <v>0.98876768158843997</v>
      </c>
      <c r="C1182">
        <v>0.96754705399948804</v>
      </c>
      <c r="D1182">
        <v>1.08849561796927</v>
      </c>
      <c r="E1182">
        <v>0.98038462366436996</v>
      </c>
      <c r="F1182">
        <v>0.56552387178195396</v>
      </c>
      <c r="G1182">
        <v>0.47732444617293401</v>
      </c>
      <c r="H1182">
        <v>0.44511309198046201</v>
      </c>
      <c r="I1182">
        <v>0.48666946755298501</v>
      </c>
      <c r="J1182">
        <v>0.25011869883219601</v>
      </c>
      <c r="K1182">
        <v>7.9578061869010799E-2</v>
      </c>
      <c r="L1182">
        <v>613.26966077053999</v>
      </c>
      <c r="M1182">
        <v>10.6370484905115</v>
      </c>
      <c r="N1182">
        <v>58.520044602706697</v>
      </c>
      <c r="O1182">
        <v>55.728398355838699</v>
      </c>
      <c r="P1182">
        <v>-4.4260518201113701E-2</v>
      </c>
      <c r="Q1182">
        <v>7.2817399499651006E-2</v>
      </c>
      <c r="R1182">
        <v>0.88920259501825105</v>
      </c>
      <c r="S1182" t="s">
        <v>5014</v>
      </c>
      <c r="T1182" t="s">
        <v>7662</v>
      </c>
      <c r="U1182" t="s">
        <v>7662</v>
      </c>
      <c r="V1182" t="s">
        <v>7662</v>
      </c>
      <c r="W1182">
        <v>46</v>
      </c>
      <c r="X1182" t="s">
        <v>8844</v>
      </c>
      <c r="Y1182">
        <v>0.63048316850940567</v>
      </c>
      <c r="Z1182" t="str">
        <f>HYPERLINK("Melting_Curves/meltCurve_sp_P55072_TERA_HUMAN_.pdf", "Melting_Curves/meltCurve_sp_P55072_TERA_HUMAN_.pdf")</f>
        <v>Melting_Curves/meltCurve_sp_P55072_TERA_HUMAN_.pdf</v>
      </c>
      <c r="AA1182" t="s">
        <v>12655</v>
      </c>
      <c r="AB1182" t="s">
        <v>16422</v>
      </c>
    </row>
    <row r="1183" spans="1:28" x14ac:dyDescent="0.25">
      <c r="A1183" t="s">
        <v>1187</v>
      </c>
      <c r="B1183">
        <v>0.98876768158843997</v>
      </c>
      <c r="C1183">
        <v>0.96250229678575905</v>
      </c>
      <c r="D1183">
        <v>0.74426948016097505</v>
      </c>
      <c r="E1183">
        <v>0.66522389528208703</v>
      </c>
      <c r="F1183">
        <v>0.95610383353635298</v>
      </c>
      <c r="G1183">
        <v>0.65206598675842498</v>
      </c>
      <c r="H1183">
        <v>0.52580211971900503</v>
      </c>
      <c r="I1183">
        <v>0.56037602767722205</v>
      </c>
      <c r="J1183">
        <v>1.0181990101341201</v>
      </c>
      <c r="K1183">
        <v>0.91847062189356699</v>
      </c>
      <c r="L1183">
        <v>10798.382779875001</v>
      </c>
      <c r="M1183">
        <v>250</v>
      </c>
      <c r="O1183">
        <v>43.190767054162997</v>
      </c>
      <c r="P1183">
        <v>-0.35443937427313199</v>
      </c>
      <c r="Q1183">
        <v>0.75506386529594405</v>
      </c>
      <c r="R1183">
        <v>0.24107366669876801</v>
      </c>
      <c r="S1183" t="s">
        <v>5015</v>
      </c>
      <c r="T1183" t="s">
        <v>7662</v>
      </c>
      <c r="U1183" t="s">
        <v>7662</v>
      </c>
      <c r="V1183" t="s">
        <v>7662</v>
      </c>
      <c r="W1183">
        <v>4</v>
      </c>
      <c r="X1183" t="s">
        <v>8845</v>
      </c>
      <c r="Y1183">
        <v>0.78115613804670403</v>
      </c>
      <c r="Z1183" t="str">
        <f>HYPERLINK("Melting_Curves/meltCurve_sp_P55081_MFAP1_HUMAN_.pdf", "Melting_Curves/meltCurve_sp_P55081_MFAP1_HUMAN_.pdf")</f>
        <v>Melting_Curves/meltCurve_sp_P55081_MFAP1_HUMAN_.pdf</v>
      </c>
      <c r="AA1183" t="s">
        <v>12656</v>
      </c>
      <c r="AB1183" t="s">
        <v>16423</v>
      </c>
    </row>
    <row r="1184" spans="1:28" x14ac:dyDescent="0.25">
      <c r="A1184" t="s">
        <v>1188</v>
      </c>
      <c r="B1184">
        <v>0.98876768158843997</v>
      </c>
      <c r="C1184">
        <v>1.17566055180014</v>
      </c>
      <c r="D1184">
        <v>0.84671677565471903</v>
      </c>
      <c r="E1184">
        <v>0.78994440680678202</v>
      </c>
      <c r="F1184">
        <v>0.97932599137301202</v>
      </c>
      <c r="G1184">
        <v>0.68670637119325995</v>
      </c>
      <c r="H1184">
        <v>0.52662367711658198</v>
      </c>
      <c r="I1184">
        <v>0.65776747400594504</v>
      </c>
      <c r="J1184">
        <v>0.68431361011774094</v>
      </c>
      <c r="K1184">
        <v>0.88014305923464797</v>
      </c>
      <c r="L1184">
        <v>863.94180631833501</v>
      </c>
      <c r="M1184">
        <v>16.9423329901736</v>
      </c>
      <c r="O1184">
        <v>50.298565388160903</v>
      </c>
      <c r="P1184">
        <v>-2.6107876571420899E-2</v>
      </c>
      <c r="Q1184">
        <v>0.68998216951010305</v>
      </c>
      <c r="R1184">
        <v>0.52256449178725795</v>
      </c>
      <c r="S1184" t="s">
        <v>5016</v>
      </c>
      <c r="T1184" t="s">
        <v>7662</v>
      </c>
      <c r="U1184" t="s">
        <v>7662</v>
      </c>
      <c r="V1184" t="s">
        <v>7662</v>
      </c>
      <c r="W1184">
        <v>17</v>
      </c>
      <c r="X1184" t="s">
        <v>8846</v>
      </c>
      <c r="Y1184">
        <v>0.80940315566792931</v>
      </c>
      <c r="Z1184" t="str">
        <f>HYPERLINK("Melting_Curves/meltCurve_sp_P55145_MANF_HUMAN_.pdf", "Melting_Curves/meltCurve_sp_P55145_MANF_HUMAN_.pdf")</f>
        <v>Melting_Curves/meltCurve_sp_P55145_MANF_HUMAN_.pdf</v>
      </c>
      <c r="AA1184" t="s">
        <v>12657</v>
      </c>
      <c r="AB1184" t="s">
        <v>16424</v>
      </c>
    </row>
    <row r="1185" spans="1:28" x14ac:dyDescent="0.25">
      <c r="A1185" t="s">
        <v>1189</v>
      </c>
      <c r="B1185">
        <v>0.98876768158843997</v>
      </c>
      <c r="C1185">
        <v>0.88547236184726097</v>
      </c>
      <c r="D1185">
        <v>1.05037989039491</v>
      </c>
      <c r="E1185">
        <v>0.96684027947102302</v>
      </c>
      <c r="F1185">
        <v>0.53499167572425999</v>
      </c>
      <c r="G1185">
        <v>0.18389472998513601</v>
      </c>
      <c r="H1185">
        <v>6.8885293500022302E-2</v>
      </c>
      <c r="I1185">
        <v>5.4534329522891098E-2</v>
      </c>
      <c r="J1185">
        <v>4.6522120868836302E-2</v>
      </c>
      <c r="K1185">
        <v>4.1350368551349E-2</v>
      </c>
      <c r="L1185">
        <v>1943.55883401404</v>
      </c>
      <c r="M1185">
        <v>36.516325558706299</v>
      </c>
      <c r="N1185">
        <v>53.4066658319827</v>
      </c>
      <c r="O1185">
        <v>53.065515963763502</v>
      </c>
      <c r="P1185">
        <v>-0.16195473637570201</v>
      </c>
      <c r="Q1185">
        <v>5.8592480430882103E-2</v>
      </c>
      <c r="R1185">
        <v>0.98772104192847199</v>
      </c>
      <c r="S1185" t="s">
        <v>5017</v>
      </c>
      <c r="T1185" t="s">
        <v>7662</v>
      </c>
      <c r="U1185" t="s">
        <v>7662</v>
      </c>
      <c r="V1185" t="s">
        <v>7662</v>
      </c>
      <c r="W1185">
        <v>35</v>
      </c>
      <c r="X1185" t="s">
        <v>8847</v>
      </c>
      <c r="Y1185">
        <v>0.47772793269391778</v>
      </c>
      <c r="Z1185" t="str">
        <f>HYPERLINK("Melting_Curves/meltCurve_sp_P55157_MTP_HUMAN_.pdf", "Melting_Curves/meltCurve_sp_P55157_MTP_HUMAN_.pdf")</f>
        <v>Melting_Curves/meltCurve_sp_P55157_MTP_HUMAN_.pdf</v>
      </c>
      <c r="AA1185" t="s">
        <v>12658</v>
      </c>
      <c r="AB1185" t="s">
        <v>16425</v>
      </c>
    </row>
    <row r="1186" spans="1:28" x14ac:dyDescent="0.25">
      <c r="A1186" t="s">
        <v>1190</v>
      </c>
      <c r="B1186">
        <v>0.98876768158843997</v>
      </c>
      <c r="C1186">
        <v>1.0284208217777699</v>
      </c>
      <c r="D1186">
        <v>0.89144149239475201</v>
      </c>
      <c r="E1186">
        <v>0.73835213268715005</v>
      </c>
      <c r="F1186">
        <v>0.53547491270594305</v>
      </c>
      <c r="G1186">
        <v>0.36764477658224898</v>
      </c>
      <c r="H1186">
        <v>0.26687036088133198</v>
      </c>
      <c r="I1186">
        <v>0.30213128110399201</v>
      </c>
      <c r="J1186">
        <v>0.36659150759583398</v>
      </c>
      <c r="K1186">
        <v>0.406268091812931</v>
      </c>
      <c r="L1186">
        <v>1142.8845890704599</v>
      </c>
      <c r="M1186">
        <v>22.488884248077301</v>
      </c>
      <c r="N1186">
        <v>53.366790625056403</v>
      </c>
      <c r="O1186">
        <v>50.423258964646401</v>
      </c>
      <c r="P1186">
        <v>-7.4812904774556196E-2</v>
      </c>
      <c r="Q1186">
        <v>0.32904927902355002</v>
      </c>
      <c r="R1186">
        <v>0.97603622192591599</v>
      </c>
      <c r="S1186" t="s">
        <v>5018</v>
      </c>
      <c r="T1186" t="s">
        <v>7662</v>
      </c>
      <c r="U1186" t="s">
        <v>7662</v>
      </c>
      <c r="V1186" t="s">
        <v>7662</v>
      </c>
      <c r="W1186">
        <v>37</v>
      </c>
      <c r="X1186" t="s">
        <v>8848</v>
      </c>
      <c r="Y1186">
        <v>0.57848185896901605</v>
      </c>
      <c r="Z1186" t="str">
        <f>HYPERLINK("Melting_Curves/meltCurve_sp_P55196_AFAD_HUMAN_.pdf", "Melting_Curves/meltCurve_sp_P55196_AFAD_HUMAN_.pdf")</f>
        <v>Melting_Curves/meltCurve_sp_P55196_AFAD_HUMAN_.pdf</v>
      </c>
      <c r="AA1186" t="s">
        <v>12659</v>
      </c>
      <c r="AB1186" t="s">
        <v>16426</v>
      </c>
    </row>
    <row r="1187" spans="1:28" x14ac:dyDescent="0.25">
      <c r="A1187" t="s">
        <v>1191</v>
      </c>
      <c r="B1187">
        <v>0.98876768158843997</v>
      </c>
      <c r="C1187">
        <v>0.99818661689942401</v>
      </c>
      <c r="D1187">
        <v>0.83949352458087301</v>
      </c>
      <c r="E1187">
        <v>0.61221084341663301</v>
      </c>
      <c r="F1187">
        <v>0.49523206579554402</v>
      </c>
      <c r="G1187">
        <v>0.28505326382049201</v>
      </c>
      <c r="H1187">
        <v>0.18549935269848</v>
      </c>
      <c r="I1187">
        <v>0.133320290512421</v>
      </c>
      <c r="J1187">
        <v>0.20039643824901501</v>
      </c>
      <c r="K1187">
        <v>0.106970693015958</v>
      </c>
      <c r="L1187">
        <v>730.34063860603396</v>
      </c>
      <c r="M1187">
        <v>14.218517213517799</v>
      </c>
      <c r="N1187">
        <v>52.300704833153802</v>
      </c>
      <c r="O1187">
        <v>50.381458245778099</v>
      </c>
      <c r="P1187">
        <v>-6.2642186106250899E-2</v>
      </c>
      <c r="Q1187">
        <v>0.11225318105252299</v>
      </c>
      <c r="R1187">
        <v>0.99146579428706005</v>
      </c>
      <c r="S1187" t="s">
        <v>5019</v>
      </c>
      <c r="T1187" t="s">
        <v>7662</v>
      </c>
      <c r="U1187" t="s">
        <v>7662</v>
      </c>
      <c r="V1187" t="s">
        <v>7662</v>
      </c>
      <c r="W1187">
        <v>7</v>
      </c>
      <c r="X1187" t="s">
        <v>8849</v>
      </c>
      <c r="Y1187">
        <v>0.47063964505257883</v>
      </c>
      <c r="Z1187" t="str">
        <f>HYPERLINK("Melting_Curves/meltCurve_sp_P55210_CASP7_HUMAN_.pdf", "Melting_Curves/meltCurve_sp_P55210_CASP7_HUMAN_.pdf")</f>
        <v>Melting_Curves/meltCurve_sp_P55210_CASP7_HUMAN_.pdf</v>
      </c>
      <c r="AA1187" t="s">
        <v>12660</v>
      </c>
      <c r="AB1187" t="s">
        <v>16427</v>
      </c>
    </row>
    <row r="1188" spans="1:28" x14ac:dyDescent="0.25">
      <c r="A1188" t="s">
        <v>1192</v>
      </c>
      <c r="B1188">
        <v>0.98876768158843997</v>
      </c>
      <c r="C1188">
        <v>1.01329527844777</v>
      </c>
      <c r="D1188">
        <v>0.81416823447053699</v>
      </c>
      <c r="E1188">
        <v>0.65806247213442404</v>
      </c>
      <c r="F1188">
        <v>0.57933003734611799</v>
      </c>
      <c r="G1188">
        <v>0.41366287724054301</v>
      </c>
      <c r="H1188">
        <v>0.30379479520674202</v>
      </c>
      <c r="I1188">
        <v>0.32126633377680403</v>
      </c>
      <c r="J1188">
        <v>0.36215598855738002</v>
      </c>
      <c r="K1188">
        <v>0.34423360612003501</v>
      </c>
      <c r="L1188">
        <v>748.49588857009599</v>
      </c>
      <c r="M1188">
        <v>14.885281407552901</v>
      </c>
      <c r="N1188">
        <v>53.853692957375401</v>
      </c>
      <c r="O1188">
        <v>49.402907979838602</v>
      </c>
      <c r="P1188">
        <v>-5.1710838096315499E-2</v>
      </c>
      <c r="Q1188">
        <v>0.31357683716541002</v>
      </c>
      <c r="R1188">
        <v>0.98008765605205495</v>
      </c>
      <c r="S1188" t="s">
        <v>5020</v>
      </c>
      <c r="T1188" t="s">
        <v>7662</v>
      </c>
      <c r="U1188" t="s">
        <v>7662</v>
      </c>
      <c r="V1188" t="s">
        <v>7662</v>
      </c>
      <c r="W1188">
        <v>14</v>
      </c>
      <c r="X1188" t="s">
        <v>8850</v>
      </c>
      <c r="Y1188">
        <v>0.56532772477111548</v>
      </c>
      <c r="Z1188" t="str">
        <f>HYPERLINK("Melting_Curves/meltCurve_sp_P55212_CASP6_HUMAN_.pdf", "Melting_Curves/meltCurve_sp_P55212_CASP6_HUMAN_.pdf")</f>
        <v>Melting_Curves/meltCurve_sp_P55212_CASP6_HUMAN_.pdf</v>
      </c>
      <c r="AA1188" t="s">
        <v>12661</v>
      </c>
      <c r="AB1188" t="s">
        <v>16428</v>
      </c>
    </row>
    <row r="1189" spans="1:28" x14ac:dyDescent="0.25">
      <c r="A1189" t="s">
        <v>1193</v>
      </c>
      <c r="B1189">
        <v>0.98876768158843997</v>
      </c>
      <c r="C1189">
        <v>1.0520709376311801</v>
      </c>
      <c r="D1189">
        <v>0.81414099443207999</v>
      </c>
      <c r="E1189">
        <v>0.59771073920940698</v>
      </c>
      <c r="F1189">
        <v>0.26749033022378199</v>
      </c>
      <c r="G1189">
        <v>0.111955657752485</v>
      </c>
      <c r="H1189">
        <v>6.7567800720077398E-2</v>
      </c>
      <c r="I1189">
        <v>5.4394458013331801E-2</v>
      </c>
      <c r="J1189">
        <v>6.4057545825586204E-2</v>
      </c>
      <c r="K1189">
        <v>5.0432484072566702E-2</v>
      </c>
      <c r="L1189">
        <v>1054.09623146272</v>
      </c>
      <c r="M1189">
        <v>20.947222579732699</v>
      </c>
      <c r="N1189">
        <v>50.551386424952703</v>
      </c>
      <c r="O1189">
        <v>49.869642896457002</v>
      </c>
      <c r="P1189">
        <v>-0.100242674195338</v>
      </c>
      <c r="Q1189">
        <v>4.5423635564466998E-2</v>
      </c>
      <c r="R1189">
        <v>0.99135675095761899</v>
      </c>
      <c r="S1189" t="s">
        <v>5021</v>
      </c>
      <c r="T1189" t="s">
        <v>7662</v>
      </c>
      <c r="U1189" t="s">
        <v>7662</v>
      </c>
      <c r="V1189" t="s">
        <v>7662</v>
      </c>
      <c r="W1189">
        <v>20</v>
      </c>
      <c r="X1189" t="s">
        <v>8851</v>
      </c>
      <c r="Y1189">
        <v>0.38598379854828629</v>
      </c>
      <c r="Z1189" t="str">
        <f>HYPERLINK("Melting_Curves/meltCurve_sp_P55263_ADK_HUMAN_.pdf", "Melting_Curves/meltCurve_sp_P55263_ADK_HUMAN_.pdf")</f>
        <v>Melting_Curves/meltCurve_sp_P55263_ADK_HUMAN_.pdf</v>
      </c>
      <c r="AA1189" t="s">
        <v>12662</v>
      </c>
      <c r="AB1189" t="s">
        <v>16429</v>
      </c>
    </row>
    <row r="1190" spans="1:28" x14ac:dyDescent="0.25">
      <c r="A1190" t="s">
        <v>1194</v>
      </c>
      <c r="B1190">
        <v>0.98876768158843997</v>
      </c>
      <c r="C1190">
        <v>1.12039499207397</v>
      </c>
      <c r="D1190">
        <v>0.88200123321566004</v>
      </c>
      <c r="E1190">
        <v>0.80948154744681799</v>
      </c>
      <c r="F1190">
        <v>0.74994617274006903</v>
      </c>
      <c r="G1190">
        <v>0.34249660461887399</v>
      </c>
      <c r="H1190">
        <v>0.187274656409913</v>
      </c>
      <c r="I1190">
        <v>0.18430765980911101</v>
      </c>
      <c r="J1190">
        <v>0.20793351992255599</v>
      </c>
      <c r="K1190">
        <v>0.206902356281424</v>
      </c>
      <c r="L1190">
        <v>1177.42785000818</v>
      </c>
      <c r="M1190">
        <v>21.790794790634799</v>
      </c>
      <c r="N1190">
        <v>55.080405409396697</v>
      </c>
      <c r="O1190">
        <v>53.584382734350797</v>
      </c>
      <c r="P1190">
        <v>-8.4426561628705807E-2</v>
      </c>
      <c r="Q1190">
        <v>0.16958687228500099</v>
      </c>
      <c r="R1190">
        <v>0.96792009778607202</v>
      </c>
      <c r="S1190" t="s">
        <v>5022</v>
      </c>
      <c r="T1190" t="s">
        <v>7662</v>
      </c>
      <c r="U1190" t="s">
        <v>7662</v>
      </c>
      <c r="V1190" t="s">
        <v>7662</v>
      </c>
      <c r="W1190">
        <v>14</v>
      </c>
      <c r="X1190" t="s">
        <v>8852</v>
      </c>
      <c r="Y1190">
        <v>0.56782307238244623</v>
      </c>
      <c r="Z1190" t="str">
        <f>HYPERLINK("Melting_Curves/meltCurve_sp_P55265_5_DSRAD_HUMAN_.pdf", "Melting_Curves/meltCurve_sp_P55265_5_DSRAD_HUMAN_.pdf")</f>
        <v>Melting_Curves/meltCurve_sp_P55265_5_DSRAD_HUMAN_.pdf</v>
      </c>
      <c r="AA1190" t="s">
        <v>12663</v>
      </c>
      <c r="AB1190" t="s">
        <v>16430</v>
      </c>
    </row>
    <row r="1191" spans="1:28" x14ac:dyDescent="0.25">
      <c r="A1191" t="s">
        <v>1195</v>
      </c>
      <c r="B1191">
        <v>0.98876768158843997</v>
      </c>
      <c r="C1191">
        <v>0.90950638264146</v>
      </c>
      <c r="D1191">
        <v>1.0880751156995501</v>
      </c>
      <c r="E1191">
        <v>0.727122205495632</v>
      </c>
      <c r="F1191">
        <v>0.495049811494019</v>
      </c>
      <c r="G1191">
        <v>0.318140874276793</v>
      </c>
      <c r="H1191">
        <v>0.247842284300923</v>
      </c>
      <c r="I1191">
        <v>0.25145163903086898</v>
      </c>
      <c r="J1191">
        <v>0.28225459685625598</v>
      </c>
      <c r="K1191">
        <v>0.294382708768826</v>
      </c>
      <c r="L1191">
        <v>1508.7789398121799</v>
      </c>
      <c r="M1191">
        <v>29.4361683744964</v>
      </c>
      <c r="N1191">
        <v>52.655521977563701</v>
      </c>
      <c r="O1191">
        <v>51.021145711023799</v>
      </c>
      <c r="P1191">
        <v>-0.105097713107001</v>
      </c>
      <c r="Q1191">
        <v>0.271349727232996</v>
      </c>
      <c r="R1191">
        <v>0.97577535488799605</v>
      </c>
      <c r="S1191" t="s">
        <v>5023</v>
      </c>
      <c r="T1191" t="s">
        <v>7662</v>
      </c>
      <c r="U1191" t="s">
        <v>7662</v>
      </c>
      <c r="V1191" t="s">
        <v>7662</v>
      </c>
      <c r="W1191">
        <v>2</v>
      </c>
      <c r="X1191" t="s">
        <v>8853</v>
      </c>
      <c r="Y1191">
        <v>0.54951640417209313</v>
      </c>
      <c r="Z1191" t="str">
        <f>HYPERLINK("Melting_Curves/meltCurve_sp_P55268_LAMB2_HUMAN_.pdf", "Melting_Curves/meltCurve_sp_P55268_LAMB2_HUMAN_.pdf")</f>
        <v>Melting_Curves/meltCurve_sp_P55268_LAMB2_HUMAN_.pdf</v>
      </c>
      <c r="AA1191" t="s">
        <v>12664</v>
      </c>
      <c r="AB1191" t="s">
        <v>16431</v>
      </c>
    </row>
    <row r="1192" spans="1:28" x14ac:dyDescent="0.25">
      <c r="A1192" t="s">
        <v>1196</v>
      </c>
      <c r="B1192">
        <v>0.98876768158843997</v>
      </c>
      <c r="C1192">
        <v>0.85632339542390601</v>
      </c>
      <c r="D1192">
        <v>1.0754291520639101</v>
      </c>
      <c r="E1192">
        <v>0.88483283812167501</v>
      </c>
      <c r="F1192">
        <v>0.56237449246264903</v>
      </c>
      <c r="G1192">
        <v>0.15513472838391401</v>
      </c>
      <c r="H1192">
        <v>3.98394099249849E-2</v>
      </c>
      <c r="I1192">
        <v>2.3912181205149399E-2</v>
      </c>
      <c r="J1192">
        <v>2.0106060544877701E-2</v>
      </c>
      <c r="K1192">
        <v>2.7845799986228902E-2</v>
      </c>
      <c r="L1192">
        <v>1618.3266082514499</v>
      </c>
      <c r="M1192">
        <v>30.307857568646799</v>
      </c>
      <c r="N1192">
        <v>53.473991369748603</v>
      </c>
      <c r="O1192">
        <v>53.165434277997797</v>
      </c>
      <c r="P1192">
        <v>-0.13944684935302701</v>
      </c>
      <c r="Q1192">
        <v>2.15468453196705E-2</v>
      </c>
      <c r="R1192">
        <v>0.98503139180611599</v>
      </c>
      <c r="S1192" t="s">
        <v>5024</v>
      </c>
      <c r="T1192" t="s">
        <v>7662</v>
      </c>
      <c r="U1192" t="s">
        <v>7662</v>
      </c>
      <c r="V1192" t="s">
        <v>7662</v>
      </c>
      <c r="W1192">
        <v>7</v>
      </c>
      <c r="X1192" t="s">
        <v>8854</v>
      </c>
      <c r="Y1192">
        <v>0.46472142246049031</v>
      </c>
      <c r="Z1192" t="str">
        <f>HYPERLINK("Melting_Curves/meltCurve_sp_P55735_SEC13_HUMAN_.pdf", "Melting_Curves/meltCurve_sp_P55735_SEC13_HUMAN_.pdf")</f>
        <v>Melting_Curves/meltCurve_sp_P55735_SEC13_HUMAN_.pdf</v>
      </c>
      <c r="AA1192" t="s">
        <v>12665</v>
      </c>
      <c r="AB1192" t="s">
        <v>16432</v>
      </c>
    </row>
    <row r="1193" spans="1:28" x14ac:dyDescent="0.25">
      <c r="A1193" t="s">
        <v>1197</v>
      </c>
      <c r="B1193">
        <v>0.98876768158843997</v>
      </c>
      <c r="C1193">
        <v>1.0994746274774501</v>
      </c>
      <c r="D1193">
        <v>0.78726608934467701</v>
      </c>
      <c r="E1193">
        <v>0.42008193108261799</v>
      </c>
      <c r="F1193">
        <v>0.19848328255203401</v>
      </c>
      <c r="G1193">
        <v>0.11107648264868999</v>
      </c>
      <c r="H1193">
        <v>6.1935125044849403E-2</v>
      </c>
      <c r="I1193">
        <v>5.0105259339946903E-2</v>
      </c>
      <c r="J1193">
        <v>5.0725357067044799E-2</v>
      </c>
      <c r="K1193">
        <v>5.47745322948845E-2</v>
      </c>
      <c r="L1193">
        <v>1161.2818315826</v>
      </c>
      <c r="M1193">
        <v>23.7110489252034</v>
      </c>
      <c r="N1193">
        <v>49.228666614907397</v>
      </c>
      <c r="O1193">
        <v>48.632025111820198</v>
      </c>
      <c r="P1193">
        <v>-0.114919137741106</v>
      </c>
      <c r="Q1193">
        <v>5.7206206661244097E-2</v>
      </c>
      <c r="R1193">
        <v>0.98734455069360405</v>
      </c>
      <c r="S1193" t="s">
        <v>5025</v>
      </c>
      <c r="T1193" t="s">
        <v>7662</v>
      </c>
      <c r="U1193" t="s">
        <v>7662</v>
      </c>
      <c r="V1193" t="s">
        <v>7662</v>
      </c>
      <c r="W1193">
        <v>3</v>
      </c>
      <c r="X1193" t="s">
        <v>8855</v>
      </c>
      <c r="Y1193">
        <v>0.34861915682941069</v>
      </c>
      <c r="Z1193" t="str">
        <f>HYPERLINK("Melting_Curves/meltCurve_sp_P55769_NH2L1_HUMAN_.pdf", "Melting_Curves/meltCurve_sp_P55769_NH2L1_HUMAN_.pdf")</f>
        <v>Melting_Curves/meltCurve_sp_P55769_NH2L1_HUMAN_.pdf</v>
      </c>
      <c r="AA1193" t="s">
        <v>12666</v>
      </c>
      <c r="AB1193" t="s">
        <v>16433</v>
      </c>
    </row>
    <row r="1194" spans="1:28" x14ac:dyDescent="0.25">
      <c r="A1194" t="s">
        <v>1198</v>
      </c>
      <c r="B1194">
        <v>0.98876768158843997</v>
      </c>
      <c r="C1194">
        <v>0.96353190268470001</v>
      </c>
      <c r="D1194">
        <v>0.81137664787737396</v>
      </c>
      <c r="E1194">
        <v>0.61262647571127005</v>
      </c>
      <c r="F1194">
        <v>0.58058653555542705</v>
      </c>
      <c r="G1194">
        <v>0.38503017224185598</v>
      </c>
      <c r="H1194">
        <v>0.249954253228482</v>
      </c>
      <c r="I1194">
        <v>0.280335348764291</v>
      </c>
      <c r="J1194">
        <v>0.40516172504324299</v>
      </c>
      <c r="K1194">
        <v>0.302706633196411</v>
      </c>
      <c r="L1194">
        <v>713.31505304917005</v>
      </c>
      <c r="M1194">
        <v>14.285396571686199</v>
      </c>
      <c r="N1194">
        <v>53.166215504615103</v>
      </c>
      <c r="O1194">
        <v>48.985247235356198</v>
      </c>
      <c r="P1194">
        <v>-5.17517020927796E-2</v>
      </c>
      <c r="Q1194">
        <v>0.29025143437057499</v>
      </c>
      <c r="R1194">
        <v>0.96205108142887097</v>
      </c>
      <c r="S1194" t="s">
        <v>5026</v>
      </c>
      <c r="T1194" t="s">
        <v>7662</v>
      </c>
      <c r="U1194" t="s">
        <v>7662</v>
      </c>
      <c r="V1194" t="s">
        <v>7662</v>
      </c>
      <c r="W1194">
        <v>6</v>
      </c>
      <c r="X1194" t="s">
        <v>8856</v>
      </c>
      <c r="Y1194">
        <v>0.54373469157998577</v>
      </c>
      <c r="Z1194" t="str">
        <f>HYPERLINK("Melting_Curves/meltCurve_sp_P55795_HNRH2_HUMAN_.pdf", "Melting_Curves/meltCurve_sp_P55795_HNRH2_HUMAN_.pdf")</f>
        <v>Melting_Curves/meltCurve_sp_P55795_HNRH2_HUMAN_.pdf</v>
      </c>
      <c r="AA1194" t="s">
        <v>12667</v>
      </c>
      <c r="AB1194" t="s">
        <v>16434</v>
      </c>
    </row>
    <row r="1195" spans="1:28" x14ac:dyDescent="0.25">
      <c r="A1195" t="s">
        <v>1199</v>
      </c>
      <c r="B1195">
        <v>0.98876768158843997</v>
      </c>
      <c r="C1195">
        <v>1.2389091259210401</v>
      </c>
      <c r="D1195">
        <v>0.82945760364302401</v>
      </c>
      <c r="E1195">
        <v>0.86211558993700299</v>
      </c>
      <c r="F1195">
        <v>1.1364595919805101</v>
      </c>
      <c r="G1195">
        <v>0.77476299238004298</v>
      </c>
      <c r="H1195">
        <v>0.59029034642809497</v>
      </c>
      <c r="I1195">
        <v>0.63786728939500703</v>
      </c>
      <c r="J1195">
        <v>0.74319803490407299</v>
      </c>
      <c r="K1195">
        <v>1.00202116241157</v>
      </c>
      <c r="L1195">
        <v>14137.724542579699</v>
      </c>
      <c r="M1195">
        <v>250</v>
      </c>
      <c r="O1195">
        <v>56.547279308260798</v>
      </c>
      <c r="P1195">
        <v>-0.28367390822674299</v>
      </c>
      <c r="Q1195">
        <v>0.74334419685769604</v>
      </c>
      <c r="R1195">
        <v>0.43160206845965599</v>
      </c>
      <c r="S1195" t="s">
        <v>5027</v>
      </c>
      <c r="T1195" t="s">
        <v>7662</v>
      </c>
      <c r="U1195" t="s">
        <v>7662</v>
      </c>
      <c r="V1195" t="s">
        <v>7662</v>
      </c>
      <c r="W1195">
        <v>3</v>
      </c>
      <c r="X1195" t="s">
        <v>8857</v>
      </c>
      <c r="Y1195">
        <v>0.88496580432670557</v>
      </c>
      <c r="Z1195" t="str">
        <f>HYPERLINK("Melting_Curves/meltCurve_sp_P55854_SUMO3_HUMAN_.pdf", "Melting_Curves/meltCurve_sp_P55854_SUMO3_HUMAN_.pdf")</f>
        <v>Melting_Curves/meltCurve_sp_P55854_SUMO3_HUMAN_.pdf</v>
      </c>
      <c r="AA1195" t="s">
        <v>12668</v>
      </c>
      <c r="AB1195" t="s">
        <v>16435</v>
      </c>
    </row>
    <row r="1196" spans="1:28" x14ac:dyDescent="0.25">
      <c r="A1196" t="s">
        <v>1200</v>
      </c>
      <c r="B1196">
        <v>0.98876768158843997</v>
      </c>
      <c r="C1196">
        <v>0.92293751844246497</v>
      </c>
      <c r="D1196">
        <v>0.96517789774456997</v>
      </c>
      <c r="E1196">
        <v>0.57816102344676501</v>
      </c>
      <c r="F1196">
        <v>0.29673849173912598</v>
      </c>
      <c r="G1196">
        <v>0.124268750175379</v>
      </c>
      <c r="H1196">
        <v>8.6766054146304797E-2</v>
      </c>
      <c r="I1196">
        <v>7.6999487002314904E-2</v>
      </c>
      <c r="J1196">
        <v>9.0929532450815601E-2</v>
      </c>
      <c r="K1196">
        <v>6.8879124961856802E-2</v>
      </c>
      <c r="L1196">
        <v>1293.9605171230701</v>
      </c>
      <c r="M1196">
        <v>25.6433801927673</v>
      </c>
      <c r="N1196">
        <v>50.793817025044</v>
      </c>
      <c r="O1196">
        <v>50.155961824352303</v>
      </c>
      <c r="P1196">
        <v>-0.117903086507853</v>
      </c>
      <c r="Q1196">
        <v>7.7583265377200603E-2</v>
      </c>
      <c r="R1196">
        <v>0.99556532261726005</v>
      </c>
      <c r="S1196" t="s">
        <v>5028</v>
      </c>
      <c r="T1196" t="s">
        <v>7662</v>
      </c>
      <c r="U1196" t="s">
        <v>7662</v>
      </c>
      <c r="V1196" t="s">
        <v>7662</v>
      </c>
      <c r="W1196">
        <v>9</v>
      </c>
      <c r="X1196" t="s">
        <v>8858</v>
      </c>
      <c r="Y1196">
        <v>0.4070690199318916</v>
      </c>
      <c r="Z1196" t="str">
        <f>HYPERLINK("Melting_Curves/meltCurve_sp_P55884_EIF3B_HUMAN_.pdf", "Melting_Curves/meltCurve_sp_P55884_EIF3B_HUMAN_.pdf")</f>
        <v>Melting_Curves/meltCurve_sp_P55884_EIF3B_HUMAN_.pdf</v>
      </c>
      <c r="AA1196" t="s">
        <v>12669</v>
      </c>
      <c r="AB1196" t="s">
        <v>16436</v>
      </c>
    </row>
    <row r="1197" spans="1:28" x14ac:dyDescent="0.25">
      <c r="A1197" t="s">
        <v>1201</v>
      </c>
      <c r="B1197">
        <v>0.98876768158843997</v>
      </c>
      <c r="C1197">
        <v>1.1621460654648199</v>
      </c>
      <c r="D1197">
        <v>0.90069542917258105</v>
      </c>
      <c r="E1197">
        <v>0.80732818468243495</v>
      </c>
      <c r="F1197">
        <v>1.0097746154834799</v>
      </c>
      <c r="G1197">
        <v>0.75556695034526999</v>
      </c>
      <c r="H1197">
        <v>0.61260916218858197</v>
      </c>
      <c r="I1197">
        <v>0.71947019868756001</v>
      </c>
      <c r="J1197">
        <v>0.897658505817858</v>
      </c>
      <c r="K1197">
        <v>1.0802218875685901</v>
      </c>
      <c r="L1197">
        <v>11477.0675768649</v>
      </c>
      <c r="M1197">
        <v>250</v>
      </c>
      <c r="O1197">
        <v>45.905332878304101</v>
      </c>
      <c r="P1197">
        <v>-0.217328180098527</v>
      </c>
      <c r="Q1197">
        <v>0.84037564234252604</v>
      </c>
      <c r="R1197">
        <v>0.28128773418401098</v>
      </c>
      <c r="S1197" t="s">
        <v>5029</v>
      </c>
      <c r="T1197" t="s">
        <v>7662</v>
      </c>
      <c r="U1197" t="s">
        <v>7662</v>
      </c>
      <c r="V1197" t="s">
        <v>7662</v>
      </c>
      <c r="W1197">
        <v>11</v>
      </c>
      <c r="X1197" t="s">
        <v>8859</v>
      </c>
      <c r="Y1197">
        <v>0.87182529809547593</v>
      </c>
      <c r="Z1197" t="str">
        <f>HYPERLINK("Melting_Curves/meltCurve_sp_P56181_2_NDUV3_HUMAN_.pdf", "Melting_Curves/meltCurve_sp_P56181_2_NDUV3_HUMAN_.pdf")</f>
        <v>Melting_Curves/meltCurve_sp_P56181_2_NDUV3_HUMAN_.pdf</v>
      </c>
      <c r="AA1197" t="s">
        <v>12670</v>
      </c>
      <c r="AB1197" t="s">
        <v>16437</v>
      </c>
    </row>
    <row r="1198" spans="1:28" x14ac:dyDescent="0.25">
      <c r="A1198" t="s">
        <v>1202</v>
      </c>
      <c r="B1198">
        <v>0.98876768158843997</v>
      </c>
      <c r="C1198">
        <v>0.86742975698284497</v>
      </c>
      <c r="D1198">
        <v>0.49370141920107002</v>
      </c>
      <c r="E1198">
        <v>0.35065272388374402</v>
      </c>
      <c r="F1198">
        <v>0.271501043804388</v>
      </c>
      <c r="G1198">
        <v>0.22733821686241101</v>
      </c>
      <c r="H1198">
        <v>0.152005711409717</v>
      </c>
      <c r="I1198">
        <v>0.14759002408819299</v>
      </c>
      <c r="J1198">
        <v>0.13062877744422799</v>
      </c>
      <c r="K1198">
        <v>0.148967292082547</v>
      </c>
      <c r="L1198">
        <v>842.18111525399001</v>
      </c>
      <c r="M1198">
        <v>18.342935532224899</v>
      </c>
      <c r="N1198">
        <v>46.910373478310397</v>
      </c>
      <c r="O1198">
        <v>45.377847562426901</v>
      </c>
      <c r="P1198">
        <v>-8.4744377512871796E-2</v>
      </c>
      <c r="Q1198">
        <v>0.16145565017185201</v>
      </c>
      <c r="R1198">
        <v>0.98013752707079804</v>
      </c>
      <c r="S1198" t="s">
        <v>5030</v>
      </c>
      <c r="T1198" t="s">
        <v>7662</v>
      </c>
      <c r="U1198" t="s">
        <v>7662</v>
      </c>
      <c r="V1198" t="s">
        <v>7662</v>
      </c>
      <c r="W1198">
        <v>9</v>
      </c>
      <c r="X1198" t="s">
        <v>8860</v>
      </c>
      <c r="Y1198">
        <v>0.34262056153615389</v>
      </c>
      <c r="Z1198" t="str">
        <f>HYPERLINK("Melting_Curves/meltCurve_sp_P56192_SYMC_HUMAN_.pdf", "Melting_Curves/meltCurve_sp_P56192_SYMC_HUMAN_.pdf")</f>
        <v>Melting_Curves/meltCurve_sp_P56192_SYMC_HUMAN_.pdf</v>
      </c>
      <c r="AA1198" t="s">
        <v>12671</v>
      </c>
      <c r="AB1198" t="s">
        <v>16438</v>
      </c>
    </row>
    <row r="1199" spans="1:28" x14ac:dyDescent="0.25">
      <c r="A1199" t="s">
        <v>1203</v>
      </c>
      <c r="B1199">
        <v>0.98876768158843997</v>
      </c>
      <c r="C1199">
        <v>0.909102664594578</v>
      </c>
      <c r="D1199">
        <v>1.1467121158765201</v>
      </c>
      <c r="E1199">
        <v>0.73071661406157395</v>
      </c>
      <c r="F1199">
        <v>0.379291271567402</v>
      </c>
      <c r="G1199">
        <v>0.284727814094976</v>
      </c>
      <c r="H1199">
        <v>0.19216218302971</v>
      </c>
      <c r="I1199">
        <v>0.24256209888774799</v>
      </c>
      <c r="J1199">
        <v>0.32980130523273199</v>
      </c>
      <c r="K1199">
        <v>0.28124330027880101</v>
      </c>
      <c r="L1199">
        <v>2282.0010729864598</v>
      </c>
      <c r="M1199">
        <v>45.000299074803301</v>
      </c>
      <c r="N1199">
        <v>51.589323510301</v>
      </c>
      <c r="O1199">
        <v>50.610953532895699</v>
      </c>
      <c r="P1199">
        <v>-0.162793346224132</v>
      </c>
      <c r="Q1199">
        <v>0.267638948015262</v>
      </c>
      <c r="R1199">
        <v>0.96245200135996001</v>
      </c>
      <c r="S1199" t="s">
        <v>5031</v>
      </c>
      <c r="T1199" t="s">
        <v>7662</v>
      </c>
      <c r="U1199" t="s">
        <v>7662</v>
      </c>
      <c r="V1199" t="s">
        <v>7662</v>
      </c>
      <c r="W1199">
        <v>1</v>
      </c>
      <c r="X1199" t="s">
        <v>8861</v>
      </c>
      <c r="Y1199">
        <v>0.5311363150543349</v>
      </c>
      <c r="Z1199" t="str">
        <f>HYPERLINK("Melting_Curves/meltCurve_sp_P56199_ITA1_HUMAN_.pdf", "Melting_Curves/meltCurve_sp_P56199_ITA1_HUMAN_.pdf")</f>
        <v>Melting_Curves/meltCurve_sp_P56199_ITA1_HUMAN_.pdf</v>
      </c>
      <c r="AA1199" t="s">
        <v>12672</v>
      </c>
      <c r="AB1199" t="s">
        <v>16439</v>
      </c>
    </row>
    <row r="1200" spans="1:28" x14ac:dyDescent="0.25">
      <c r="A1200" t="s">
        <v>1204</v>
      </c>
      <c r="B1200">
        <v>0.98876768158843997</v>
      </c>
      <c r="C1200">
        <v>0.82971953496475903</v>
      </c>
      <c r="D1200">
        <v>0.86975665073075603</v>
      </c>
      <c r="E1200">
        <v>0.62989511336772497</v>
      </c>
      <c r="F1200">
        <v>0.39990925697620699</v>
      </c>
      <c r="G1200">
        <v>0.23674062616920799</v>
      </c>
      <c r="H1200">
        <v>0.19324373080267701</v>
      </c>
      <c r="I1200">
        <v>0.15947327882253901</v>
      </c>
      <c r="J1200">
        <v>0.41747381476265</v>
      </c>
      <c r="K1200">
        <v>0.21230726592305901</v>
      </c>
      <c r="L1200">
        <v>902.978266301188</v>
      </c>
      <c r="M1200">
        <v>18.200249600451901</v>
      </c>
      <c r="N1200">
        <v>51.295481504496699</v>
      </c>
      <c r="O1200">
        <v>49.026199346667603</v>
      </c>
      <c r="P1200">
        <v>-7.1957132679554101E-2</v>
      </c>
      <c r="Q1200">
        <v>0.22471015157610999</v>
      </c>
      <c r="R1200">
        <v>0.92503925559224098</v>
      </c>
      <c r="S1200" t="s">
        <v>5032</v>
      </c>
      <c r="T1200" t="s">
        <v>7662</v>
      </c>
      <c r="U1200" t="s">
        <v>7662</v>
      </c>
      <c r="V1200" t="s">
        <v>7662</v>
      </c>
      <c r="W1200">
        <v>2</v>
      </c>
      <c r="X1200" t="s">
        <v>8862</v>
      </c>
      <c r="Y1200">
        <v>0.48616237761934272</v>
      </c>
      <c r="Z1200" t="str">
        <f>HYPERLINK("Melting_Curves/meltCurve_sp_P56211_2_ARP19_HUMAN_.pdf", "Melting_Curves/meltCurve_sp_P56211_2_ARP19_HUMAN_.pdf")</f>
        <v>Melting_Curves/meltCurve_sp_P56211_2_ARP19_HUMAN_.pdf</v>
      </c>
      <c r="AA1200" t="s">
        <v>12673</v>
      </c>
      <c r="AB1200" t="s">
        <v>16440</v>
      </c>
    </row>
    <row r="1201" spans="1:28" x14ac:dyDescent="0.25">
      <c r="A1201" t="s">
        <v>1205</v>
      </c>
      <c r="B1201">
        <v>0.98876768158843997</v>
      </c>
      <c r="C1201">
        <v>1.27830394954525</v>
      </c>
      <c r="D1201">
        <v>0.86105917013116495</v>
      </c>
      <c r="E1201">
        <v>0.84976778878565895</v>
      </c>
      <c r="F1201">
        <v>1.02740375525105</v>
      </c>
      <c r="G1201">
        <v>0.78091388621972402</v>
      </c>
      <c r="H1201">
        <v>0.60579771403451599</v>
      </c>
      <c r="I1201">
        <v>0.77652577344769202</v>
      </c>
      <c r="J1201">
        <v>0.84670211696776698</v>
      </c>
      <c r="K1201">
        <v>1.1396953001552399</v>
      </c>
      <c r="L1201">
        <v>11245.686415994</v>
      </c>
      <c r="M1201">
        <v>250</v>
      </c>
      <c r="O1201">
        <v>44.979867085132398</v>
      </c>
      <c r="P1201">
        <v>-0.19326035716261999</v>
      </c>
      <c r="Q1201">
        <v>0.86091479737227905</v>
      </c>
      <c r="R1201">
        <v>0.24103657251706001</v>
      </c>
      <c r="S1201" t="s">
        <v>5033</v>
      </c>
      <c r="T1201" t="s">
        <v>7662</v>
      </c>
      <c r="U1201" t="s">
        <v>7662</v>
      </c>
      <c r="V1201" t="s">
        <v>7662</v>
      </c>
      <c r="W1201">
        <v>6</v>
      </c>
      <c r="X1201" t="s">
        <v>8863</v>
      </c>
      <c r="Y1201">
        <v>0.88402665032764582</v>
      </c>
      <c r="Z1201" t="str">
        <f>HYPERLINK("Melting_Curves/meltCurve_sp_P56277_CMC4_HUMAN_.pdf", "Melting_Curves/meltCurve_sp_P56277_CMC4_HUMAN_.pdf")</f>
        <v>Melting_Curves/meltCurve_sp_P56277_CMC4_HUMAN_.pdf</v>
      </c>
      <c r="AA1201" t="s">
        <v>12674</v>
      </c>
      <c r="AB1201" t="s">
        <v>16441</v>
      </c>
    </row>
    <row r="1202" spans="1:28" x14ac:dyDescent="0.25">
      <c r="A1202" t="s">
        <v>1206</v>
      </c>
      <c r="B1202">
        <v>0.98876768158843997</v>
      </c>
      <c r="C1202">
        <v>1.0968277060698901</v>
      </c>
      <c r="D1202">
        <v>0.886220944970464</v>
      </c>
      <c r="E1202">
        <v>0.74765132831044301</v>
      </c>
      <c r="F1202">
        <v>0.80077529791231405</v>
      </c>
      <c r="G1202">
        <v>0.35534588755615698</v>
      </c>
      <c r="H1202">
        <v>0.15577613166166401</v>
      </c>
      <c r="I1202">
        <v>0.140304807093039</v>
      </c>
      <c r="J1202">
        <v>0.14023597423369399</v>
      </c>
      <c r="K1202">
        <v>0.14261347555937201</v>
      </c>
      <c r="L1202">
        <v>999.40821168549405</v>
      </c>
      <c r="M1202">
        <v>18.270456570537799</v>
      </c>
      <c r="N1202">
        <v>55.3098072471874</v>
      </c>
      <c r="O1202">
        <v>54.0581043906883</v>
      </c>
      <c r="P1202">
        <v>-7.6799293324710902E-2</v>
      </c>
      <c r="Q1202">
        <v>9.1116093009404694E-2</v>
      </c>
      <c r="R1202">
        <v>0.96256999721051795</v>
      </c>
      <c r="S1202" t="s">
        <v>5034</v>
      </c>
      <c r="T1202" t="s">
        <v>7662</v>
      </c>
      <c r="U1202" t="s">
        <v>7662</v>
      </c>
      <c r="V1202" t="s">
        <v>7662</v>
      </c>
      <c r="W1202">
        <v>7</v>
      </c>
      <c r="X1202" t="s">
        <v>8864</v>
      </c>
      <c r="Y1202">
        <v>0.5504206938811983</v>
      </c>
      <c r="Z1202" t="str">
        <f>HYPERLINK("Melting_Curves/meltCurve_sp_P56470_LEG4_HUMAN_.pdf", "Melting_Curves/meltCurve_sp_P56470_LEG4_HUMAN_.pdf")</f>
        <v>Melting_Curves/meltCurve_sp_P56470_LEG4_HUMAN_.pdf</v>
      </c>
      <c r="AA1202" t="s">
        <v>12675</v>
      </c>
      <c r="AB1202" t="s">
        <v>16442</v>
      </c>
    </row>
    <row r="1203" spans="1:28" x14ac:dyDescent="0.25">
      <c r="A1203" t="s">
        <v>1207</v>
      </c>
      <c r="B1203">
        <v>0.98876768158843997</v>
      </c>
      <c r="C1203">
        <v>1.14799215626604</v>
      </c>
      <c r="D1203">
        <v>0.88436892519285704</v>
      </c>
      <c r="E1203">
        <v>0.78304305049781497</v>
      </c>
      <c r="F1203">
        <v>0.845936673685453</v>
      </c>
      <c r="G1203">
        <v>0.51093445438462004</v>
      </c>
      <c r="H1203">
        <v>0.18105994508013101</v>
      </c>
      <c r="I1203">
        <v>9.1681886258452097E-2</v>
      </c>
      <c r="J1203">
        <v>8.74319314757349E-2</v>
      </c>
      <c r="K1203">
        <v>0.120188417148219</v>
      </c>
      <c r="L1203">
        <v>1025.1537604034099</v>
      </c>
      <c r="M1203">
        <v>18.168757668723099</v>
      </c>
      <c r="N1203">
        <v>56.653992367415299</v>
      </c>
      <c r="O1203">
        <v>55.7537701367349</v>
      </c>
      <c r="P1203">
        <v>-7.8575976833920494E-2</v>
      </c>
      <c r="Q1203">
        <v>3.5553515728119801E-2</v>
      </c>
      <c r="R1203">
        <v>0.95801459238373499</v>
      </c>
      <c r="S1203" t="s">
        <v>5035</v>
      </c>
      <c r="T1203" t="s">
        <v>7662</v>
      </c>
      <c r="U1203" t="s">
        <v>7662</v>
      </c>
      <c r="V1203" t="s">
        <v>7662</v>
      </c>
      <c r="W1203">
        <v>4</v>
      </c>
      <c r="X1203" t="s">
        <v>8865</v>
      </c>
      <c r="Y1203">
        <v>0.57724302998914501</v>
      </c>
      <c r="Z1203" t="str">
        <f>HYPERLINK("Melting_Curves/meltCurve_sp_P56537_IF6_HUMAN_.pdf", "Melting_Curves/meltCurve_sp_P56537_IF6_HUMAN_.pdf")</f>
        <v>Melting_Curves/meltCurve_sp_P56537_IF6_HUMAN_.pdf</v>
      </c>
      <c r="AA1203" t="s">
        <v>12676</v>
      </c>
      <c r="AB1203" t="s">
        <v>16443</v>
      </c>
    </row>
    <row r="1204" spans="1:28" x14ac:dyDescent="0.25">
      <c r="A1204" t="s">
        <v>1208</v>
      </c>
      <c r="B1204">
        <v>0.98876768158843997</v>
      </c>
      <c r="C1204">
        <v>1.11174546344551</v>
      </c>
      <c r="D1204">
        <v>0.74508836384861199</v>
      </c>
      <c r="E1204">
        <v>0.30242867074295599</v>
      </c>
      <c r="F1204">
        <v>6.2289283775634398E-2</v>
      </c>
      <c r="G1204">
        <v>5.1902869781229502E-2</v>
      </c>
      <c r="H1204">
        <v>3.4788481045137702E-2</v>
      </c>
      <c r="I1204">
        <v>3.0396830169123899E-2</v>
      </c>
      <c r="J1204">
        <v>3.5287887804041899E-2</v>
      </c>
      <c r="K1204">
        <v>6.0294730148588799E-2</v>
      </c>
      <c r="L1204">
        <v>1418.43437822338</v>
      </c>
      <c r="M1204">
        <v>29.5292375474978</v>
      </c>
      <c r="N1204">
        <v>48.163795230343197</v>
      </c>
      <c r="O1204">
        <v>47.816250456160603</v>
      </c>
      <c r="P1204">
        <v>-0.148525275115127</v>
      </c>
      <c r="Q1204">
        <v>3.7988024961704697E-2</v>
      </c>
      <c r="R1204">
        <v>0.985434847188011</v>
      </c>
      <c r="S1204" t="s">
        <v>5036</v>
      </c>
      <c r="T1204" t="s">
        <v>7662</v>
      </c>
      <c r="U1204" t="s">
        <v>7662</v>
      </c>
      <c r="V1204" t="s">
        <v>7662</v>
      </c>
      <c r="W1204">
        <v>1</v>
      </c>
      <c r="X1204" t="s">
        <v>8866</v>
      </c>
      <c r="Y1204">
        <v>0.30163046086253609</v>
      </c>
      <c r="Z1204" t="str">
        <f>HYPERLINK("Melting_Curves/meltCurve_sp_P57076_CU059_HUMAN_.pdf", "Melting_Curves/meltCurve_sp_P57076_CU059_HUMAN_.pdf")</f>
        <v>Melting_Curves/meltCurve_sp_P57076_CU059_HUMAN_.pdf</v>
      </c>
      <c r="AA1204" t="s">
        <v>12677</v>
      </c>
      <c r="AB1204" t="s">
        <v>16444</v>
      </c>
    </row>
    <row r="1205" spans="1:28" x14ac:dyDescent="0.25">
      <c r="A1205" t="s">
        <v>1209</v>
      </c>
      <c r="B1205">
        <v>0.98876768158843997</v>
      </c>
      <c r="C1205">
        <v>0.94891898804221297</v>
      </c>
      <c r="D1205">
        <v>0.63779960573790795</v>
      </c>
      <c r="E1205">
        <v>0.13845997318026801</v>
      </c>
      <c r="F1205">
        <v>7.3166590397665099E-2</v>
      </c>
      <c r="G1205">
        <v>8.2327654659167401E-2</v>
      </c>
      <c r="H1205">
        <v>6.1220505341316199E-2</v>
      </c>
      <c r="I1205">
        <v>5.3872632686380997E-2</v>
      </c>
      <c r="J1205">
        <v>6.89018796034159E-2</v>
      </c>
      <c r="K1205">
        <v>8.3277261940636199E-2</v>
      </c>
      <c r="L1205">
        <v>1657.2282675280501</v>
      </c>
      <c r="M1205">
        <v>35.587290402606101</v>
      </c>
      <c r="N1205">
        <v>46.759185261124898</v>
      </c>
      <c r="O1205">
        <v>46.421684821885499</v>
      </c>
      <c r="P1205">
        <v>-0.178676951626381</v>
      </c>
      <c r="Q1205">
        <v>6.7705924863077194E-2</v>
      </c>
      <c r="R1205">
        <v>0.99935247419824902</v>
      </c>
      <c r="S1205" t="s">
        <v>5037</v>
      </c>
      <c r="T1205" t="s">
        <v>7662</v>
      </c>
      <c r="U1205" t="s">
        <v>7662</v>
      </c>
      <c r="V1205" t="s">
        <v>7662</v>
      </c>
      <c r="W1205">
        <v>3</v>
      </c>
      <c r="X1205" t="s">
        <v>8867</v>
      </c>
      <c r="Y1205">
        <v>0.27569922648809259</v>
      </c>
      <c r="Z1205" t="str">
        <f>HYPERLINK("Melting_Curves/meltCurve_sp_P57737_2_CORO7_HUMAN_.pdf", "Melting_Curves/meltCurve_sp_P57737_2_CORO7_HUMAN_.pdf")</f>
        <v>Melting_Curves/meltCurve_sp_P57737_2_CORO7_HUMAN_.pdf</v>
      </c>
      <c r="AA1205" t="s">
        <v>12678</v>
      </c>
      <c r="AB1205" t="s">
        <v>16445</v>
      </c>
    </row>
    <row r="1206" spans="1:28" x14ac:dyDescent="0.25">
      <c r="A1206" t="s">
        <v>1210</v>
      </c>
      <c r="B1206">
        <v>0.98876768158843997</v>
      </c>
      <c r="C1206">
        <v>0.98544660054975597</v>
      </c>
      <c r="D1206">
        <v>0.92685660964055205</v>
      </c>
      <c r="E1206">
        <v>0.66895011563194595</v>
      </c>
      <c r="F1206">
        <v>0.59578757418617101</v>
      </c>
      <c r="G1206">
        <v>0.38643454639242297</v>
      </c>
      <c r="H1206">
        <v>0.29254116640049399</v>
      </c>
      <c r="I1206">
        <v>0.31211026738006298</v>
      </c>
      <c r="J1206">
        <v>0.51411884272163</v>
      </c>
      <c r="K1206">
        <v>0.48648985340793499</v>
      </c>
      <c r="L1206">
        <v>1127.82955517346</v>
      </c>
      <c r="M1206">
        <v>22.560290950399601</v>
      </c>
      <c r="N1206">
        <v>53.744362344322603</v>
      </c>
      <c r="O1206">
        <v>49.603956398701001</v>
      </c>
      <c r="P1206">
        <v>-6.8618443290479406E-2</v>
      </c>
      <c r="Q1206">
        <v>0.39651856244536099</v>
      </c>
      <c r="R1206">
        <v>0.923636960946429</v>
      </c>
      <c r="S1206" t="s">
        <v>5038</v>
      </c>
      <c r="T1206" t="s">
        <v>7662</v>
      </c>
      <c r="U1206" t="s">
        <v>7662</v>
      </c>
      <c r="V1206" t="s">
        <v>7662</v>
      </c>
      <c r="W1206">
        <v>2</v>
      </c>
      <c r="X1206" t="s">
        <v>8868</v>
      </c>
      <c r="Y1206">
        <v>0.60413845795425536</v>
      </c>
      <c r="Z1206" t="str">
        <f>HYPERLINK("Melting_Curves/meltCurve_sp_P57740_NU107_HUMAN_.pdf", "Melting_Curves/meltCurve_sp_P57740_NU107_HUMAN_.pdf")</f>
        <v>Melting_Curves/meltCurve_sp_P57740_NU107_HUMAN_.pdf</v>
      </c>
      <c r="AA1206" t="s">
        <v>12679</v>
      </c>
      <c r="AB1206" t="s">
        <v>16446</v>
      </c>
    </row>
    <row r="1207" spans="1:28" x14ac:dyDescent="0.25">
      <c r="A1207" t="s">
        <v>1211</v>
      </c>
      <c r="B1207">
        <v>0.98876768158843997</v>
      </c>
      <c r="C1207">
        <v>0.98959812933409796</v>
      </c>
      <c r="D1207">
        <v>0.80420480808139505</v>
      </c>
      <c r="E1207">
        <v>0.47354270776893298</v>
      </c>
      <c r="F1207">
        <v>0.15369959026457999</v>
      </c>
      <c r="G1207">
        <v>8.2925136543567396E-2</v>
      </c>
      <c r="H1207">
        <v>5.6162396817340803E-2</v>
      </c>
      <c r="I1207">
        <v>5.6631244427466899E-2</v>
      </c>
      <c r="J1207">
        <v>6.7222192499488298E-2</v>
      </c>
      <c r="K1207">
        <v>5.3876108706202797E-2</v>
      </c>
      <c r="L1207">
        <v>1144.4153512403</v>
      </c>
      <c r="M1207">
        <v>23.285189430742498</v>
      </c>
      <c r="N1207">
        <v>49.367339603890997</v>
      </c>
      <c r="O1207">
        <v>48.789593655677201</v>
      </c>
      <c r="P1207">
        <v>-0.113447375352973</v>
      </c>
      <c r="Q1207">
        <v>4.9189128783492998E-2</v>
      </c>
      <c r="R1207">
        <v>0.99618784181578302</v>
      </c>
      <c r="S1207" t="s">
        <v>5039</v>
      </c>
      <c r="T1207" t="s">
        <v>7662</v>
      </c>
      <c r="U1207" t="s">
        <v>7662</v>
      </c>
      <c r="V1207" t="s">
        <v>7662</v>
      </c>
      <c r="W1207">
        <v>6</v>
      </c>
      <c r="X1207" t="s">
        <v>8869</v>
      </c>
      <c r="Y1207">
        <v>0.34887345558836108</v>
      </c>
      <c r="Z1207" t="str">
        <f>HYPERLINK("Melting_Curves/meltCurve_sp_P57764_GSDMD_HUMAN_.pdf", "Melting_Curves/meltCurve_sp_P57764_GSDMD_HUMAN_.pdf")</f>
        <v>Melting_Curves/meltCurve_sp_P57764_GSDMD_HUMAN_.pdf</v>
      </c>
      <c r="AA1207" t="s">
        <v>12680</v>
      </c>
      <c r="AB1207" t="s">
        <v>16447</v>
      </c>
    </row>
    <row r="1208" spans="1:28" x14ac:dyDescent="0.25">
      <c r="A1208" t="s">
        <v>1212</v>
      </c>
      <c r="B1208">
        <v>0.98876768158843997</v>
      </c>
      <c r="C1208">
        <v>0.75276596963063402</v>
      </c>
      <c r="D1208">
        <v>0.43073013442379798</v>
      </c>
      <c r="E1208">
        <v>0.17254630800486601</v>
      </c>
      <c r="F1208">
        <v>9.2445361767915096E-2</v>
      </c>
      <c r="G1208">
        <v>5.3471551068510599E-2</v>
      </c>
      <c r="H1208">
        <v>3.6400195624629497E-2</v>
      </c>
      <c r="I1208">
        <v>2.97978876903582E-2</v>
      </c>
      <c r="J1208">
        <v>2.90649184148342E-2</v>
      </c>
      <c r="K1208">
        <v>2.5336162202211E-2</v>
      </c>
      <c r="L1208">
        <v>932.68129012190798</v>
      </c>
      <c r="M1208">
        <v>20.5926408587788</v>
      </c>
      <c r="N1208">
        <v>45.448320792184603</v>
      </c>
      <c r="O1208">
        <v>44.871343276862703</v>
      </c>
      <c r="P1208">
        <v>-0.11081190151053</v>
      </c>
      <c r="Q1208">
        <v>3.4191946473089603E-2</v>
      </c>
      <c r="R1208">
        <v>0.99698385792666799</v>
      </c>
      <c r="S1208" t="s">
        <v>5040</v>
      </c>
      <c r="T1208" t="s">
        <v>7662</v>
      </c>
      <c r="U1208" t="s">
        <v>7662</v>
      </c>
      <c r="V1208" t="s">
        <v>7662</v>
      </c>
      <c r="W1208">
        <v>5</v>
      </c>
      <c r="X1208" t="s">
        <v>8870</v>
      </c>
      <c r="Y1208">
        <v>0.21936719714291611</v>
      </c>
      <c r="Z1208" t="str">
        <f>HYPERLINK("Melting_Curves/meltCurve_sp_P57772_SELB_HUMAN_.pdf", "Melting_Curves/meltCurve_sp_P57772_SELB_HUMAN_.pdf")</f>
        <v>Melting_Curves/meltCurve_sp_P57772_SELB_HUMAN_.pdf</v>
      </c>
      <c r="AA1208" t="s">
        <v>12681</v>
      </c>
      <c r="AB1208" t="s">
        <v>16448</v>
      </c>
    </row>
    <row r="1209" spans="1:28" x14ac:dyDescent="0.25">
      <c r="A1209" t="s">
        <v>1213</v>
      </c>
      <c r="B1209">
        <v>0.98876768158843997</v>
      </c>
      <c r="C1209">
        <v>1.05909945230597</v>
      </c>
      <c r="D1209">
        <v>0.85021664889508297</v>
      </c>
      <c r="E1209">
        <v>0.76326071016184704</v>
      </c>
      <c r="F1209">
        <v>0.769389099433476</v>
      </c>
      <c r="G1209">
        <v>0.49048161489170899</v>
      </c>
      <c r="H1209">
        <v>0.33828144156773698</v>
      </c>
      <c r="I1209">
        <v>0.37301674785967498</v>
      </c>
      <c r="J1209">
        <v>0.39287837352147398</v>
      </c>
      <c r="K1209">
        <v>0.53631477667472804</v>
      </c>
      <c r="L1209">
        <v>864.15768023565101</v>
      </c>
      <c r="M1209">
        <v>16.5488014301466</v>
      </c>
      <c r="N1209">
        <v>57.565560814606101</v>
      </c>
      <c r="O1209">
        <v>51.4741110166187</v>
      </c>
      <c r="P1209">
        <v>-4.8831049140343599E-2</v>
      </c>
      <c r="Q1209">
        <v>0.39249689050549003</v>
      </c>
      <c r="R1209">
        <v>0.90427441308786605</v>
      </c>
      <c r="S1209" t="s">
        <v>5041</v>
      </c>
      <c r="T1209" t="s">
        <v>7662</v>
      </c>
      <c r="U1209" t="s">
        <v>7662</v>
      </c>
      <c r="V1209" t="s">
        <v>7662</v>
      </c>
      <c r="W1209">
        <v>5</v>
      </c>
      <c r="X1209" t="s">
        <v>8871</v>
      </c>
      <c r="Y1209">
        <v>0.65149884954061221</v>
      </c>
      <c r="Z1209" t="str">
        <f>HYPERLINK("Melting_Curves/meltCurve_sp_P58546_MTPN_HUMAN_.pdf", "Melting_Curves/meltCurve_sp_P58546_MTPN_HUMAN_.pdf")</f>
        <v>Melting_Curves/meltCurve_sp_P58546_MTPN_HUMAN_.pdf</v>
      </c>
      <c r="AA1209" t="s">
        <v>12682</v>
      </c>
      <c r="AB1209" t="s">
        <v>16449</v>
      </c>
    </row>
    <row r="1210" spans="1:28" x14ac:dyDescent="0.25">
      <c r="A1210" t="s">
        <v>1214</v>
      </c>
      <c r="B1210">
        <v>0.98876768158843997</v>
      </c>
      <c r="C1210">
        <v>0.61795872688369702</v>
      </c>
      <c r="D1210">
        <v>0.52415839349522797</v>
      </c>
      <c r="E1210">
        <v>0.27246783449113898</v>
      </c>
      <c r="F1210">
        <v>0.14840061488626699</v>
      </c>
      <c r="G1210">
        <v>5.8246719870132503E-2</v>
      </c>
      <c r="H1210">
        <v>3.5324125225444501E-2</v>
      </c>
      <c r="I1210">
        <v>3.5103766669374301E-2</v>
      </c>
      <c r="J1210">
        <v>5.28068003684216E-2</v>
      </c>
      <c r="K1210">
        <v>3.9379002885815501E-2</v>
      </c>
      <c r="L1210">
        <v>644.75742453926603</v>
      </c>
      <c r="M1210">
        <v>14.0998158358799</v>
      </c>
      <c r="N1210">
        <v>45.889005131328098</v>
      </c>
      <c r="O1210">
        <v>44.8377272342994</v>
      </c>
      <c r="P1210">
        <v>-7.6729280651964202E-2</v>
      </c>
      <c r="Q1210">
        <v>2.4122440011462801E-2</v>
      </c>
      <c r="R1210">
        <v>0.97466182439095395</v>
      </c>
      <c r="S1210" t="s">
        <v>5042</v>
      </c>
      <c r="T1210" t="s">
        <v>7662</v>
      </c>
      <c r="U1210" t="s">
        <v>7662</v>
      </c>
      <c r="V1210" t="s">
        <v>7662</v>
      </c>
      <c r="W1210">
        <v>3</v>
      </c>
      <c r="X1210" t="s">
        <v>8872</v>
      </c>
      <c r="Y1210">
        <v>0.24363186847877349</v>
      </c>
      <c r="Z1210" t="str">
        <f>HYPERLINK("Melting_Curves/meltCurve_sp_P59666_DEF3_HUMAN_.pdf", "Melting_Curves/meltCurve_sp_P59666_DEF3_HUMAN_.pdf")</f>
        <v>Melting_Curves/meltCurve_sp_P59666_DEF3_HUMAN_.pdf</v>
      </c>
      <c r="AA1210" t="s">
        <v>12683</v>
      </c>
      <c r="AB1210" t="s">
        <v>16450</v>
      </c>
    </row>
    <row r="1211" spans="1:28" x14ac:dyDescent="0.25">
      <c r="A1211" t="s">
        <v>1215</v>
      </c>
      <c r="B1211">
        <v>0.98876768158843997</v>
      </c>
      <c r="C1211">
        <v>0.88778917657456702</v>
      </c>
      <c r="D1211">
        <v>1.0998243599900399</v>
      </c>
      <c r="E1211">
        <v>1.0985408640302501</v>
      </c>
      <c r="F1211">
        <v>0.74130588287849497</v>
      </c>
      <c r="G1211">
        <v>0.42931461373273999</v>
      </c>
      <c r="H1211">
        <v>9.6912861833587702E-2</v>
      </c>
      <c r="I1211">
        <v>3.4846162858147199E-2</v>
      </c>
      <c r="J1211">
        <v>3.58636277078992E-2</v>
      </c>
      <c r="K1211">
        <v>3.2470328794621098E-2</v>
      </c>
      <c r="L1211">
        <v>1504.37202588996</v>
      </c>
      <c r="M1211">
        <v>26.872946001108701</v>
      </c>
      <c r="N1211">
        <v>56.054800341628798</v>
      </c>
      <c r="O1211">
        <v>55.6736790860258</v>
      </c>
      <c r="P1211">
        <v>-0.11857306815348399</v>
      </c>
      <c r="Q1211">
        <v>1.7401225438629601E-2</v>
      </c>
      <c r="R1211">
        <v>0.97431234273729905</v>
      </c>
      <c r="S1211" t="s">
        <v>5043</v>
      </c>
      <c r="T1211" t="s">
        <v>7662</v>
      </c>
      <c r="U1211" t="s">
        <v>7662</v>
      </c>
      <c r="V1211" t="s">
        <v>7662</v>
      </c>
      <c r="W1211">
        <v>6</v>
      </c>
      <c r="X1211" t="s">
        <v>8873</v>
      </c>
      <c r="Y1211">
        <v>0.54880672842933065</v>
      </c>
      <c r="Z1211" t="str">
        <f>HYPERLINK("Melting_Curves/meltCurve_sp_P59998_ARPC4_HUMAN_.pdf", "Melting_Curves/meltCurve_sp_P59998_ARPC4_HUMAN_.pdf")</f>
        <v>Melting_Curves/meltCurve_sp_P59998_ARPC4_HUMAN_.pdf</v>
      </c>
      <c r="AA1211" t="s">
        <v>12684</v>
      </c>
      <c r="AB1211" t="s">
        <v>16451</v>
      </c>
    </row>
    <row r="1212" spans="1:28" x14ac:dyDescent="0.25">
      <c r="A1212" t="s">
        <v>1216</v>
      </c>
      <c r="B1212">
        <v>0.98876768158843997</v>
      </c>
      <c r="C1212">
        <v>1.0672236777375499</v>
      </c>
      <c r="D1212">
        <v>0.87799876883448102</v>
      </c>
      <c r="E1212">
        <v>0.82556995795560495</v>
      </c>
      <c r="F1212">
        <v>0.90112796624412395</v>
      </c>
      <c r="G1212">
        <v>0.60554803552568903</v>
      </c>
      <c r="H1212">
        <v>0.37451786641893398</v>
      </c>
      <c r="I1212">
        <v>0.24169992924404199</v>
      </c>
      <c r="J1212">
        <v>0.19792457339215</v>
      </c>
      <c r="K1212">
        <v>0.248311753515017</v>
      </c>
      <c r="L1212">
        <v>941.94189192990996</v>
      </c>
      <c r="M1212">
        <v>16.4380888649839</v>
      </c>
      <c r="N1212">
        <v>58.602685602777299</v>
      </c>
      <c r="O1212">
        <v>56.474497262230301</v>
      </c>
      <c r="P1212">
        <v>-6.1652604035751402E-2</v>
      </c>
      <c r="Q1212">
        <v>0.15280819654230501</v>
      </c>
      <c r="R1212">
        <v>0.962660184154009</v>
      </c>
      <c r="S1212" t="s">
        <v>5044</v>
      </c>
      <c r="T1212" t="s">
        <v>7662</v>
      </c>
      <c r="U1212" t="s">
        <v>7662</v>
      </c>
      <c r="V1212" t="s">
        <v>7662</v>
      </c>
      <c r="W1212">
        <v>23</v>
      </c>
      <c r="X1212" t="s">
        <v>8874</v>
      </c>
      <c r="Y1212">
        <v>0.65359074673293682</v>
      </c>
      <c r="Z1212" t="str">
        <f>HYPERLINK("Melting_Curves/meltCurve_sp_P60174_1_TPIS_HUMAN_.pdf", "Melting_Curves/meltCurve_sp_P60174_1_TPIS_HUMAN_.pdf")</f>
        <v>Melting_Curves/meltCurve_sp_P60174_1_TPIS_HUMAN_.pdf</v>
      </c>
      <c r="AA1212" t="s">
        <v>12685</v>
      </c>
      <c r="AB1212" t="s">
        <v>16452</v>
      </c>
    </row>
    <row r="1213" spans="1:28" x14ac:dyDescent="0.25">
      <c r="A1213" t="s">
        <v>1217</v>
      </c>
      <c r="B1213">
        <v>0.98876768158843997</v>
      </c>
      <c r="C1213">
        <v>0.98214280530486198</v>
      </c>
      <c r="D1213">
        <v>0.90693196987838798</v>
      </c>
      <c r="E1213">
        <v>0.31440983007712903</v>
      </c>
      <c r="F1213">
        <v>0.16321070404597501</v>
      </c>
      <c r="G1213">
        <v>8.2350187254220802E-2</v>
      </c>
      <c r="H1213">
        <v>5.5927171187227502E-2</v>
      </c>
      <c r="I1213">
        <v>5.8448069772538198E-2</v>
      </c>
      <c r="J1213">
        <v>3.5828444962193597E-2</v>
      </c>
      <c r="K1213">
        <v>5.8627838394937397E-2</v>
      </c>
      <c r="L1213">
        <v>1662.7472712451899</v>
      </c>
      <c r="M1213">
        <v>34.143100657466697</v>
      </c>
      <c r="N1213">
        <v>48.890848632262603</v>
      </c>
      <c r="O1213">
        <v>48.533212553239899</v>
      </c>
      <c r="P1213">
        <v>-0.164868498644894</v>
      </c>
      <c r="Q1213">
        <v>6.2584640879437006E-2</v>
      </c>
      <c r="R1213">
        <v>0.99744464208949102</v>
      </c>
      <c r="S1213" t="s">
        <v>5045</v>
      </c>
      <c r="T1213" t="s">
        <v>7662</v>
      </c>
      <c r="U1213" t="s">
        <v>7662</v>
      </c>
      <c r="V1213" t="s">
        <v>7662</v>
      </c>
      <c r="W1213">
        <v>2</v>
      </c>
      <c r="X1213" t="s">
        <v>8875</v>
      </c>
      <c r="Y1213">
        <v>0.33877598306830342</v>
      </c>
      <c r="Z1213" t="str">
        <f>HYPERLINK("Melting_Curves/meltCurve_sp_P60228_EIF3E_HUMAN_.pdf", "Melting_Curves/meltCurve_sp_P60228_EIF3E_HUMAN_.pdf")</f>
        <v>Melting_Curves/meltCurve_sp_P60228_EIF3E_HUMAN_.pdf</v>
      </c>
      <c r="AA1213" t="s">
        <v>12686</v>
      </c>
      <c r="AB1213" t="s">
        <v>16453</v>
      </c>
    </row>
    <row r="1214" spans="1:28" x14ac:dyDescent="0.25">
      <c r="A1214" t="s">
        <v>1218</v>
      </c>
      <c r="B1214">
        <v>0.98876768158843997</v>
      </c>
      <c r="C1214">
        <v>1.47475273701641</v>
      </c>
      <c r="D1214">
        <v>1.0645747720063401</v>
      </c>
      <c r="E1214">
        <v>1.1558925735210701</v>
      </c>
      <c r="F1214">
        <v>2.54821704010299</v>
      </c>
      <c r="G1214">
        <v>2.2543399622673301</v>
      </c>
      <c r="H1214">
        <v>1.95782125647879</v>
      </c>
      <c r="I1214">
        <v>2.8154269069388498</v>
      </c>
      <c r="J1214">
        <v>3.4236903896690398</v>
      </c>
      <c r="K1214">
        <v>3.9038301288096902</v>
      </c>
      <c r="L1214">
        <v>961.67189345352404</v>
      </c>
      <c r="M1214">
        <v>22.403166046907899</v>
      </c>
      <c r="O1214">
        <v>42.588087702042003</v>
      </c>
      <c r="P1214">
        <v>6.5756746992089096E-2</v>
      </c>
      <c r="Q1214">
        <v>1.5</v>
      </c>
      <c r="R1214">
        <v>-0.43708166047608998</v>
      </c>
      <c r="S1214" t="s">
        <v>5046</v>
      </c>
      <c r="T1214" t="s">
        <v>7662</v>
      </c>
      <c r="U1214" t="s">
        <v>7662</v>
      </c>
      <c r="V1214" t="s">
        <v>7662</v>
      </c>
      <c r="W1214">
        <v>1</v>
      </c>
      <c r="X1214" t="s">
        <v>8876</v>
      </c>
      <c r="Y1214">
        <v>1.441886459335161</v>
      </c>
      <c r="Z1214" t="str">
        <f>HYPERLINK("Melting_Curves/meltCurve_sp_P60468_SC61B_HUMAN_.pdf", "Melting_Curves/meltCurve_sp_P60468_SC61B_HUMAN_.pdf")</f>
        <v>Melting_Curves/meltCurve_sp_P60468_SC61B_HUMAN_.pdf</v>
      </c>
      <c r="AA1214" t="s">
        <v>12687</v>
      </c>
      <c r="AB1214" t="s">
        <v>16454</v>
      </c>
    </row>
    <row r="1215" spans="1:28" x14ac:dyDescent="0.25">
      <c r="A1215" t="s">
        <v>1219</v>
      </c>
      <c r="B1215">
        <v>0.98876768158843997</v>
      </c>
      <c r="C1215">
        <v>0.84131689243239305</v>
      </c>
      <c r="D1215">
        <v>0.88724092257529297</v>
      </c>
      <c r="E1215">
        <v>0.75164978058351695</v>
      </c>
      <c r="F1215">
        <v>0.71374296464904996</v>
      </c>
      <c r="G1215">
        <v>0.394920246332226</v>
      </c>
      <c r="H1215">
        <v>0.26390257734031802</v>
      </c>
      <c r="I1215">
        <v>0.163138969337707</v>
      </c>
      <c r="J1215">
        <v>0.18444626630160799</v>
      </c>
      <c r="K1215">
        <v>0.124038047170729</v>
      </c>
      <c r="L1215">
        <v>565.73185391063498</v>
      </c>
      <c r="M1215">
        <v>10.1843392172587</v>
      </c>
      <c r="N1215">
        <v>55.549195860275397</v>
      </c>
      <c r="O1215">
        <v>53.5351926379413</v>
      </c>
      <c r="P1215">
        <v>-4.7580666587098003E-2</v>
      </c>
      <c r="Q1215">
        <v>0</v>
      </c>
      <c r="R1215">
        <v>0.97383804631298299</v>
      </c>
      <c r="S1215" t="s">
        <v>5047</v>
      </c>
      <c r="T1215" t="s">
        <v>7662</v>
      </c>
      <c r="U1215" t="s">
        <v>7662</v>
      </c>
      <c r="V1215" t="s">
        <v>7662</v>
      </c>
      <c r="W1215">
        <v>6</v>
      </c>
      <c r="X1215" t="s">
        <v>8877</v>
      </c>
      <c r="Y1215">
        <v>0.54152906153191949</v>
      </c>
      <c r="Z1215" t="str">
        <f>HYPERLINK("Melting_Curves/meltCurve_sp_P60510_PP4C_HUMAN_.pdf", "Melting_Curves/meltCurve_sp_P60510_PP4C_HUMAN_.pdf")</f>
        <v>Melting_Curves/meltCurve_sp_P60510_PP4C_HUMAN_.pdf</v>
      </c>
      <c r="AA1215" t="s">
        <v>12688</v>
      </c>
      <c r="AB1215" t="s">
        <v>16455</v>
      </c>
    </row>
    <row r="1216" spans="1:28" x14ac:dyDescent="0.25">
      <c r="A1216" t="s">
        <v>1220</v>
      </c>
      <c r="B1216">
        <v>0.98876768158843997</v>
      </c>
      <c r="C1216">
        <v>0.86319276488738905</v>
      </c>
      <c r="D1216">
        <v>0.73464583873353795</v>
      </c>
      <c r="E1216">
        <v>0.50749141511396101</v>
      </c>
      <c r="F1216">
        <v>0.12363740235786901</v>
      </c>
      <c r="G1216">
        <v>8.5818168968091094E-2</v>
      </c>
      <c r="H1216">
        <v>3.1666441139760401E-2</v>
      </c>
      <c r="I1216">
        <v>3.6959704174880398E-2</v>
      </c>
      <c r="J1216">
        <v>3.3358720919098001E-2</v>
      </c>
      <c r="K1216">
        <v>2.4778736827706899E-2</v>
      </c>
      <c r="L1216">
        <v>834.69619228843703</v>
      </c>
      <c r="M1216">
        <v>17.0601275117174</v>
      </c>
      <c r="N1216">
        <v>48.970761076794403</v>
      </c>
      <c r="O1216">
        <v>48.269309600470699</v>
      </c>
      <c r="P1216">
        <v>-8.76918370039559E-2</v>
      </c>
      <c r="Q1216">
        <v>7.6119480877593002E-3</v>
      </c>
      <c r="R1216">
        <v>0.98426418084051803</v>
      </c>
      <c r="S1216" t="s">
        <v>5048</v>
      </c>
      <c r="T1216" t="s">
        <v>7662</v>
      </c>
      <c r="U1216" t="s">
        <v>7662</v>
      </c>
      <c r="V1216" t="s">
        <v>7662</v>
      </c>
      <c r="W1216">
        <v>6</v>
      </c>
      <c r="X1216" t="s">
        <v>8878</v>
      </c>
      <c r="Y1216">
        <v>0.3220539886775326</v>
      </c>
      <c r="Z1216" t="str">
        <f>HYPERLINK("Melting_Curves/meltCurve_sp_P60763_RAC3_HUMAN_.pdf", "Melting_Curves/meltCurve_sp_P60763_RAC3_HUMAN_.pdf")</f>
        <v>Melting_Curves/meltCurve_sp_P60763_RAC3_HUMAN_.pdf</v>
      </c>
      <c r="AA1216" t="s">
        <v>12689</v>
      </c>
      <c r="AB1216" t="s">
        <v>16456</v>
      </c>
    </row>
    <row r="1217" spans="1:28" x14ac:dyDescent="0.25">
      <c r="A1217" t="s">
        <v>1221</v>
      </c>
      <c r="B1217">
        <v>0.98876768158843997</v>
      </c>
      <c r="C1217">
        <v>1.0330378646543501</v>
      </c>
      <c r="D1217">
        <v>0.84428230503340895</v>
      </c>
      <c r="E1217">
        <v>0.60023704807168099</v>
      </c>
      <c r="F1217">
        <v>0.26532849420251597</v>
      </c>
      <c r="G1217">
        <v>0.13155214528795001</v>
      </c>
      <c r="H1217">
        <v>4.2212017611261303E-2</v>
      </c>
      <c r="I1217">
        <v>3.41420129036741E-2</v>
      </c>
      <c r="J1217">
        <v>3.9178172175861399E-2</v>
      </c>
      <c r="K1217">
        <v>3.0298128614507699E-2</v>
      </c>
      <c r="L1217">
        <v>1053.17563786651</v>
      </c>
      <c r="M1217">
        <v>20.836807831803799</v>
      </c>
      <c r="N1217">
        <v>50.6772868382402</v>
      </c>
      <c r="O1217">
        <v>50.085369497415897</v>
      </c>
      <c r="P1217">
        <v>-0.101236034608758</v>
      </c>
      <c r="Q1217">
        <v>2.6664000405634498E-2</v>
      </c>
      <c r="R1217">
        <v>0.99512395085363903</v>
      </c>
      <c r="S1217" t="s">
        <v>5049</v>
      </c>
      <c r="T1217" t="s">
        <v>7662</v>
      </c>
      <c r="U1217" t="s">
        <v>7662</v>
      </c>
      <c r="V1217" t="s">
        <v>7662</v>
      </c>
      <c r="W1217">
        <v>24</v>
      </c>
      <c r="X1217" t="s">
        <v>8879</v>
      </c>
      <c r="Y1217">
        <v>0.38126359692547368</v>
      </c>
      <c r="Z1217" t="str">
        <f>HYPERLINK("Melting_Curves/meltCurve_sp_P60842_IF4A1_HUMAN_.pdf", "Melting_Curves/meltCurve_sp_P60842_IF4A1_HUMAN_.pdf")</f>
        <v>Melting_Curves/meltCurve_sp_P60842_IF4A1_HUMAN_.pdf</v>
      </c>
      <c r="AA1217" t="s">
        <v>12690</v>
      </c>
      <c r="AB1217" t="s">
        <v>16457</v>
      </c>
    </row>
    <row r="1218" spans="1:28" x14ac:dyDescent="0.25">
      <c r="A1218" t="s">
        <v>1222</v>
      </c>
      <c r="B1218">
        <v>0.98876768158843997</v>
      </c>
      <c r="C1218">
        <v>1.0212472720186201</v>
      </c>
      <c r="D1218">
        <v>0.72648994356715302</v>
      </c>
      <c r="E1218">
        <v>0.34442680226092098</v>
      </c>
      <c r="F1218">
        <v>0.19928514646193701</v>
      </c>
      <c r="G1218">
        <v>0.11030266462036301</v>
      </c>
      <c r="H1218">
        <v>6.5332139957231194E-2</v>
      </c>
      <c r="I1218">
        <v>7.0223250378930596E-2</v>
      </c>
      <c r="J1218">
        <v>7.5453984079837597E-2</v>
      </c>
      <c r="K1218">
        <v>7.7847533581060294E-2</v>
      </c>
      <c r="L1218">
        <v>1106.2531175982599</v>
      </c>
      <c r="M1218">
        <v>23.008031748920299</v>
      </c>
      <c r="N1218">
        <v>48.428104685449298</v>
      </c>
      <c r="O1218">
        <v>47.722371494842299</v>
      </c>
      <c r="P1218">
        <v>-0.11137483203494999</v>
      </c>
      <c r="Q1218">
        <v>7.5979741044895299E-2</v>
      </c>
      <c r="R1218">
        <v>0.99432105595197995</v>
      </c>
      <c r="S1218" t="s">
        <v>5050</v>
      </c>
      <c r="T1218" t="s">
        <v>7662</v>
      </c>
      <c r="U1218" t="s">
        <v>7662</v>
      </c>
      <c r="V1218" t="s">
        <v>7662</v>
      </c>
      <c r="W1218">
        <v>3</v>
      </c>
      <c r="X1218" t="s">
        <v>8880</v>
      </c>
      <c r="Y1218">
        <v>0.33462428741068728</v>
      </c>
      <c r="Z1218" t="str">
        <f>HYPERLINK("Melting_Curves/meltCurve_sp_P60866_RS20_HUMAN_.pdf", "Melting_Curves/meltCurve_sp_P60866_RS20_HUMAN_.pdf")</f>
        <v>Melting_Curves/meltCurve_sp_P60866_RS20_HUMAN_.pdf</v>
      </c>
      <c r="AA1218" t="s">
        <v>12691</v>
      </c>
      <c r="AB1218" t="s">
        <v>16458</v>
      </c>
    </row>
    <row r="1219" spans="1:28" x14ac:dyDescent="0.25">
      <c r="A1219" t="s">
        <v>1223</v>
      </c>
      <c r="B1219">
        <v>0.98876768158843997</v>
      </c>
      <c r="C1219">
        <v>1.03450076154468</v>
      </c>
      <c r="D1219">
        <v>1.1582767567548899</v>
      </c>
      <c r="E1219">
        <v>0.92986321767842794</v>
      </c>
      <c r="F1219">
        <v>0.777001407098448</v>
      </c>
      <c r="G1219">
        <v>0.35837708008990898</v>
      </c>
      <c r="H1219">
        <v>0.11017986236511799</v>
      </c>
      <c r="I1219">
        <v>7.5612406097583199E-2</v>
      </c>
      <c r="J1219">
        <v>6.3561596475027404E-2</v>
      </c>
      <c r="K1219">
        <v>4.3578378449150301E-2</v>
      </c>
      <c r="L1219">
        <v>1487.12919602443</v>
      </c>
      <c r="M1219">
        <v>26.847598568787699</v>
      </c>
      <c r="N1219">
        <v>55.592942069432901</v>
      </c>
      <c r="O1219">
        <v>55.086937634933001</v>
      </c>
      <c r="P1219">
        <v>-0.116196029349144</v>
      </c>
      <c r="Q1219">
        <v>4.6347692276035003E-2</v>
      </c>
      <c r="R1219">
        <v>0.98537954336285904</v>
      </c>
      <c r="S1219" t="s">
        <v>5051</v>
      </c>
      <c r="T1219" t="s">
        <v>7662</v>
      </c>
      <c r="U1219" t="s">
        <v>7662</v>
      </c>
      <c r="V1219" t="s">
        <v>7662</v>
      </c>
      <c r="W1219">
        <v>12</v>
      </c>
      <c r="X1219" t="s">
        <v>8881</v>
      </c>
      <c r="Y1219">
        <v>0.54339042983724006</v>
      </c>
      <c r="Z1219" t="str">
        <f>HYPERLINK("Melting_Curves/meltCurve_sp_P60891_PRPS1_HUMAN_.pdf", "Melting_Curves/meltCurve_sp_P60891_PRPS1_HUMAN_.pdf")</f>
        <v>Melting_Curves/meltCurve_sp_P60891_PRPS1_HUMAN_.pdf</v>
      </c>
      <c r="AA1219" t="s">
        <v>12692</v>
      </c>
      <c r="AB1219" t="s">
        <v>16459</v>
      </c>
    </row>
    <row r="1220" spans="1:28" x14ac:dyDescent="0.25">
      <c r="A1220" t="s">
        <v>1224</v>
      </c>
      <c r="B1220">
        <v>0.98876768158843997</v>
      </c>
      <c r="C1220">
        <v>1.02654029868623</v>
      </c>
      <c r="D1220">
        <v>1.13317547312324</v>
      </c>
      <c r="E1220">
        <v>1.10505067059819</v>
      </c>
      <c r="F1220">
        <v>0.67966448267442303</v>
      </c>
      <c r="G1220">
        <v>0.597764746011063</v>
      </c>
      <c r="H1220">
        <v>0.56609666232203404</v>
      </c>
      <c r="I1220">
        <v>0.71375132496220905</v>
      </c>
      <c r="J1220">
        <v>0.67513225197979299</v>
      </c>
      <c r="K1220">
        <v>0.85040293471648998</v>
      </c>
      <c r="L1220">
        <v>12966.794375543899</v>
      </c>
      <c r="M1220">
        <v>250</v>
      </c>
      <c r="O1220">
        <v>51.863871569154199</v>
      </c>
      <c r="P1220">
        <v>-0.385361775817951</v>
      </c>
      <c r="Q1220">
        <v>0.68021842319756098</v>
      </c>
      <c r="R1220">
        <v>0.80848717142469195</v>
      </c>
      <c r="S1220" t="s">
        <v>5052</v>
      </c>
      <c r="T1220" t="s">
        <v>7662</v>
      </c>
      <c r="U1220" t="s">
        <v>7662</v>
      </c>
      <c r="V1220" t="s">
        <v>7662</v>
      </c>
      <c r="W1220">
        <v>17</v>
      </c>
      <c r="X1220" t="s">
        <v>8882</v>
      </c>
      <c r="Y1220">
        <v>0.80674435612526085</v>
      </c>
      <c r="Z1220" t="str">
        <f>HYPERLINK("Melting_Curves/meltCurve_sp_P60900_PSA6_HUMAN_.pdf", "Melting_Curves/meltCurve_sp_P60900_PSA6_HUMAN_.pdf")</f>
        <v>Melting_Curves/meltCurve_sp_P60900_PSA6_HUMAN_.pdf</v>
      </c>
      <c r="AA1220" t="s">
        <v>12693</v>
      </c>
      <c r="AB1220" t="s">
        <v>16460</v>
      </c>
    </row>
    <row r="1221" spans="1:28" x14ac:dyDescent="0.25">
      <c r="A1221" t="s">
        <v>1225</v>
      </c>
      <c r="B1221">
        <v>0.98876768158843997</v>
      </c>
      <c r="C1221">
        <v>0.95627386842401296</v>
      </c>
      <c r="D1221">
        <v>0.74420745673365296</v>
      </c>
      <c r="E1221">
        <v>0.52126667007199501</v>
      </c>
      <c r="F1221">
        <v>0.15711148309124701</v>
      </c>
      <c r="G1221">
        <v>6.7934959509848805E-2</v>
      </c>
      <c r="H1221">
        <v>2.78782637011049E-2</v>
      </c>
      <c r="I1221">
        <v>2.9502822480155101E-2</v>
      </c>
      <c r="J1221">
        <v>2.8738184288797E-2</v>
      </c>
      <c r="K1221">
        <v>2.5186352329270498E-2</v>
      </c>
      <c r="L1221">
        <v>933.03251618026195</v>
      </c>
      <c r="M1221">
        <v>18.914011000415499</v>
      </c>
      <c r="N1221">
        <v>49.376521924721899</v>
      </c>
      <c r="O1221">
        <v>48.788734844958498</v>
      </c>
      <c r="P1221">
        <v>-9.6070137192538804E-2</v>
      </c>
      <c r="Q1221">
        <v>8.7880356870330308E-3</v>
      </c>
      <c r="R1221">
        <v>0.99066487214789301</v>
      </c>
      <c r="S1221" t="s">
        <v>5053</v>
      </c>
      <c r="T1221" t="s">
        <v>7662</v>
      </c>
      <c r="U1221" t="s">
        <v>7662</v>
      </c>
      <c r="V1221" t="s">
        <v>7662</v>
      </c>
      <c r="W1221">
        <v>6</v>
      </c>
      <c r="X1221" t="s">
        <v>8883</v>
      </c>
      <c r="Y1221">
        <v>0.33254188264688611</v>
      </c>
      <c r="Z1221" t="str">
        <f>HYPERLINK("Melting_Curves/meltCurve_sp_P60953_CDC42_HUMAN_.pdf", "Melting_Curves/meltCurve_sp_P60953_CDC42_HUMAN_.pdf")</f>
        <v>Melting_Curves/meltCurve_sp_P60953_CDC42_HUMAN_.pdf</v>
      </c>
      <c r="AA1221" t="s">
        <v>12694</v>
      </c>
      <c r="AB1221" t="s">
        <v>16461</v>
      </c>
    </row>
    <row r="1222" spans="1:28" x14ac:dyDescent="0.25">
      <c r="A1222" t="s">
        <v>1226</v>
      </c>
      <c r="B1222">
        <v>0.98876768158843997</v>
      </c>
      <c r="C1222">
        <v>1.07370520020482</v>
      </c>
      <c r="D1222">
        <v>0.81407917948125297</v>
      </c>
      <c r="E1222">
        <v>0.70587974359868899</v>
      </c>
      <c r="F1222">
        <v>0.48344020403314603</v>
      </c>
      <c r="G1222">
        <v>0.13481791806582699</v>
      </c>
      <c r="H1222">
        <v>6.6401767863918798E-2</v>
      </c>
      <c r="I1222">
        <v>5.1780264150518299E-2</v>
      </c>
      <c r="J1222">
        <v>5.3069885443853999E-2</v>
      </c>
      <c r="K1222">
        <v>4.67312378931534E-2</v>
      </c>
      <c r="L1222">
        <v>946.06472862121495</v>
      </c>
      <c r="M1222">
        <v>18.1463163309298</v>
      </c>
      <c r="N1222">
        <v>52.241770598109902</v>
      </c>
      <c r="O1222">
        <v>51.514584673368901</v>
      </c>
      <c r="P1222">
        <v>-8.6470565576386493E-2</v>
      </c>
      <c r="Q1222">
        <v>1.81407619176263E-2</v>
      </c>
      <c r="R1222">
        <v>0.98355852615376005</v>
      </c>
      <c r="S1222" t="s">
        <v>5054</v>
      </c>
      <c r="T1222" t="s">
        <v>7662</v>
      </c>
      <c r="U1222" t="s">
        <v>7662</v>
      </c>
      <c r="V1222" t="s">
        <v>7662</v>
      </c>
      <c r="W1222">
        <v>14</v>
      </c>
      <c r="X1222" t="s">
        <v>8884</v>
      </c>
      <c r="Y1222">
        <v>0.43140020526133821</v>
      </c>
      <c r="Z1222" t="str">
        <f>HYPERLINK("Melting_Curves/meltCurve_sp_P60981_DEST_HUMAN_.pdf", "Melting_Curves/meltCurve_sp_P60981_DEST_HUMAN_.pdf")</f>
        <v>Melting_Curves/meltCurve_sp_P60981_DEST_HUMAN_.pdf</v>
      </c>
      <c r="AA1222" t="s">
        <v>12695</v>
      </c>
      <c r="AB1222" t="s">
        <v>16462</v>
      </c>
    </row>
    <row r="1223" spans="1:28" x14ac:dyDescent="0.25">
      <c r="A1223" t="s">
        <v>1227</v>
      </c>
      <c r="B1223">
        <v>0.98876768158843997</v>
      </c>
      <c r="C1223">
        <v>1.10134048308504</v>
      </c>
      <c r="D1223">
        <v>0.79032881331831495</v>
      </c>
      <c r="E1223">
        <v>0.67489645226067896</v>
      </c>
      <c r="F1223">
        <v>0.67285080715771906</v>
      </c>
      <c r="G1223">
        <v>0.47171634812047297</v>
      </c>
      <c r="H1223">
        <v>0.379507450485841</v>
      </c>
      <c r="I1223">
        <v>0.436017109483403</v>
      </c>
      <c r="J1223">
        <v>0.591988699477484</v>
      </c>
      <c r="K1223">
        <v>0.57708679299205801</v>
      </c>
      <c r="L1223">
        <v>955.74849277073099</v>
      </c>
      <c r="M1223">
        <v>19.674321596581098</v>
      </c>
      <c r="N1223">
        <v>65.036210048589595</v>
      </c>
      <c r="O1223">
        <v>48.084945875929698</v>
      </c>
      <c r="P1223">
        <v>-5.1498521943282201E-2</v>
      </c>
      <c r="Q1223">
        <v>0.49655842954714602</v>
      </c>
      <c r="R1223">
        <v>0.85414751592480398</v>
      </c>
      <c r="S1223" t="s">
        <v>5055</v>
      </c>
      <c r="T1223" t="s">
        <v>7662</v>
      </c>
      <c r="U1223" t="s">
        <v>7662</v>
      </c>
      <c r="V1223" t="s">
        <v>7662</v>
      </c>
      <c r="W1223">
        <v>5</v>
      </c>
      <c r="X1223" t="s">
        <v>8885</v>
      </c>
      <c r="Y1223">
        <v>0.64784717653668855</v>
      </c>
      <c r="Z1223" t="str">
        <f>HYPERLINK("Melting_Curves/meltCurve_sp_P60983_GMFB_HUMAN_.pdf", "Melting_Curves/meltCurve_sp_P60983_GMFB_HUMAN_.pdf")</f>
        <v>Melting_Curves/meltCurve_sp_P60983_GMFB_HUMAN_.pdf</v>
      </c>
      <c r="AA1223" t="s">
        <v>12696</v>
      </c>
      <c r="AB1223" t="s">
        <v>16463</v>
      </c>
    </row>
    <row r="1224" spans="1:28" x14ac:dyDescent="0.25">
      <c r="A1224" t="s">
        <v>1228</v>
      </c>
      <c r="B1224">
        <v>0.98876768158843997</v>
      </c>
      <c r="C1224">
        <v>1.04562300819613</v>
      </c>
      <c r="D1224">
        <v>0.82371165640786903</v>
      </c>
      <c r="E1224">
        <v>0.62613655991081296</v>
      </c>
      <c r="F1224">
        <v>0.43457999367959599</v>
      </c>
      <c r="G1224">
        <v>0.17057327464396399</v>
      </c>
      <c r="H1224">
        <v>6.79213772671588E-2</v>
      </c>
      <c r="I1224">
        <v>4.9687975731442499E-2</v>
      </c>
      <c r="J1224">
        <v>3.8106390114904999E-2</v>
      </c>
      <c r="K1224">
        <v>5.3101786155706501E-2</v>
      </c>
      <c r="L1224">
        <v>839.76662289459898</v>
      </c>
      <c r="M1224">
        <v>16.285745618138598</v>
      </c>
      <c r="N1224">
        <v>51.6645230118706</v>
      </c>
      <c r="O1224">
        <v>50.805857087008398</v>
      </c>
      <c r="P1224">
        <v>-7.8899529157873502E-2</v>
      </c>
      <c r="Q1224">
        <v>1.5515986579396601E-2</v>
      </c>
      <c r="R1224">
        <v>0.99200412925890102</v>
      </c>
      <c r="S1224" t="s">
        <v>5056</v>
      </c>
      <c r="T1224" t="s">
        <v>7662</v>
      </c>
      <c r="U1224" t="s">
        <v>7662</v>
      </c>
      <c r="V1224" t="s">
        <v>7662</v>
      </c>
      <c r="W1224">
        <v>8</v>
      </c>
      <c r="X1224" t="s">
        <v>8886</v>
      </c>
      <c r="Y1224">
        <v>0.41456359536880322</v>
      </c>
      <c r="Z1224" t="str">
        <f>HYPERLINK("Melting_Curves/meltCurve_sp_P61006_RAB8A_HUMAN_.pdf", "Melting_Curves/meltCurve_sp_P61006_RAB8A_HUMAN_.pdf")</f>
        <v>Melting_Curves/meltCurve_sp_P61006_RAB8A_HUMAN_.pdf</v>
      </c>
      <c r="AA1224" t="s">
        <v>12697</v>
      </c>
      <c r="AB1224" t="s">
        <v>16464</v>
      </c>
    </row>
    <row r="1225" spans="1:28" x14ac:dyDescent="0.25">
      <c r="A1225" t="s">
        <v>1229</v>
      </c>
      <c r="B1225">
        <v>0.98876768158843997</v>
      </c>
      <c r="C1225">
        <v>0.860946624015831</v>
      </c>
      <c r="D1225">
        <v>1.05515371911634</v>
      </c>
      <c r="E1225">
        <v>0.87120314278799205</v>
      </c>
      <c r="F1225">
        <v>0.34377047656742199</v>
      </c>
      <c r="G1225">
        <v>0.34074450887743202</v>
      </c>
      <c r="H1225">
        <v>0.340240486484091</v>
      </c>
      <c r="I1225">
        <v>0.41916640673320399</v>
      </c>
      <c r="J1225">
        <v>0.43575237529976901</v>
      </c>
      <c r="K1225">
        <v>0.30345843953211399</v>
      </c>
      <c r="L1225">
        <v>12568.547883613201</v>
      </c>
      <c r="M1225">
        <v>250</v>
      </c>
      <c r="N1225">
        <v>50.537166131096498</v>
      </c>
      <c r="O1225">
        <v>50.270974482167198</v>
      </c>
      <c r="P1225">
        <v>-0.79089476793882596</v>
      </c>
      <c r="Q1225">
        <v>0.36385519164791003</v>
      </c>
      <c r="R1225">
        <v>0.95768105587267804</v>
      </c>
      <c r="S1225" t="s">
        <v>5057</v>
      </c>
      <c r="T1225" t="s">
        <v>7662</v>
      </c>
      <c r="U1225" t="s">
        <v>7662</v>
      </c>
      <c r="V1225" t="s">
        <v>7662</v>
      </c>
      <c r="W1225">
        <v>4</v>
      </c>
      <c r="X1225" t="s">
        <v>8887</v>
      </c>
      <c r="Y1225">
        <v>0.5817737724624592</v>
      </c>
      <c r="Z1225" t="str">
        <f>HYPERLINK("Melting_Curves/meltCurve_sp_P61011_2_SRP54_HUMAN_.pdf", "Melting_Curves/meltCurve_sp_P61011_2_SRP54_HUMAN_.pdf")</f>
        <v>Melting_Curves/meltCurve_sp_P61011_2_SRP54_HUMAN_.pdf</v>
      </c>
      <c r="AA1225" t="s">
        <v>12698</v>
      </c>
      <c r="AB1225" t="s">
        <v>16465</v>
      </c>
    </row>
    <row r="1226" spans="1:28" x14ac:dyDescent="0.25">
      <c r="A1226" t="s">
        <v>1230</v>
      </c>
      <c r="B1226">
        <v>0.98876768158843997</v>
      </c>
      <c r="C1226">
        <v>1.0447727946143399</v>
      </c>
      <c r="D1226">
        <v>0.87252690638506902</v>
      </c>
      <c r="E1226">
        <v>0.64853455263094495</v>
      </c>
      <c r="F1226">
        <v>0.378641851901246</v>
      </c>
      <c r="G1226">
        <v>0.14476879239059401</v>
      </c>
      <c r="H1226">
        <v>7.8033537546909504E-2</v>
      </c>
      <c r="I1226">
        <v>5.6869558696307498E-2</v>
      </c>
      <c r="J1226">
        <v>5.68112220747026E-2</v>
      </c>
      <c r="K1226">
        <v>4.7472974937009603E-2</v>
      </c>
      <c r="L1226">
        <v>1015.59213116935</v>
      </c>
      <c r="M1226">
        <v>19.799022853726001</v>
      </c>
      <c r="N1226">
        <v>51.514356787427097</v>
      </c>
      <c r="O1226">
        <v>50.780374914628901</v>
      </c>
      <c r="P1226">
        <v>-9.3537626440781604E-2</v>
      </c>
      <c r="Q1226">
        <v>4.0414256457354199E-2</v>
      </c>
      <c r="R1226">
        <v>0.99618759553117897</v>
      </c>
      <c r="S1226" t="s">
        <v>5058</v>
      </c>
      <c r="T1226" t="s">
        <v>7662</v>
      </c>
      <c r="U1226" t="s">
        <v>7662</v>
      </c>
      <c r="V1226" t="s">
        <v>7662</v>
      </c>
      <c r="W1226">
        <v>8</v>
      </c>
      <c r="X1226" t="s">
        <v>8888</v>
      </c>
      <c r="Y1226">
        <v>0.41526125672718989</v>
      </c>
      <c r="Z1226" t="str">
        <f>HYPERLINK("Melting_Curves/meltCurve_sp_P61019_RAB2A_HUMAN_.pdf", "Melting_Curves/meltCurve_sp_P61019_RAB2A_HUMAN_.pdf")</f>
        <v>Melting_Curves/meltCurve_sp_P61019_RAB2A_HUMAN_.pdf</v>
      </c>
      <c r="AA1226" t="s">
        <v>12699</v>
      </c>
      <c r="AB1226" t="s">
        <v>16466</v>
      </c>
    </row>
    <row r="1227" spans="1:28" x14ac:dyDescent="0.25">
      <c r="A1227" t="s">
        <v>1231</v>
      </c>
      <c r="B1227">
        <v>0.98876768158843997</v>
      </c>
      <c r="C1227">
        <v>1.0060506603433701</v>
      </c>
      <c r="D1227">
        <v>0.86578725479685203</v>
      </c>
      <c r="E1227">
        <v>0.64048454676661404</v>
      </c>
      <c r="F1227">
        <v>0.37758554930111199</v>
      </c>
      <c r="G1227">
        <v>0.12609968971609001</v>
      </c>
      <c r="H1227">
        <v>6.5711936009921298E-2</v>
      </c>
      <c r="I1227">
        <v>3.9685367207197203E-2</v>
      </c>
      <c r="J1227">
        <v>0.15900699808200799</v>
      </c>
      <c r="K1227">
        <v>4.1086586622428603E-2</v>
      </c>
      <c r="L1227">
        <v>1042.071506691</v>
      </c>
      <c r="M1227">
        <v>20.416984207528401</v>
      </c>
      <c r="N1227">
        <v>51.351528545908202</v>
      </c>
      <c r="O1227">
        <v>50.5573748771575</v>
      </c>
      <c r="P1227">
        <v>-9.5071682542978E-2</v>
      </c>
      <c r="Q1227">
        <v>5.8346626936200401E-2</v>
      </c>
      <c r="R1227">
        <v>0.98988048939440099</v>
      </c>
      <c r="S1227" t="s">
        <v>5059</v>
      </c>
      <c r="T1227" t="s">
        <v>7662</v>
      </c>
      <c r="U1227" t="s">
        <v>7662</v>
      </c>
      <c r="V1227" t="s">
        <v>7662</v>
      </c>
      <c r="W1227">
        <v>5</v>
      </c>
      <c r="X1227" t="s">
        <v>8889</v>
      </c>
      <c r="Y1227">
        <v>0.41743198418714073</v>
      </c>
      <c r="Z1227" t="str">
        <f>HYPERLINK("Melting_Curves/meltCurve_sp_P61020_RAB5B_HUMAN_.pdf", "Melting_Curves/meltCurve_sp_P61020_RAB5B_HUMAN_.pdf")</f>
        <v>Melting_Curves/meltCurve_sp_P61020_RAB5B_HUMAN_.pdf</v>
      </c>
      <c r="AA1227" t="s">
        <v>12700</v>
      </c>
      <c r="AB1227" t="s">
        <v>16467</v>
      </c>
    </row>
    <row r="1228" spans="1:28" x14ac:dyDescent="0.25">
      <c r="A1228" t="s">
        <v>1232</v>
      </c>
      <c r="B1228">
        <v>0.98876768158843997</v>
      </c>
      <c r="C1228">
        <v>0.99052389531127205</v>
      </c>
      <c r="D1228">
        <v>0.78728690134517898</v>
      </c>
      <c r="E1228">
        <v>0.51437689166663603</v>
      </c>
      <c r="F1228">
        <v>0.24827032840718699</v>
      </c>
      <c r="G1228">
        <v>8.9764029312537005E-2</v>
      </c>
      <c r="H1228">
        <v>4.49916639219567E-2</v>
      </c>
      <c r="I1228">
        <v>3.4996944461834698E-2</v>
      </c>
      <c r="J1228">
        <v>4.1329989542458402E-2</v>
      </c>
      <c r="K1228">
        <v>1.91221870612042E-2</v>
      </c>
      <c r="L1228">
        <v>928.09886134964995</v>
      </c>
      <c r="M1228">
        <v>18.6453711404885</v>
      </c>
      <c r="N1228">
        <v>49.87442377859</v>
      </c>
      <c r="O1228">
        <v>49.214387318413003</v>
      </c>
      <c r="P1228">
        <v>-9.3014438147141304E-2</v>
      </c>
      <c r="Q1228">
        <v>1.7996958089788101E-2</v>
      </c>
      <c r="R1228">
        <v>0.99732311237339999</v>
      </c>
      <c r="S1228" t="s">
        <v>5060</v>
      </c>
      <c r="T1228" t="s">
        <v>7662</v>
      </c>
      <c r="U1228" t="s">
        <v>7662</v>
      </c>
      <c r="V1228" t="s">
        <v>7662</v>
      </c>
      <c r="W1228">
        <v>4</v>
      </c>
      <c r="X1228" t="s">
        <v>8890</v>
      </c>
      <c r="Y1228">
        <v>0.35370467056909011</v>
      </c>
      <c r="Z1228" t="str">
        <f>HYPERLINK("Melting_Curves/meltCurve_sp_P61026_RAB10_HUMAN_.pdf", "Melting_Curves/meltCurve_sp_P61026_RAB10_HUMAN_.pdf")</f>
        <v>Melting_Curves/meltCurve_sp_P61026_RAB10_HUMAN_.pdf</v>
      </c>
      <c r="AA1228" t="s">
        <v>12701</v>
      </c>
      <c r="AB1228" t="s">
        <v>16468</v>
      </c>
    </row>
    <row r="1229" spans="1:28" x14ac:dyDescent="0.25">
      <c r="A1229" t="s">
        <v>1233</v>
      </c>
      <c r="B1229">
        <v>0.98876768158843997</v>
      </c>
      <c r="C1229">
        <v>1.0713660525812201</v>
      </c>
      <c r="D1229">
        <v>0.86718783111670605</v>
      </c>
      <c r="E1229">
        <v>0.69406153679979399</v>
      </c>
      <c r="F1229">
        <v>0.53662841559719998</v>
      </c>
      <c r="G1229">
        <v>0.13401747052812699</v>
      </c>
      <c r="H1229">
        <v>6.8022783929825595E-2</v>
      </c>
      <c r="I1229">
        <v>5.0157684060540102E-2</v>
      </c>
      <c r="J1229">
        <v>5.2827118255345598E-2</v>
      </c>
      <c r="K1229">
        <v>2.4455347901779199E-2</v>
      </c>
      <c r="L1229">
        <v>973.37785602528902</v>
      </c>
      <c r="M1229">
        <v>18.534018069676598</v>
      </c>
      <c r="N1229">
        <v>52.578165907345998</v>
      </c>
      <c r="O1229">
        <v>51.918506025179298</v>
      </c>
      <c r="P1229">
        <v>-8.8320175365241199E-2</v>
      </c>
      <c r="Q1229">
        <v>1.04142687843103E-2</v>
      </c>
      <c r="R1229">
        <v>0.98628289643452205</v>
      </c>
      <c r="S1229" t="s">
        <v>5061</v>
      </c>
      <c r="T1229" t="s">
        <v>7662</v>
      </c>
      <c r="U1229" t="s">
        <v>7662</v>
      </c>
      <c r="V1229" t="s">
        <v>7662</v>
      </c>
      <c r="W1229">
        <v>3</v>
      </c>
      <c r="X1229" t="s">
        <v>8891</v>
      </c>
      <c r="Y1229">
        <v>0.43891391721513029</v>
      </c>
      <c r="Z1229" t="str">
        <f>HYPERLINK("Melting_Curves/meltCurve_sp_P61077_UB2D3_HUMAN_.pdf", "Melting_Curves/meltCurve_sp_P61077_UB2D3_HUMAN_.pdf")</f>
        <v>Melting_Curves/meltCurve_sp_P61077_UB2D3_HUMAN_.pdf</v>
      </c>
      <c r="AA1229" t="s">
        <v>12702</v>
      </c>
      <c r="AB1229" t="s">
        <v>16469</v>
      </c>
    </row>
    <row r="1230" spans="1:28" x14ac:dyDescent="0.25">
      <c r="A1230" t="s">
        <v>1234</v>
      </c>
      <c r="B1230">
        <v>0.98876768158843997</v>
      </c>
      <c r="C1230">
        <v>1.0947984383263101</v>
      </c>
      <c r="D1230">
        <v>0.88791802775558004</v>
      </c>
      <c r="E1230">
        <v>0.74744806713964695</v>
      </c>
      <c r="F1230">
        <v>0.88392211062403903</v>
      </c>
      <c r="G1230">
        <v>0.44041617828178298</v>
      </c>
      <c r="H1230">
        <v>0.153641646138895</v>
      </c>
      <c r="I1230">
        <v>0.10704955975878699</v>
      </c>
      <c r="J1230">
        <v>0.11500281051101501</v>
      </c>
      <c r="K1230">
        <v>9.0346051267854693E-2</v>
      </c>
      <c r="L1230">
        <v>1082.9284893741201</v>
      </c>
      <c r="M1230">
        <v>19.3412032907755</v>
      </c>
      <c r="N1230">
        <v>56.284151010143397</v>
      </c>
      <c r="O1230">
        <v>55.402505760916597</v>
      </c>
      <c r="P1230">
        <v>-8.3093892238651698E-2</v>
      </c>
      <c r="Q1230">
        <v>4.7951933570959102E-2</v>
      </c>
      <c r="R1230">
        <v>0.95580224822675497</v>
      </c>
      <c r="S1230" t="s">
        <v>5062</v>
      </c>
      <c r="T1230" t="s">
        <v>7662</v>
      </c>
      <c r="U1230" t="s">
        <v>7662</v>
      </c>
      <c r="V1230" t="s">
        <v>7662</v>
      </c>
      <c r="W1230">
        <v>7</v>
      </c>
      <c r="X1230" t="s">
        <v>8892</v>
      </c>
      <c r="Y1230">
        <v>0.56824638639610658</v>
      </c>
      <c r="Z1230" t="str">
        <f>HYPERLINK("Melting_Curves/meltCurve_sp_P61081_UBC12_HUMAN_.pdf", "Melting_Curves/meltCurve_sp_P61081_UBC12_HUMAN_.pdf")</f>
        <v>Melting_Curves/meltCurve_sp_P61081_UBC12_HUMAN_.pdf</v>
      </c>
      <c r="AA1230" t="s">
        <v>12703</v>
      </c>
      <c r="AB1230" t="s">
        <v>16470</v>
      </c>
    </row>
    <row r="1231" spans="1:28" x14ac:dyDescent="0.25">
      <c r="A1231" t="s">
        <v>1235</v>
      </c>
      <c r="B1231">
        <v>0.98876768158843997</v>
      </c>
      <c r="C1231">
        <v>1.11235421008012</v>
      </c>
      <c r="D1231">
        <v>0.875725697913456</v>
      </c>
      <c r="E1231">
        <v>0.756655638911228</v>
      </c>
      <c r="F1231">
        <v>0.86545510499832601</v>
      </c>
      <c r="G1231">
        <v>0.53355013709696497</v>
      </c>
      <c r="H1231">
        <v>0.163981211214447</v>
      </c>
      <c r="I1231">
        <v>7.2201563218520504E-2</v>
      </c>
      <c r="J1231">
        <v>6.3248399469254493E-2</v>
      </c>
      <c r="K1231">
        <v>5.4118266063085903E-2</v>
      </c>
      <c r="L1231">
        <v>1037.4622189711999</v>
      </c>
      <c r="M1231">
        <v>18.269775626959401</v>
      </c>
      <c r="N1231">
        <v>56.785712397215399</v>
      </c>
      <c r="O1231">
        <v>56.118490339278502</v>
      </c>
      <c r="P1231">
        <v>-8.1393072110693396E-2</v>
      </c>
      <c r="Q1231">
        <v>0</v>
      </c>
      <c r="R1231">
        <v>0.95833300359501405</v>
      </c>
      <c r="S1231" t="s">
        <v>5063</v>
      </c>
      <c r="T1231" t="s">
        <v>7662</v>
      </c>
      <c r="U1231" t="s">
        <v>7662</v>
      </c>
      <c r="V1231" t="s">
        <v>7662</v>
      </c>
      <c r="W1231">
        <v>9</v>
      </c>
      <c r="X1231" t="s">
        <v>8893</v>
      </c>
      <c r="Y1231">
        <v>0.57327338077212664</v>
      </c>
      <c r="Z1231" t="str">
        <f>HYPERLINK("Melting_Curves/meltCurve_sp_P61086_UBE2K_HUMAN_.pdf", "Melting_Curves/meltCurve_sp_P61086_UBE2K_HUMAN_.pdf")</f>
        <v>Melting_Curves/meltCurve_sp_P61086_UBE2K_HUMAN_.pdf</v>
      </c>
      <c r="AA1231" t="s">
        <v>12704</v>
      </c>
      <c r="AB1231" t="s">
        <v>16471</v>
      </c>
    </row>
    <row r="1232" spans="1:28" x14ac:dyDescent="0.25">
      <c r="A1232" t="s">
        <v>1236</v>
      </c>
      <c r="B1232">
        <v>0.98876768158843997</v>
      </c>
      <c r="C1232">
        <v>1.12788769474869</v>
      </c>
      <c r="D1232">
        <v>0.89584406967408703</v>
      </c>
      <c r="E1232">
        <v>0.73506519145744798</v>
      </c>
      <c r="F1232">
        <v>0.75831204760219795</v>
      </c>
      <c r="G1232">
        <v>0.33822031252792201</v>
      </c>
      <c r="H1232">
        <v>0.116010352921236</v>
      </c>
      <c r="I1232">
        <v>7.2565252754015805E-2</v>
      </c>
      <c r="J1232">
        <v>6.3649101778421993E-2</v>
      </c>
      <c r="K1232">
        <v>5.3746840192796901E-2</v>
      </c>
      <c r="L1232">
        <v>918.14849541746605</v>
      </c>
      <c r="M1232">
        <v>16.7074362109378</v>
      </c>
      <c r="N1232">
        <v>54.957588061537798</v>
      </c>
      <c r="O1232">
        <v>54.1853019109085</v>
      </c>
      <c r="P1232">
        <v>-7.7053341442789594E-2</v>
      </c>
      <c r="Q1232">
        <v>4.73304853377947E-4</v>
      </c>
      <c r="R1232">
        <v>0.97007768137446104</v>
      </c>
      <c r="S1232" t="s">
        <v>5064</v>
      </c>
      <c r="T1232" t="s">
        <v>7662</v>
      </c>
      <c r="U1232" t="s">
        <v>7662</v>
      </c>
      <c r="V1232" t="s">
        <v>7662</v>
      </c>
      <c r="W1232">
        <v>10</v>
      </c>
      <c r="X1232" t="s">
        <v>8894</v>
      </c>
      <c r="Y1232">
        <v>0.51578646046120036</v>
      </c>
      <c r="Z1232" t="str">
        <f>HYPERLINK("Melting_Curves/meltCurve_sp_P61088_UBE2N_HUMAN_.pdf", "Melting_Curves/meltCurve_sp_P61088_UBE2N_HUMAN_.pdf")</f>
        <v>Melting_Curves/meltCurve_sp_P61088_UBE2N_HUMAN_.pdf</v>
      </c>
      <c r="AA1232" t="s">
        <v>12705</v>
      </c>
      <c r="AB1232" t="s">
        <v>16472</v>
      </c>
    </row>
    <row r="1233" spans="1:28" x14ac:dyDescent="0.25">
      <c r="A1233" t="s">
        <v>1237</v>
      </c>
      <c r="B1233">
        <v>0.98876768158843997</v>
      </c>
      <c r="C1233">
        <v>1.11020347867847</v>
      </c>
      <c r="D1233">
        <v>0.84063541321549295</v>
      </c>
      <c r="E1233">
        <v>0.60385284215994295</v>
      </c>
      <c r="F1233">
        <v>0.42445604593411301</v>
      </c>
      <c r="G1233">
        <v>0.17918746171934399</v>
      </c>
      <c r="H1233">
        <v>7.9789718341538002E-2</v>
      </c>
      <c r="I1233">
        <v>6.1189406007406702E-2</v>
      </c>
      <c r="J1233">
        <v>3.5275911485035998E-2</v>
      </c>
      <c r="K1233">
        <v>3.09062118375968E-2</v>
      </c>
      <c r="L1233">
        <v>873.24180003243498</v>
      </c>
      <c r="M1233">
        <v>16.961274263400099</v>
      </c>
      <c r="N1233">
        <v>51.617301081361099</v>
      </c>
      <c r="O1233">
        <v>50.784758408886098</v>
      </c>
      <c r="P1233">
        <v>-8.1717651950693998E-2</v>
      </c>
      <c r="Q1233">
        <v>2.1358328713367101E-2</v>
      </c>
      <c r="R1233">
        <v>0.98511661160717201</v>
      </c>
      <c r="S1233" t="s">
        <v>5065</v>
      </c>
      <c r="T1233" t="s">
        <v>7662</v>
      </c>
      <c r="U1233" t="s">
        <v>7662</v>
      </c>
      <c r="V1233" t="s">
        <v>7662</v>
      </c>
      <c r="W1233">
        <v>8</v>
      </c>
      <c r="X1233" t="s">
        <v>8895</v>
      </c>
      <c r="Y1233">
        <v>0.41416975571067599</v>
      </c>
      <c r="Z1233" t="str">
        <f>HYPERLINK("Melting_Curves/meltCurve_sp_P61106_RAB14_HUMAN_.pdf", "Melting_Curves/meltCurve_sp_P61106_RAB14_HUMAN_.pdf")</f>
        <v>Melting_Curves/meltCurve_sp_P61106_RAB14_HUMAN_.pdf</v>
      </c>
      <c r="AA1233" t="s">
        <v>12706</v>
      </c>
      <c r="AB1233" t="s">
        <v>16473</v>
      </c>
    </row>
    <row r="1234" spans="1:28" x14ac:dyDescent="0.25">
      <c r="A1234" t="s">
        <v>1238</v>
      </c>
      <c r="B1234">
        <v>0.98876768158843997</v>
      </c>
      <c r="C1234">
        <v>0.90635948594951199</v>
      </c>
      <c r="D1234">
        <v>1.0602124727661</v>
      </c>
      <c r="E1234">
        <v>1.02010184173783</v>
      </c>
      <c r="F1234">
        <v>0.67083699386217699</v>
      </c>
      <c r="G1234">
        <v>0.41491902680612902</v>
      </c>
      <c r="H1234">
        <v>0.111747555200571</v>
      </c>
      <c r="I1234">
        <v>6.2422496808147099E-2</v>
      </c>
      <c r="J1234">
        <v>8.3479569138937906E-2</v>
      </c>
      <c r="K1234">
        <v>5.3673178600802798E-2</v>
      </c>
      <c r="L1234">
        <v>1313.5676861397701</v>
      </c>
      <c r="M1234">
        <v>23.745450215331601</v>
      </c>
      <c r="N1234">
        <v>55.544024093915702</v>
      </c>
      <c r="O1234">
        <v>54.930831856104398</v>
      </c>
      <c r="P1234">
        <v>-0.103109204815282</v>
      </c>
      <c r="Q1234">
        <v>4.5916957096320897E-2</v>
      </c>
      <c r="R1234">
        <v>0.98122331852234501</v>
      </c>
      <c r="S1234" t="s">
        <v>5066</v>
      </c>
      <c r="T1234" t="s">
        <v>7662</v>
      </c>
      <c r="U1234" t="s">
        <v>7662</v>
      </c>
      <c r="V1234" t="s">
        <v>7662</v>
      </c>
      <c r="W1234">
        <v>19</v>
      </c>
      <c r="X1234" t="s">
        <v>8896</v>
      </c>
      <c r="Y1234">
        <v>0.54271318549266034</v>
      </c>
      <c r="Z1234" t="str">
        <f>HYPERLINK("Melting_Curves/meltCurve_sp_P61158_ARP3_HUMAN_.pdf", "Melting_Curves/meltCurve_sp_P61158_ARP3_HUMAN_.pdf")</f>
        <v>Melting_Curves/meltCurve_sp_P61158_ARP3_HUMAN_.pdf</v>
      </c>
      <c r="AA1234" t="s">
        <v>12707</v>
      </c>
      <c r="AB1234" t="s">
        <v>16474</v>
      </c>
    </row>
    <row r="1235" spans="1:28" x14ac:dyDescent="0.25">
      <c r="A1235" t="s">
        <v>1239</v>
      </c>
      <c r="B1235">
        <v>0.98876768158843997</v>
      </c>
      <c r="C1235">
        <v>0.84853860154818095</v>
      </c>
      <c r="D1235">
        <v>1.0686859410642</v>
      </c>
      <c r="E1235">
        <v>1.0198806757258201</v>
      </c>
      <c r="F1235">
        <v>0.62937661471967299</v>
      </c>
      <c r="G1235">
        <v>0.394695729225916</v>
      </c>
      <c r="H1235">
        <v>9.6839499011671701E-2</v>
      </c>
      <c r="I1235">
        <v>5.7420282865390901E-2</v>
      </c>
      <c r="J1235">
        <v>5.5699138385774401E-2</v>
      </c>
      <c r="K1235">
        <v>4.38417246610186E-2</v>
      </c>
      <c r="L1235">
        <v>1282.5219386019701</v>
      </c>
      <c r="M1235">
        <v>23.290370955191001</v>
      </c>
      <c r="N1235">
        <v>55.228467190856101</v>
      </c>
      <c r="O1235">
        <v>54.665473967372101</v>
      </c>
      <c r="P1235">
        <v>-0.103001733113068</v>
      </c>
      <c r="Q1235">
        <v>3.2984370533332398E-2</v>
      </c>
      <c r="R1235">
        <v>0.96979244007523902</v>
      </c>
      <c r="S1235" t="s">
        <v>5067</v>
      </c>
      <c r="T1235" t="s">
        <v>7662</v>
      </c>
      <c r="U1235" t="s">
        <v>7662</v>
      </c>
      <c r="V1235" t="s">
        <v>7662</v>
      </c>
      <c r="W1235">
        <v>12</v>
      </c>
      <c r="X1235" t="s">
        <v>8897</v>
      </c>
      <c r="Y1235">
        <v>0.52873607250623322</v>
      </c>
      <c r="Z1235" t="str">
        <f>HYPERLINK("Melting_Curves/meltCurve_sp_P61160_ARP2_HUMAN_.pdf", "Melting_Curves/meltCurve_sp_P61160_ARP2_HUMAN_.pdf")</f>
        <v>Melting_Curves/meltCurve_sp_P61160_ARP2_HUMAN_.pdf</v>
      </c>
      <c r="AA1235" t="s">
        <v>12708</v>
      </c>
      <c r="AB1235" t="s">
        <v>16475</v>
      </c>
    </row>
    <row r="1236" spans="1:28" x14ac:dyDescent="0.25">
      <c r="A1236" t="s">
        <v>1240</v>
      </c>
      <c r="B1236">
        <v>0.98876768158843997</v>
      </c>
      <c r="C1236">
        <v>0.977714882338236</v>
      </c>
      <c r="D1236">
        <v>1.0519097869714</v>
      </c>
      <c r="E1236">
        <v>0.59356183962989095</v>
      </c>
      <c r="F1236">
        <v>0.37907917168592498</v>
      </c>
      <c r="G1236">
        <v>0.16085214801369199</v>
      </c>
      <c r="H1236">
        <v>7.0184305043753406E-2</v>
      </c>
      <c r="I1236">
        <v>4.7701695168179202E-2</v>
      </c>
      <c r="J1236">
        <v>6.5883455891300402E-2</v>
      </c>
      <c r="K1236">
        <v>3.1237573584532202E-2</v>
      </c>
      <c r="L1236">
        <v>1198.7997657519099</v>
      </c>
      <c r="M1236">
        <v>23.399540914808401</v>
      </c>
      <c r="N1236">
        <v>51.473380586882399</v>
      </c>
      <c r="O1236">
        <v>50.861982212118598</v>
      </c>
      <c r="P1236">
        <v>-0.10903507787498</v>
      </c>
      <c r="Q1236">
        <v>5.2008077539650602E-2</v>
      </c>
      <c r="R1236">
        <v>0.988069903896859</v>
      </c>
      <c r="S1236" t="s">
        <v>5068</v>
      </c>
      <c r="T1236" t="s">
        <v>7662</v>
      </c>
      <c r="U1236" t="s">
        <v>7662</v>
      </c>
      <c r="V1236" t="s">
        <v>7662</v>
      </c>
      <c r="W1236">
        <v>6</v>
      </c>
      <c r="X1236" t="s">
        <v>8898</v>
      </c>
      <c r="Y1236">
        <v>0.41669431868528589</v>
      </c>
      <c r="Z1236" t="str">
        <f>HYPERLINK("Melting_Curves/meltCurve_sp_P61163_ACTZ_HUMAN_.pdf", "Melting_Curves/meltCurve_sp_P61163_ACTZ_HUMAN_.pdf")</f>
        <v>Melting_Curves/meltCurve_sp_P61163_ACTZ_HUMAN_.pdf</v>
      </c>
      <c r="AA1236" t="s">
        <v>12709</v>
      </c>
      <c r="AB1236" t="s">
        <v>16476</v>
      </c>
    </row>
    <row r="1237" spans="1:28" x14ac:dyDescent="0.25">
      <c r="A1237" t="s">
        <v>1241</v>
      </c>
      <c r="B1237">
        <v>0.98876768158843997</v>
      </c>
      <c r="C1237">
        <v>0.91104878394649402</v>
      </c>
      <c r="D1237">
        <v>1.0652191950029499</v>
      </c>
      <c r="E1237">
        <v>0.96728877046858297</v>
      </c>
      <c r="F1237">
        <v>0.47517314281716599</v>
      </c>
      <c r="G1237">
        <v>0.17039137630075399</v>
      </c>
      <c r="H1237">
        <v>6.1646117588866199E-2</v>
      </c>
      <c r="I1237">
        <v>4.68181525389555E-2</v>
      </c>
      <c r="J1237">
        <v>5.33662666640244E-2</v>
      </c>
      <c r="K1237">
        <v>4.6595859575346101E-2</v>
      </c>
      <c r="L1237">
        <v>2363.2664412027302</v>
      </c>
      <c r="M1237">
        <v>44.751289196936902</v>
      </c>
      <c r="N1237">
        <v>52.9775014674712</v>
      </c>
      <c r="O1237">
        <v>52.703775157881601</v>
      </c>
      <c r="P1237">
        <v>-0.19818756429890599</v>
      </c>
      <c r="Q1237">
        <v>6.6376036891044002E-2</v>
      </c>
      <c r="R1237">
        <v>0.98908207120916203</v>
      </c>
      <c r="S1237" t="s">
        <v>5069</v>
      </c>
      <c r="T1237" t="s">
        <v>7662</v>
      </c>
      <c r="U1237" t="s">
        <v>7662</v>
      </c>
      <c r="V1237" t="s">
        <v>7662</v>
      </c>
      <c r="W1237">
        <v>12</v>
      </c>
      <c r="X1237" t="s">
        <v>8899</v>
      </c>
      <c r="Y1237">
        <v>0.46771683508968281</v>
      </c>
      <c r="Z1237" t="str">
        <f>HYPERLINK("Melting_Curves/meltCurve_sp_P61201_CSN2_HUMAN_.pdf", "Melting_Curves/meltCurve_sp_P61201_CSN2_HUMAN_.pdf")</f>
        <v>Melting_Curves/meltCurve_sp_P61201_CSN2_HUMAN_.pdf</v>
      </c>
      <c r="AA1237" t="s">
        <v>12710</v>
      </c>
      <c r="AB1237" t="s">
        <v>16477</v>
      </c>
    </row>
    <row r="1238" spans="1:28" x14ac:dyDescent="0.25">
      <c r="A1238" t="s">
        <v>1242</v>
      </c>
      <c r="B1238">
        <v>0.98876768158843997</v>
      </c>
      <c r="C1238">
        <v>0.94688682768628796</v>
      </c>
      <c r="D1238">
        <v>0.78064151015907102</v>
      </c>
      <c r="E1238">
        <v>0.47696670108050199</v>
      </c>
      <c r="F1238">
        <v>0.121770427149559</v>
      </c>
      <c r="G1238">
        <v>7.6131414090669494E-2</v>
      </c>
      <c r="H1238">
        <v>4.7891911582980597E-2</v>
      </c>
      <c r="I1238">
        <v>3.6109303507197203E-2</v>
      </c>
      <c r="J1238">
        <v>4.87019686301354E-2</v>
      </c>
      <c r="K1238">
        <v>3.4589556344706E-2</v>
      </c>
      <c r="L1238">
        <v>1057.8174806079001</v>
      </c>
      <c r="M1238">
        <v>21.570493880909002</v>
      </c>
      <c r="N1238">
        <v>49.1772524460414</v>
      </c>
      <c r="O1238">
        <v>48.624374974644397</v>
      </c>
      <c r="P1238">
        <v>-0.107666951740536</v>
      </c>
      <c r="Q1238">
        <v>2.9208737009750199E-2</v>
      </c>
      <c r="R1238">
        <v>0.99324513816551396</v>
      </c>
      <c r="S1238" t="s">
        <v>5070</v>
      </c>
      <c r="T1238" t="s">
        <v>7662</v>
      </c>
      <c r="U1238" t="s">
        <v>7662</v>
      </c>
      <c r="V1238" t="s">
        <v>7662</v>
      </c>
      <c r="W1238">
        <v>11</v>
      </c>
      <c r="X1238" t="s">
        <v>8900</v>
      </c>
      <c r="Y1238">
        <v>0.33339318689518549</v>
      </c>
      <c r="Z1238" t="str">
        <f>HYPERLINK("Melting_Curves/meltCurve_sp_P61221_ABCE1_HUMAN_.pdf", "Melting_Curves/meltCurve_sp_P61221_ABCE1_HUMAN_.pdf")</f>
        <v>Melting_Curves/meltCurve_sp_P61221_ABCE1_HUMAN_.pdf</v>
      </c>
      <c r="AA1238" t="s">
        <v>12711</v>
      </c>
      <c r="AB1238" t="s">
        <v>16478</v>
      </c>
    </row>
    <row r="1239" spans="1:28" x14ac:dyDescent="0.25">
      <c r="A1239" t="s">
        <v>1243</v>
      </c>
      <c r="B1239">
        <v>0.98876768158843997</v>
      </c>
      <c r="C1239">
        <v>0.90437950646412002</v>
      </c>
      <c r="D1239">
        <v>0.65392458146061905</v>
      </c>
      <c r="E1239">
        <v>0.38852976065839001</v>
      </c>
      <c r="F1239">
        <v>0.264514685244081</v>
      </c>
      <c r="G1239">
        <v>0.17034424323443201</v>
      </c>
      <c r="H1239">
        <v>0.103170016980331</v>
      </c>
      <c r="I1239">
        <v>0.103088291605392</v>
      </c>
      <c r="J1239">
        <v>8.4164109780016899E-2</v>
      </c>
      <c r="K1239">
        <v>6.7216807861623706E-2</v>
      </c>
      <c r="L1239">
        <v>752.36084429079006</v>
      </c>
      <c r="M1239">
        <v>15.6981578411939</v>
      </c>
      <c r="N1239">
        <v>48.459547691187701</v>
      </c>
      <c r="O1239">
        <v>47.1691710481781</v>
      </c>
      <c r="P1239">
        <v>-7.6612447709610398E-2</v>
      </c>
      <c r="Q1239">
        <v>7.92701246386152E-2</v>
      </c>
      <c r="R1239">
        <v>0.99641760317273798</v>
      </c>
      <c r="S1239" t="s">
        <v>5071</v>
      </c>
      <c r="T1239" t="s">
        <v>7662</v>
      </c>
      <c r="U1239" t="s">
        <v>7662</v>
      </c>
      <c r="V1239" t="s">
        <v>7662</v>
      </c>
      <c r="W1239">
        <v>6</v>
      </c>
      <c r="X1239" t="s">
        <v>8901</v>
      </c>
      <c r="Y1239">
        <v>0.34425407262559898</v>
      </c>
      <c r="Z1239" t="str">
        <f>HYPERLINK("Melting_Curves/meltCurve_sp_P61224_3_RAP1B_HUMAN_.pdf", "Melting_Curves/meltCurve_sp_P61224_3_RAP1B_HUMAN_.pdf")</f>
        <v>Melting_Curves/meltCurve_sp_P61224_3_RAP1B_HUMAN_.pdf</v>
      </c>
      <c r="AA1239" t="s">
        <v>12712</v>
      </c>
      <c r="AB1239" t="s">
        <v>16479</v>
      </c>
    </row>
    <row r="1240" spans="1:28" x14ac:dyDescent="0.25">
      <c r="A1240" t="s">
        <v>1244</v>
      </c>
      <c r="B1240">
        <v>0.98876768158843997</v>
      </c>
      <c r="C1240">
        <v>0.84676608033558998</v>
      </c>
      <c r="D1240">
        <v>0.79253463768320398</v>
      </c>
      <c r="E1240">
        <v>0.38983737375756899</v>
      </c>
      <c r="F1240">
        <v>0.225428220896912</v>
      </c>
      <c r="G1240">
        <v>0.11753177269077</v>
      </c>
      <c r="H1240">
        <v>5.57442785174714E-2</v>
      </c>
      <c r="I1240">
        <v>5.1991761103535497E-2</v>
      </c>
      <c r="J1240">
        <v>5.3661471957641302E-2</v>
      </c>
      <c r="K1240">
        <v>4.9734669200136597E-2</v>
      </c>
      <c r="L1240">
        <v>843.85269246248004</v>
      </c>
      <c r="M1240">
        <v>17.342275294555101</v>
      </c>
      <c r="N1240">
        <v>48.889984468150899</v>
      </c>
      <c r="O1240">
        <v>48.025559116042203</v>
      </c>
      <c r="P1240">
        <v>-8.6726016870879996E-2</v>
      </c>
      <c r="Q1240">
        <v>3.9381903326878701E-2</v>
      </c>
      <c r="R1240">
        <v>0.99377021846203994</v>
      </c>
      <c r="S1240" t="s">
        <v>5072</v>
      </c>
      <c r="T1240" t="s">
        <v>7662</v>
      </c>
      <c r="U1240" t="s">
        <v>7662</v>
      </c>
      <c r="V1240" t="s">
        <v>7662</v>
      </c>
      <c r="W1240">
        <v>6</v>
      </c>
      <c r="X1240" t="s">
        <v>8902</v>
      </c>
      <c r="Y1240">
        <v>0.33470083689220631</v>
      </c>
      <c r="Z1240" t="str">
        <f>HYPERLINK("Melting_Curves/meltCurve_sp_P61247_RS3A_HUMAN_.pdf", "Melting_Curves/meltCurve_sp_P61247_RS3A_HUMAN_.pdf")</f>
        <v>Melting_Curves/meltCurve_sp_P61247_RS3A_HUMAN_.pdf</v>
      </c>
      <c r="AA1240" t="s">
        <v>12713</v>
      </c>
      <c r="AB1240" t="s">
        <v>16480</v>
      </c>
    </row>
    <row r="1241" spans="1:28" x14ac:dyDescent="0.25">
      <c r="A1241" t="s">
        <v>1245</v>
      </c>
      <c r="B1241">
        <v>0.98876768158843997</v>
      </c>
      <c r="C1241">
        <v>1.0392032866488199</v>
      </c>
      <c r="D1241">
        <v>0.87714858660970196</v>
      </c>
      <c r="E1241">
        <v>0.67480298784462001</v>
      </c>
      <c r="F1241">
        <v>0.38140793606184298</v>
      </c>
      <c r="G1241">
        <v>0.26616640013959098</v>
      </c>
      <c r="H1241">
        <v>0.21097239076118299</v>
      </c>
      <c r="I1241">
        <v>0.215962021781543</v>
      </c>
      <c r="J1241">
        <v>0.21906263814659999</v>
      </c>
      <c r="K1241">
        <v>0.228748813639711</v>
      </c>
      <c r="L1241">
        <v>1184.51638189093</v>
      </c>
      <c r="M1241">
        <v>23.491186995598699</v>
      </c>
      <c r="N1241">
        <v>51.640822315524197</v>
      </c>
      <c r="O1241">
        <v>50.062721751780302</v>
      </c>
      <c r="P1241">
        <v>-9.2375377173837703E-2</v>
      </c>
      <c r="Q1241">
        <v>0.21255866794160999</v>
      </c>
      <c r="R1241">
        <v>0.99361492301675702</v>
      </c>
      <c r="S1241" t="s">
        <v>5073</v>
      </c>
      <c r="T1241" t="s">
        <v>7662</v>
      </c>
      <c r="U1241" t="s">
        <v>7662</v>
      </c>
      <c r="V1241" t="s">
        <v>7662</v>
      </c>
      <c r="W1241">
        <v>6</v>
      </c>
      <c r="X1241" t="s">
        <v>8903</v>
      </c>
      <c r="Y1241">
        <v>0.49416373554074527</v>
      </c>
      <c r="Z1241" t="str">
        <f>HYPERLINK("Melting_Curves/meltCurve_sp_P61289_PSME3_HUMAN_.pdf", "Melting_Curves/meltCurve_sp_P61289_PSME3_HUMAN_.pdf")</f>
        <v>Melting_Curves/meltCurve_sp_P61289_PSME3_HUMAN_.pdf</v>
      </c>
      <c r="AA1241" t="s">
        <v>12714</v>
      </c>
      <c r="AB1241" t="s">
        <v>16481</v>
      </c>
    </row>
    <row r="1242" spans="1:28" x14ac:dyDescent="0.25">
      <c r="A1242" t="s">
        <v>1246</v>
      </c>
      <c r="B1242">
        <v>0.98876768158843997</v>
      </c>
      <c r="C1242">
        <v>1.0849613194322301</v>
      </c>
      <c r="D1242">
        <v>0.83133957983365003</v>
      </c>
      <c r="E1242">
        <v>0.54791625621075002</v>
      </c>
      <c r="F1242">
        <v>0.136035884401281</v>
      </c>
      <c r="G1242">
        <v>5.4613780621456699E-2</v>
      </c>
      <c r="H1242">
        <v>2.8328010705034701E-2</v>
      </c>
      <c r="I1242">
        <v>2.3708917643341199E-2</v>
      </c>
      <c r="J1242">
        <v>3.7936129608141501E-2</v>
      </c>
      <c r="K1242">
        <v>2.0174809951953199E-2</v>
      </c>
      <c r="L1242">
        <v>1354.1802696735101</v>
      </c>
      <c r="M1242">
        <v>27.133244569632701</v>
      </c>
      <c r="N1242">
        <v>49.982844577216497</v>
      </c>
      <c r="O1242">
        <v>49.639794680773001</v>
      </c>
      <c r="P1242">
        <v>-0.13395037784006</v>
      </c>
      <c r="Q1242">
        <v>1.97700815373461E-2</v>
      </c>
      <c r="R1242">
        <v>0.98797939771221699</v>
      </c>
      <c r="S1242" t="s">
        <v>5074</v>
      </c>
      <c r="T1242" t="s">
        <v>7662</v>
      </c>
      <c r="U1242" t="s">
        <v>7662</v>
      </c>
      <c r="V1242" t="s">
        <v>7662</v>
      </c>
      <c r="W1242">
        <v>5</v>
      </c>
      <c r="X1242" t="s">
        <v>8904</v>
      </c>
      <c r="Y1242">
        <v>0.35094363459367711</v>
      </c>
      <c r="Z1242" t="str">
        <f>HYPERLINK("Melting_Curves/meltCurve_sp_P61326_MGN_HUMAN_.pdf", "Melting_Curves/meltCurve_sp_P61326_MGN_HUMAN_.pdf")</f>
        <v>Melting_Curves/meltCurve_sp_P61326_MGN_HUMAN_.pdf</v>
      </c>
      <c r="AA1242" t="s">
        <v>12715</v>
      </c>
      <c r="AB1242" t="s">
        <v>16482</v>
      </c>
    </row>
    <row r="1243" spans="1:28" x14ac:dyDescent="0.25">
      <c r="A1243" t="s">
        <v>1247</v>
      </c>
      <c r="B1243">
        <v>0.98876768158843997</v>
      </c>
      <c r="C1243">
        <v>1.06825385146824</v>
      </c>
      <c r="D1243">
        <v>0.83651357351328903</v>
      </c>
      <c r="E1243">
        <v>0.66943934977921304</v>
      </c>
      <c r="F1243">
        <v>0.55913772700838504</v>
      </c>
      <c r="G1243">
        <v>0.33238717100981702</v>
      </c>
      <c r="H1243">
        <v>0.19817354890340699</v>
      </c>
      <c r="I1243">
        <v>0.233100541473303</v>
      </c>
      <c r="J1243">
        <v>0.36174786463059</v>
      </c>
      <c r="K1243">
        <v>0.323463446390722</v>
      </c>
      <c r="L1243">
        <v>930.91054010696598</v>
      </c>
      <c r="M1243">
        <v>18.362795797445699</v>
      </c>
      <c r="N1243">
        <v>52.9177657223468</v>
      </c>
      <c r="O1243">
        <v>50.105710835862297</v>
      </c>
      <c r="P1243">
        <v>-6.6999500476787502E-2</v>
      </c>
      <c r="Q1243">
        <v>0.268759607998665</v>
      </c>
      <c r="R1243">
        <v>0.955781475878134</v>
      </c>
      <c r="S1243" t="s">
        <v>5075</v>
      </c>
      <c r="T1243" t="s">
        <v>7662</v>
      </c>
      <c r="U1243" t="s">
        <v>7662</v>
      </c>
      <c r="V1243" t="s">
        <v>7662</v>
      </c>
      <c r="W1243">
        <v>1</v>
      </c>
      <c r="X1243" t="s">
        <v>8905</v>
      </c>
      <c r="Y1243">
        <v>0.5413773502949154</v>
      </c>
      <c r="Z1243" t="str">
        <f>HYPERLINK("Melting_Curves/meltCurve_sp_P61353_RL27_HUMAN_.pdf", "Melting_Curves/meltCurve_sp_P61353_RL27_HUMAN_.pdf")</f>
        <v>Melting_Curves/meltCurve_sp_P61353_RL27_HUMAN_.pdf</v>
      </c>
      <c r="AA1243" t="s">
        <v>12716</v>
      </c>
      <c r="AB1243" t="s">
        <v>16483</v>
      </c>
    </row>
    <row r="1244" spans="1:28" x14ac:dyDescent="0.25">
      <c r="A1244" t="s">
        <v>1248</v>
      </c>
      <c r="B1244">
        <v>0.98876768158843997</v>
      </c>
      <c r="C1244">
        <v>0.70113557614673405</v>
      </c>
      <c r="D1244">
        <v>0.875125345987805</v>
      </c>
      <c r="E1244">
        <v>0.570235374407979</v>
      </c>
      <c r="F1244">
        <v>0.51230459270582096</v>
      </c>
      <c r="G1244">
        <v>0.30350181047844099</v>
      </c>
      <c r="H1244">
        <v>0.197102017508549</v>
      </c>
      <c r="I1244">
        <v>0.201614298908769</v>
      </c>
      <c r="J1244">
        <v>0.20413983410602701</v>
      </c>
      <c r="K1244">
        <v>0.30995793636072599</v>
      </c>
      <c r="L1244">
        <v>540.43209242620901</v>
      </c>
      <c r="M1244">
        <v>10.8289552297789</v>
      </c>
      <c r="N1244">
        <v>51.878842847071198</v>
      </c>
      <c r="O1244">
        <v>48.2947421750047</v>
      </c>
      <c r="P1244">
        <v>-4.6613304912831499E-2</v>
      </c>
      <c r="Q1244">
        <v>0.168757844728809</v>
      </c>
      <c r="R1244">
        <v>0.910572292149468</v>
      </c>
      <c r="S1244" t="s">
        <v>5076</v>
      </c>
      <c r="T1244" t="s">
        <v>7662</v>
      </c>
      <c r="U1244" t="s">
        <v>7662</v>
      </c>
      <c r="V1244" t="s">
        <v>7662</v>
      </c>
      <c r="W1244">
        <v>10</v>
      </c>
      <c r="X1244" t="s">
        <v>8906</v>
      </c>
      <c r="Y1244">
        <v>0.477055132188827</v>
      </c>
      <c r="Z1244" t="str">
        <f>HYPERLINK("Melting_Curves/meltCurve_sp_P61457_PHS_HUMAN_.pdf", "Melting_Curves/meltCurve_sp_P61457_PHS_HUMAN_.pdf")</f>
        <v>Melting_Curves/meltCurve_sp_P61457_PHS_HUMAN_.pdf</v>
      </c>
      <c r="AA1244" t="s">
        <v>12717</v>
      </c>
      <c r="AB1244" t="s">
        <v>16484</v>
      </c>
    </row>
    <row r="1245" spans="1:28" x14ac:dyDescent="0.25">
      <c r="A1245" t="s">
        <v>1249</v>
      </c>
      <c r="B1245">
        <v>0.98876768158843997</v>
      </c>
      <c r="C1245">
        <v>1.0229704228126699</v>
      </c>
      <c r="D1245">
        <v>0.70336612841636204</v>
      </c>
      <c r="E1245">
        <v>0.38959545500808801</v>
      </c>
      <c r="F1245">
        <v>0.165894408368991</v>
      </c>
      <c r="G1245">
        <v>8.5294533035435605E-2</v>
      </c>
      <c r="H1245">
        <v>5.2840371942305099E-2</v>
      </c>
      <c r="I1245">
        <v>5.5108013653532503E-2</v>
      </c>
      <c r="J1245">
        <v>5.95396041824197E-2</v>
      </c>
      <c r="K1245">
        <v>5.9764297940514501E-2</v>
      </c>
      <c r="L1245">
        <v>1036.35050256351</v>
      </c>
      <c r="M1245">
        <v>21.462507193119901</v>
      </c>
      <c r="N1245">
        <v>48.5380300753311</v>
      </c>
      <c r="O1245">
        <v>47.873224559567802</v>
      </c>
      <c r="P1245">
        <v>-0.106184990614702</v>
      </c>
      <c r="Q1245">
        <v>5.2619074351255797E-2</v>
      </c>
      <c r="R1245">
        <v>0.99235923638966905</v>
      </c>
      <c r="S1245" t="s">
        <v>5077</v>
      </c>
      <c r="T1245" t="s">
        <v>7662</v>
      </c>
      <c r="U1245" t="s">
        <v>7662</v>
      </c>
      <c r="V1245" t="s">
        <v>7662</v>
      </c>
      <c r="W1245">
        <v>9</v>
      </c>
      <c r="X1245" t="s">
        <v>8907</v>
      </c>
      <c r="Y1245">
        <v>0.32584952553639668</v>
      </c>
      <c r="Z1245" t="str">
        <f>HYPERLINK("Melting_Curves/meltCurve_sp_P61586_RHOA_HUMAN_.pdf", "Melting_Curves/meltCurve_sp_P61586_RHOA_HUMAN_.pdf")</f>
        <v>Melting_Curves/meltCurve_sp_P61586_RHOA_HUMAN_.pdf</v>
      </c>
      <c r="AA1245" t="s">
        <v>12718</v>
      </c>
      <c r="AB1245" t="s">
        <v>16485</v>
      </c>
    </row>
    <row r="1246" spans="1:28" x14ac:dyDescent="0.25">
      <c r="A1246" t="s">
        <v>1250</v>
      </c>
      <c r="B1246">
        <v>0.98876768158843997</v>
      </c>
      <c r="C1246">
        <v>1.20038064880377</v>
      </c>
      <c r="D1246">
        <v>0.93609382750858205</v>
      </c>
      <c r="E1246">
        <v>0.93343337201602605</v>
      </c>
      <c r="F1246">
        <v>1.03717191897715</v>
      </c>
      <c r="G1246">
        <v>0.74966941549604504</v>
      </c>
      <c r="H1246">
        <v>0.626271969668029</v>
      </c>
      <c r="I1246">
        <v>0.81261662136520396</v>
      </c>
      <c r="J1246">
        <v>0.860643183731859</v>
      </c>
      <c r="K1246">
        <v>1.16913001254272</v>
      </c>
      <c r="L1246">
        <v>4618.5552690221803</v>
      </c>
      <c r="M1246">
        <v>84.486830967958596</v>
      </c>
      <c r="O1246">
        <v>54.635374304886902</v>
      </c>
      <c r="P1246">
        <v>-6.0310691020636097E-2</v>
      </c>
      <c r="Q1246">
        <v>0.84399477501676501</v>
      </c>
      <c r="R1246">
        <v>0.25423697471019602</v>
      </c>
      <c r="S1246" t="s">
        <v>5078</v>
      </c>
      <c r="T1246" t="s">
        <v>7662</v>
      </c>
      <c r="U1246" t="s">
        <v>7662</v>
      </c>
      <c r="V1246" t="s">
        <v>7662</v>
      </c>
      <c r="W1246">
        <v>15</v>
      </c>
      <c r="X1246" t="s">
        <v>8908</v>
      </c>
      <c r="Y1246">
        <v>0.92039169057980008</v>
      </c>
      <c r="Z1246" t="str">
        <f>HYPERLINK("Melting_Curves/meltCurve_sp_P61604_CH10_HUMAN_.pdf", "Melting_Curves/meltCurve_sp_P61604_CH10_HUMAN_.pdf")</f>
        <v>Melting_Curves/meltCurve_sp_P61604_CH10_HUMAN_.pdf</v>
      </c>
      <c r="AA1246" t="s">
        <v>12719</v>
      </c>
      <c r="AB1246" t="s">
        <v>16486</v>
      </c>
    </row>
    <row r="1247" spans="1:28" x14ac:dyDescent="0.25">
      <c r="A1247" t="s">
        <v>1251</v>
      </c>
      <c r="B1247">
        <v>0.98876768158843997</v>
      </c>
      <c r="C1247">
        <v>0.957861809080789</v>
      </c>
      <c r="D1247">
        <v>0.96899258067737404</v>
      </c>
      <c r="E1247">
        <v>0.85924902619768995</v>
      </c>
      <c r="F1247">
        <v>0.75579590546049602</v>
      </c>
      <c r="G1247">
        <v>0.56088863804840905</v>
      </c>
      <c r="H1247">
        <v>0.41726120169914099</v>
      </c>
      <c r="I1247">
        <v>0.39384132501956898</v>
      </c>
      <c r="J1247">
        <v>0.48454286431734001</v>
      </c>
      <c r="K1247">
        <v>0.51540443111056899</v>
      </c>
      <c r="L1247">
        <v>1152.9234496281999</v>
      </c>
      <c r="M1247">
        <v>21.7112425334726</v>
      </c>
      <c r="N1247">
        <v>59.107632444816197</v>
      </c>
      <c r="O1247">
        <v>52.658256160827598</v>
      </c>
      <c r="P1247">
        <v>-5.7217259988137301E-2</v>
      </c>
      <c r="Q1247">
        <v>0.44491610621028799</v>
      </c>
      <c r="R1247">
        <v>0.96797071313768202</v>
      </c>
      <c r="S1247" t="s">
        <v>5079</v>
      </c>
      <c r="T1247" t="s">
        <v>7662</v>
      </c>
      <c r="U1247" t="s">
        <v>7662</v>
      </c>
      <c r="V1247" t="s">
        <v>7662</v>
      </c>
      <c r="W1247">
        <v>7</v>
      </c>
      <c r="X1247" t="s">
        <v>8909</v>
      </c>
      <c r="Y1247">
        <v>0.69396587418735356</v>
      </c>
      <c r="Z1247" t="str">
        <f>HYPERLINK("Melting_Curves/meltCurve_sp_P61758_PFD3_HUMAN_.pdf", "Melting_Curves/meltCurve_sp_P61758_PFD3_HUMAN_.pdf")</f>
        <v>Melting_Curves/meltCurve_sp_P61758_PFD3_HUMAN_.pdf</v>
      </c>
      <c r="AA1247" t="s">
        <v>12720</v>
      </c>
      <c r="AB1247" t="s">
        <v>16487</v>
      </c>
    </row>
    <row r="1248" spans="1:28" x14ac:dyDescent="0.25">
      <c r="A1248" t="s">
        <v>1252</v>
      </c>
      <c r="B1248">
        <v>0.98876768158843997</v>
      </c>
      <c r="C1248">
        <v>0.989669401241005</v>
      </c>
      <c r="D1248">
        <v>1.0948063902526</v>
      </c>
      <c r="E1248">
        <v>0.81469650775216096</v>
      </c>
      <c r="F1248">
        <v>0.45600332055723403</v>
      </c>
      <c r="G1248">
        <v>0.48904986186407001</v>
      </c>
      <c r="H1248">
        <v>0.40564443271484502</v>
      </c>
      <c r="I1248">
        <v>0.19965261013143701</v>
      </c>
      <c r="J1248">
        <v>6.1054510074972701E-2</v>
      </c>
      <c r="K1248">
        <v>5.5159123538952803E-2</v>
      </c>
      <c r="L1248">
        <v>643.43049843027995</v>
      </c>
      <c r="M1248">
        <v>11.513173601180499</v>
      </c>
      <c r="N1248">
        <v>55.886471363067699</v>
      </c>
      <c r="O1248">
        <v>54.280188151958399</v>
      </c>
      <c r="P1248">
        <v>-5.30415970301681E-2</v>
      </c>
      <c r="Q1248">
        <v>0</v>
      </c>
      <c r="R1248">
        <v>0.93275130747371404</v>
      </c>
      <c r="S1248" t="s">
        <v>5080</v>
      </c>
      <c r="T1248" t="s">
        <v>7662</v>
      </c>
      <c r="U1248" t="s">
        <v>7662</v>
      </c>
      <c r="V1248" t="s">
        <v>7662</v>
      </c>
      <c r="W1248">
        <v>5</v>
      </c>
      <c r="X1248" t="s">
        <v>8910</v>
      </c>
      <c r="Y1248">
        <v>0.55063765811299492</v>
      </c>
      <c r="Z1248" t="str">
        <f>HYPERLINK("Melting_Curves/meltCurve_sp_P61923_COPZ1_HUMAN_.pdf", "Melting_Curves/meltCurve_sp_P61923_COPZ1_HUMAN_.pdf")</f>
        <v>Melting_Curves/meltCurve_sp_P61923_COPZ1_HUMAN_.pdf</v>
      </c>
      <c r="AA1248" t="s">
        <v>12721</v>
      </c>
      <c r="AB1248" t="s">
        <v>16488</v>
      </c>
    </row>
    <row r="1249" spans="1:28" x14ac:dyDescent="0.25">
      <c r="A1249" t="s">
        <v>1253</v>
      </c>
      <c r="B1249">
        <v>0.98876768158843997</v>
      </c>
      <c r="C1249">
        <v>1.25531735896018</v>
      </c>
      <c r="D1249">
        <v>0.93304193999321405</v>
      </c>
      <c r="E1249">
        <v>0.86977308852405699</v>
      </c>
      <c r="F1249">
        <v>1.2091792208733501</v>
      </c>
      <c r="G1249">
        <v>0.854600371365828</v>
      </c>
      <c r="H1249">
        <v>0.70354585377328605</v>
      </c>
      <c r="I1249">
        <v>0.79369575809098802</v>
      </c>
      <c r="J1249">
        <v>1.0373039146758201</v>
      </c>
      <c r="K1249">
        <v>1.1770602141428801</v>
      </c>
      <c r="L1249">
        <v>15000</v>
      </c>
      <c r="M1249">
        <v>222.55915756475201</v>
      </c>
      <c r="O1249">
        <v>67.392359480414896</v>
      </c>
      <c r="P1249">
        <v>0.14622026128823301</v>
      </c>
      <c r="Q1249">
        <v>1.17710580632719</v>
      </c>
      <c r="R1249">
        <v>9.49141982295586E-2</v>
      </c>
      <c r="S1249" t="s">
        <v>5081</v>
      </c>
      <c r="T1249" t="s">
        <v>7662</v>
      </c>
      <c r="U1249" t="s">
        <v>7662</v>
      </c>
      <c r="V1249" t="s">
        <v>7662</v>
      </c>
      <c r="W1249">
        <v>3</v>
      </c>
      <c r="X1249" t="s">
        <v>8911</v>
      </c>
      <c r="Y1249">
        <v>1.0153361562661649</v>
      </c>
      <c r="Z1249" t="str">
        <f>HYPERLINK("Melting_Curves/meltCurve_sp_P61956_2_SUMO2_HUMAN_.pdf", "Melting_Curves/meltCurve_sp_P61956_2_SUMO2_HUMAN_.pdf")</f>
        <v>Melting_Curves/meltCurve_sp_P61956_2_SUMO2_HUMAN_.pdf</v>
      </c>
      <c r="AA1249" t="s">
        <v>12722</v>
      </c>
      <c r="AB1249" t="s">
        <v>16489</v>
      </c>
    </row>
    <row r="1250" spans="1:28" x14ac:dyDescent="0.25">
      <c r="A1250" t="s">
        <v>1254</v>
      </c>
      <c r="B1250">
        <v>0.98876768158843997</v>
      </c>
      <c r="C1250">
        <v>0.91165092583687202</v>
      </c>
      <c r="D1250">
        <v>0.83795517246658302</v>
      </c>
      <c r="E1250">
        <v>0.706188099866075</v>
      </c>
      <c r="F1250">
        <v>0.74056909382229696</v>
      </c>
      <c r="G1250">
        <v>0.46917211331762099</v>
      </c>
      <c r="H1250">
        <v>0.34225600741273499</v>
      </c>
      <c r="I1250">
        <v>0.30943350615582499</v>
      </c>
      <c r="J1250">
        <v>0.15257723981330901</v>
      </c>
      <c r="K1250">
        <v>0.16486918362188299</v>
      </c>
      <c r="L1250">
        <v>480.63337950958299</v>
      </c>
      <c r="M1250">
        <v>8.48996094423382</v>
      </c>
      <c r="N1250">
        <v>56.6119593932846</v>
      </c>
      <c r="O1250">
        <v>53.733110628911099</v>
      </c>
      <c r="P1250">
        <v>-3.9536369055585802E-2</v>
      </c>
      <c r="Q1250">
        <v>0</v>
      </c>
      <c r="R1250">
        <v>0.97734187859334898</v>
      </c>
      <c r="S1250" t="s">
        <v>5082</v>
      </c>
      <c r="T1250" t="s">
        <v>7662</v>
      </c>
      <c r="U1250" t="s">
        <v>7662</v>
      </c>
      <c r="V1250" t="s">
        <v>7662</v>
      </c>
      <c r="W1250">
        <v>2</v>
      </c>
      <c r="X1250" t="s">
        <v>8912</v>
      </c>
      <c r="Y1250">
        <v>0.56983098717762226</v>
      </c>
      <c r="Z1250" t="str">
        <f>HYPERLINK("Melting_Curves/meltCurve_sp_P61964_WDR5_HUMAN_.pdf", "Melting_Curves/meltCurve_sp_P61964_WDR5_HUMAN_.pdf")</f>
        <v>Melting_Curves/meltCurve_sp_P61964_WDR5_HUMAN_.pdf</v>
      </c>
      <c r="AA1250" t="s">
        <v>12723</v>
      </c>
      <c r="AB1250" t="s">
        <v>16490</v>
      </c>
    </row>
    <row r="1251" spans="1:28" x14ac:dyDescent="0.25">
      <c r="A1251" t="s">
        <v>1255</v>
      </c>
      <c r="B1251">
        <v>0.98876768158843997</v>
      </c>
      <c r="C1251">
        <v>0.89945925634135804</v>
      </c>
      <c r="D1251">
        <v>0.135972844983764</v>
      </c>
      <c r="E1251">
        <v>0.84844180020288695</v>
      </c>
      <c r="F1251">
        <v>0.41614727452667499</v>
      </c>
      <c r="G1251">
        <v>0.169334270466935</v>
      </c>
      <c r="H1251">
        <v>4.9855469990952299E-2</v>
      </c>
      <c r="I1251">
        <v>3.7944066026109301E-2</v>
      </c>
      <c r="J1251">
        <v>2.3698420022718401E-2</v>
      </c>
      <c r="K1251">
        <v>2.3911051639221002E-2</v>
      </c>
      <c r="L1251">
        <v>453.036514014543</v>
      </c>
      <c r="M1251">
        <v>9.2534221497626703</v>
      </c>
      <c r="N1251">
        <v>48.958807639170999</v>
      </c>
      <c r="O1251">
        <v>46.835197266682599</v>
      </c>
      <c r="P1251">
        <v>-4.9425816596318201E-2</v>
      </c>
      <c r="Q1251">
        <v>0</v>
      </c>
      <c r="R1251">
        <v>0.67803815139650203</v>
      </c>
      <c r="S1251" t="s">
        <v>5083</v>
      </c>
      <c r="T1251" t="s">
        <v>7662</v>
      </c>
      <c r="U1251" t="s">
        <v>7662</v>
      </c>
      <c r="V1251" t="s">
        <v>7662</v>
      </c>
      <c r="W1251">
        <v>2</v>
      </c>
      <c r="X1251" t="s">
        <v>8913</v>
      </c>
      <c r="Y1251">
        <v>0.35349042585477769</v>
      </c>
      <c r="Z1251" t="str">
        <f>HYPERLINK("Melting_Curves/meltCurve_sp_P61966_AP1S1_HUMAN_.pdf", "Melting_Curves/meltCurve_sp_P61966_AP1S1_HUMAN_.pdf")</f>
        <v>Melting_Curves/meltCurve_sp_P61966_AP1S1_HUMAN_.pdf</v>
      </c>
      <c r="AA1251" t="s">
        <v>12724</v>
      </c>
      <c r="AB1251" t="s">
        <v>16491</v>
      </c>
    </row>
    <row r="1252" spans="1:28" x14ac:dyDescent="0.25">
      <c r="A1252" t="s">
        <v>1256</v>
      </c>
      <c r="B1252">
        <v>0.98876768158843997</v>
      </c>
      <c r="C1252">
        <v>1.11803780666654</v>
      </c>
      <c r="D1252">
        <v>0.86349741264168201</v>
      </c>
      <c r="E1252">
        <v>0.761052807198486</v>
      </c>
      <c r="F1252">
        <v>0.834304092769378</v>
      </c>
      <c r="G1252">
        <v>0.57813745404053496</v>
      </c>
      <c r="H1252">
        <v>0.40463203928852898</v>
      </c>
      <c r="I1252">
        <v>0.35180302327652102</v>
      </c>
      <c r="J1252">
        <v>0.31137911016537301</v>
      </c>
      <c r="K1252">
        <v>0.179912677220744</v>
      </c>
      <c r="L1252">
        <v>545.36030620328995</v>
      </c>
      <c r="M1252">
        <v>9.2427871560315502</v>
      </c>
      <c r="N1252">
        <v>59.3174320589372</v>
      </c>
      <c r="O1252">
        <v>56.439082982971001</v>
      </c>
      <c r="P1252">
        <v>-3.9991562945121899E-2</v>
      </c>
      <c r="Q1252">
        <v>2.3841552169259199E-2</v>
      </c>
      <c r="R1252">
        <v>0.95019559748850202</v>
      </c>
      <c r="S1252" t="s">
        <v>5084</v>
      </c>
      <c r="T1252" t="s">
        <v>7662</v>
      </c>
      <c r="U1252" t="s">
        <v>7662</v>
      </c>
      <c r="V1252" t="s">
        <v>7662</v>
      </c>
      <c r="W1252">
        <v>3</v>
      </c>
      <c r="X1252" t="s">
        <v>8914</v>
      </c>
      <c r="Y1252">
        <v>0.64279088026679743</v>
      </c>
      <c r="Z1252" t="str">
        <f>HYPERLINK("Melting_Curves/meltCurve_sp_P61970_NTF2_HUMAN_.pdf", "Melting_Curves/meltCurve_sp_P61970_NTF2_HUMAN_.pdf")</f>
        <v>Melting_Curves/meltCurve_sp_P61970_NTF2_HUMAN_.pdf</v>
      </c>
      <c r="AA1252" t="s">
        <v>12725</v>
      </c>
      <c r="AB1252" t="s">
        <v>16492</v>
      </c>
    </row>
    <row r="1253" spans="1:28" x14ac:dyDescent="0.25">
      <c r="A1253" t="s">
        <v>1257</v>
      </c>
      <c r="B1253">
        <v>0.98876768158843997</v>
      </c>
      <c r="C1253">
        <v>1.1148092036000501</v>
      </c>
      <c r="D1253">
        <v>0.87037348450982699</v>
      </c>
      <c r="E1253">
        <v>0.678618417422852</v>
      </c>
      <c r="F1253">
        <v>0.73531376252454195</v>
      </c>
      <c r="G1253">
        <v>0.45470114341149298</v>
      </c>
      <c r="H1253">
        <v>0.30324798604354403</v>
      </c>
      <c r="I1253">
        <v>0.31134600484099201</v>
      </c>
      <c r="J1253">
        <v>0.35440979958654401</v>
      </c>
      <c r="K1253">
        <v>0.39884084665581399</v>
      </c>
      <c r="L1253">
        <v>807.30598233533499</v>
      </c>
      <c r="M1253">
        <v>15.480961785913401</v>
      </c>
      <c r="N1253">
        <v>55.776345829358903</v>
      </c>
      <c r="O1253">
        <v>51.301411937526403</v>
      </c>
      <c r="P1253">
        <v>-5.15053685782439E-2</v>
      </c>
      <c r="Q1253">
        <v>0.317339151902228</v>
      </c>
      <c r="R1253">
        <v>0.92869308531947803</v>
      </c>
      <c r="S1253" t="s">
        <v>5085</v>
      </c>
      <c r="T1253" t="s">
        <v>7662</v>
      </c>
      <c r="U1253" t="s">
        <v>7662</v>
      </c>
      <c r="V1253" t="s">
        <v>7662</v>
      </c>
      <c r="W1253">
        <v>19</v>
      </c>
      <c r="X1253" t="s">
        <v>8915</v>
      </c>
      <c r="Y1253">
        <v>0.60824694969005078</v>
      </c>
      <c r="Z1253" t="str">
        <f>HYPERLINK("Melting_Curves/meltCurve_sp_P61978_3_HNRPK_HUMAN_.pdf", "Melting_Curves/meltCurve_sp_P61978_3_HNRPK_HUMAN_.pdf")</f>
        <v>Melting_Curves/meltCurve_sp_P61978_3_HNRPK_HUMAN_.pdf</v>
      </c>
      <c r="AA1253" t="s">
        <v>12726</v>
      </c>
      <c r="AB1253" t="s">
        <v>16493</v>
      </c>
    </row>
    <row r="1254" spans="1:28" x14ac:dyDescent="0.25">
      <c r="A1254" t="s">
        <v>1258</v>
      </c>
      <c r="B1254">
        <v>0.98876768158843997</v>
      </c>
      <c r="C1254">
        <v>1.0174945534206901</v>
      </c>
      <c r="D1254">
        <v>0.89393520709441698</v>
      </c>
      <c r="E1254">
        <v>0.86982171666531405</v>
      </c>
      <c r="F1254">
        <v>0.88923954695274299</v>
      </c>
      <c r="G1254">
        <v>0.63521396135459396</v>
      </c>
      <c r="H1254">
        <v>0.30075284831742199</v>
      </c>
      <c r="I1254">
        <v>0.15747218101673399</v>
      </c>
      <c r="J1254">
        <v>7.9038983972689006E-2</v>
      </c>
      <c r="K1254">
        <v>5.6706757310515797E-2</v>
      </c>
      <c r="L1254">
        <v>1054.36256180188</v>
      </c>
      <c r="M1254">
        <v>18.059827442293798</v>
      </c>
      <c r="N1254">
        <v>58.381653219444999</v>
      </c>
      <c r="O1254">
        <v>57.679957467284801</v>
      </c>
      <c r="P1254">
        <v>-7.8279821256741197E-2</v>
      </c>
      <c r="Q1254">
        <v>0</v>
      </c>
      <c r="R1254">
        <v>0.98644150609542502</v>
      </c>
      <c r="S1254" t="s">
        <v>5086</v>
      </c>
      <c r="T1254" t="s">
        <v>7662</v>
      </c>
      <c r="U1254" t="s">
        <v>7662</v>
      </c>
      <c r="V1254" t="s">
        <v>7662</v>
      </c>
      <c r="W1254">
        <v>15</v>
      </c>
      <c r="X1254" t="s">
        <v>8916</v>
      </c>
      <c r="Y1254">
        <v>0.62444462019314906</v>
      </c>
      <c r="Z1254" t="str">
        <f>HYPERLINK("Melting_Curves/meltCurve_sp_P61981_1433G_HUMAN_.pdf", "Melting_Curves/meltCurve_sp_P61981_1433G_HUMAN_.pdf")</f>
        <v>Melting_Curves/meltCurve_sp_P61981_1433G_HUMAN_.pdf</v>
      </c>
      <c r="AA1254" t="s">
        <v>12727</v>
      </c>
      <c r="AB1254" t="s">
        <v>16494</v>
      </c>
    </row>
    <row r="1255" spans="1:28" x14ac:dyDescent="0.25">
      <c r="A1255" t="s">
        <v>1259</v>
      </c>
      <c r="B1255">
        <v>0.98876768158843997</v>
      </c>
      <c r="C1255">
        <v>0.96890276384699603</v>
      </c>
      <c r="D1255">
        <v>0.68138321441136496</v>
      </c>
      <c r="E1255">
        <v>0.46298365186192902</v>
      </c>
      <c r="F1255">
        <v>0.26743066907280599</v>
      </c>
      <c r="G1255">
        <v>0.14048991730869301</v>
      </c>
      <c r="H1255">
        <v>5.6405041959140798E-2</v>
      </c>
      <c r="I1255">
        <v>2.16087684598197E-2</v>
      </c>
      <c r="J1255">
        <v>2.8303003669332499E-2</v>
      </c>
      <c r="K1255">
        <v>2.50677202484785E-2</v>
      </c>
      <c r="L1255">
        <v>735.26014432141199</v>
      </c>
      <c r="M1255">
        <v>14.932771869887199</v>
      </c>
      <c r="N1255">
        <v>49.297139403799498</v>
      </c>
      <c r="O1255">
        <v>48.380307877202597</v>
      </c>
      <c r="P1255">
        <v>-7.6486583005343403E-2</v>
      </c>
      <c r="Q1255">
        <v>8.8741513853009095E-3</v>
      </c>
      <c r="R1255">
        <v>0.99296385019939104</v>
      </c>
      <c r="S1255" t="s">
        <v>5087</v>
      </c>
      <c r="T1255" t="s">
        <v>7662</v>
      </c>
      <c r="U1255" t="s">
        <v>7662</v>
      </c>
      <c r="V1255" t="s">
        <v>7662</v>
      </c>
      <c r="W1255">
        <v>5</v>
      </c>
      <c r="X1255" t="s">
        <v>8917</v>
      </c>
      <c r="Y1255">
        <v>0.33852855297665962</v>
      </c>
      <c r="Z1255" t="str">
        <f>HYPERLINK("Melting_Curves/meltCurve_sp_P62070_RRAS2_HUMAN_.pdf", "Melting_Curves/meltCurve_sp_P62070_RRAS2_HUMAN_.pdf")</f>
        <v>Melting_Curves/meltCurve_sp_P62070_RRAS2_HUMAN_.pdf</v>
      </c>
      <c r="AA1255" t="s">
        <v>12728</v>
      </c>
      <c r="AB1255" t="s">
        <v>16495</v>
      </c>
    </row>
    <row r="1256" spans="1:28" x14ac:dyDescent="0.25">
      <c r="A1256" t="s">
        <v>1260</v>
      </c>
      <c r="B1256">
        <v>0.98876768158843997</v>
      </c>
      <c r="C1256">
        <v>0.92235429246865996</v>
      </c>
      <c r="D1256">
        <v>0.84381094285140501</v>
      </c>
      <c r="E1256">
        <v>0.71231839486891602</v>
      </c>
      <c r="F1256">
        <v>0.71332830809879</v>
      </c>
      <c r="G1256">
        <v>0.554597095019293</v>
      </c>
      <c r="H1256">
        <v>0.43654794802058999</v>
      </c>
      <c r="I1256">
        <v>0.51669313130669703</v>
      </c>
      <c r="J1256">
        <v>0.58218460818751605</v>
      </c>
      <c r="K1256">
        <v>0.564644804310792</v>
      </c>
      <c r="L1256">
        <v>654.83316592878805</v>
      </c>
      <c r="M1256">
        <v>13.3770346823142</v>
      </c>
      <c r="O1256">
        <v>47.896921763850202</v>
      </c>
      <c r="P1256">
        <v>-3.3977348052536702E-2</v>
      </c>
      <c r="Q1256">
        <v>0.51344898811782702</v>
      </c>
      <c r="R1256">
        <v>0.924235494976685</v>
      </c>
      <c r="S1256" t="s">
        <v>5088</v>
      </c>
      <c r="T1256" t="s">
        <v>7662</v>
      </c>
      <c r="U1256" t="s">
        <v>7662</v>
      </c>
      <c r="V1256" t="s">
        <v>7662</v>
      </c>
      <c r="W1256">
        <v>3</v>
      </c>
      <c r="X1256" t="s">
        <v>8918</v>
      </c>
      <c r="Y1256">
        <v>0.67348513010825029</v>
      </c>
      <c r="Z1256" t="str">
        <f>HYPERLINK("Melting_Curves/meltCurve_sp_P62072_TIM10_HUMAN_.pdf", "Melting_Curves/meltCurve_sp_P62072_TIM10_HUMAN_.pdf")</f>
        <v>Melting_Curves/meltCurve_sp_P62072_TIM10_HUMAN_.pdf</v>
      </c>
      <c r="AA1256" t="s">
        <v>12729</v>
      </c>
      <c r="AB1256" t="s">
        <v>16496</v>
      </c>
    </row>
    <row r="1257" spans="1:28" x14ac:dyDescent="0.25">
      <c r="A1257" t="s">
        <v>1261</v>
      </c>
      <c r="B1257">
        <v>0.98876768158843997</v>
      </c>
      <c r="C1257">
        <v>1.03358224444393</v>
      </c>
      <c r="D1257">
        <v>0.79902961895112301</v>
      </c>
      <c r="E1257">
        <v>0.60431658888798301</v>
      </c>
      <c r="F1257">
        <v>0.421279171395259</v>
      </c>
      <c r="G1257">
        <v>0.21642211533219599</v>
      </c>
      <c r="H1257">
        <v>9.5927127431509995E-2</v>
      </c>
      <c r="I1257">
        <v>6.65446133490155E-2</v>
      </c>
      <c r="J1257">
        <v>6.2737154394836805E-2</v>
      </c>
      <c r="K1257">
        <v>6.7150962754378193E-2</v>
      </c>
      <c r="L1257">
        <v>765.79260431479202</v>
      </c>
      <c r="M1257">
        <v>14.930980388882301</v>
      </c>
      <c r="N1257">
        <v>51.522141704425202</v>
      </c>
      <c r="O1257">
        <v>50.395190749430597</v>
      </c>
      <c r="P1257">
        <v>-7.1655647850195806E-2</v>
      </c>
      <c r="Q1257">
        <v>3.26881504961372E-2</v>
      </c>
      <c r="R1257">
        <v>0.99209555765657698</v>
      </c>
      <c r="S1257" t="s">
        <v>5089</v>
      </c>
      <c r="T1257" t="s">
        <v>7662</v>
      </c>
      <c r="U1257" t="s">
        <v>7662</v>
      </c>
      <c r="V1257" t="s">
        <v>7662</v>
      </c>
      <c r="W1257">
        <v>11</v>
      </c>
      <c r="X1257" t="s">
        <v>8919</v>
      </c>
      <c r="Y1257">
        <v>0.41899294179894703</v>
      </c>
      <c r="Z1257" t="str">
        <f>HYPERLINK("Melting_Curves/meltCurve_sp_P62136_PP1A_HUMAN_.pdf", "Melting_Curves/meltCurve_sp_P62136_PP1A_HUMAN_.pdf")</f>
        <v>Melting_Curves/meltCurve_sp_P62136_PP1A_HUMAN_.pdf</v>
      </c>
      <c r="AA1257" t="s">
        <v>12730</v>
      </c>
      <c r="AB1257" t="s">
        <v>16497</v>
      </c>
    </row>
    <row r="1258" spans="1:28" x14ac:dyDescent="0.25">
      <c r="A1258" t="s">
        <v>1262</v>
      </c>
      <c r="B1258">
        <v>0.98876768158843997</v>
      </c>
      <c r="C1258">
        <v>0.89707004118932798</v>
      </c>
      <c r="D1258">
        <v>0.80927856350855498</v>
      </c>
      <c r="E1258">
        <v>0.57686423430367295</v>
      </c>
      <c r="F1258">
        <v>0.37066065394002101</v>
      </c>
      <c r="G1258">
        <v>0.19756643904128601</v>
      </c>
      <c r="H1258">
        <v>7.4344409001358497E-2</v>
      </c>
      <c r="I1258">
        <v>4.6742133351168703E-2</v>
      </c>
      <c r="J1258">
        <v>5.1578469235551698E-2</v>
      </c>
      <c r="K1258">
        <v>5.0427676171439298E-2</v>
      </c>
      <c r="L1258">
        <v>692.15734686765097</v>
      </c>
      <c r="M1258">
        <v>13.6009248974167</v>
      </c>
      <c r="N1258">
        <v>50.929507635625697</v>
      </c>
      <c r="O1258">
        <v>49.828136929726199</v>
      </c>
      <c r="P1258">
        <v>-6.7895273300182094E-2</v>
      </c>
      <c r="Q1258">
        <v>5.1874357865953399E-3</v>
      </c>
      <c r="R1258">
        <v>0.99790332163562401</v>
      </c>
      <c r="S1258" t="s">
        <v>5090</v>
      </c>
      <c r="T1258" t="s">
        <v>7662</v>
      </c>
      <c r="U1258" t="s">
        <v>7662</v>
      </c>
      <c r="V1258" t="s">
        <v>7662</v>
      </c>
      <c r="W1258">
        <v>11</v>
      </c>
      <c r="X1258" t="s">
        <v>8920</v>
      </c>
      <c r="Y1258">
        <v>0.39335172099865551</v>
      </c>
      <c r="Z1258" t="str">
        <f>HYPERLINK("Melting_Curves/meltCurve_sp_P62140_PP1B_HUMAN_.pdf", "Melting_Curves/meltCurve_sp_P62140_PP1B_HUMAN_.pdf")</f>
        <v>Melting_Curves/meltCurve_sp_P62140_PP1B_HUMAN_.pdf</v>
      </c>
      <c r="AA1258" t="s">
        <v>12731</v>
      </c>
      <c r="AB1258" t="s">
        <v>16498</v>
      </c>
    </row>
    <row r="1259" spans="1:28" x14ac:dyDescent="0.25">
      <c r="A1259" t="s">
        <v>1263</v>
      </c>
      <c r="B1259">
        <v>0.98876768158843997</v>
      </c>
      <c r="C1259">
        <v>1.0502894698938601</v>
      </c>
      <c r="D1259">
        <v>0.91233175411775502</v>
      </c>
      <c r="E1259">
        <v>0.81968286289455705</v>
      </c>
      <c r="F1259">
        <v>0.91793646082202196</v>
      </c>
      <c r="G1259">
        <v>0.66779064492549201</v>
      </c>
      <c r="H1259">
        <v>0.48871458111465899</v>
      </c>
      <c r="I1259">
        <v>0.56035965773810403</v>
      </c>
      <c r="J1259">
        <v>0.60087249212145699</v>
      </c>
      <c r="K1259">
        <v>0.85260591374213202</v>
      </c>
      <c r="L1259">
        <v>1064.54914100619</v>
      </c>
      <c r="M1259">
        <v>20.2789988890088</v>
      </c>
      <c r="O1259">
        <v>51.992662125141798</v>
      </c>
      <c r="P1259">
        <v>-3.6542210281816402E-2</v>
      </c>
      <c r="Q1259">
        <v>0.62525396303080505</v>
      </c>
      <c r="R1259">
        <v>0.66955509107529998</v>
      </c>
      <c r="S1259" t="s">
        <v>5091</v>
      </c>
      <c r="T1259" t="s">
        <v>7662</v>
      </c>
      <c r="U1259" t="s">
        <v>7662</v>
      </c>
      <c r="V1259" t="s">
        <v>7662</v>
      </c>
      <c r="W1259">
        <v>11</v>
      </c>
      <c r="X1259" t="s">
        <v>8921</v>
      </c>
      <c r="Y1259">
        <v>0.78638629156948947</v>
      </c>
      <c r="Z1259" t="str">
        <f>HYPERLINK("Melting_Curves/meltCurve_sp_P62158_CALM_HUMAN_.pdf", "Melting_Curves/meltCurve_sp_P62158_CALM_HUMAN_.pdf")</f>
        <v>Melting_Curves/meltCurve_sp_P62158_CALM_HUMAN_.pdf</v>
      </c>
      <c r="AA1259" t="s">
        <v>12732</v>
      </c>
      <c r="AB1259" t="s">
        <v>16499</v>
      </c>
    </row>
    <row r="1260" spans="1:28" x14ac:dyDescent="0.25">
      <c r="A1260" t="s">
        <v>1264</v>
      </c>
      <c r="B1260">
        <v>0.98876768158843997</v>
      </c>
      <c r="C1260">
        <v>0.82797921549919895</v>
      </c>
      <c r="D1260">
        <v>0.82628207872449499</v>
      </c>
      <c r="E1260">
        <v>0.40397630926959399</v>
      </c>
      <c r="F1260">
        <v>0.173760521375522</v>
      </c>
      <c r="G1260">
        <v>8.8705300036599405E-2</v>
      </c>
      <c r="H1260">
        <v>5.40587980966507E-2</v>
      </c>
      <c r="I1260">
        <v>4.5163416486342797E-2</v>
      </c>
      <c r="J1260">
        <v>5.77771640067909E-2</v>
      </c>
      <c r="K1260">
        <v>4.3226257046048502E-2</v>
      </c>
      <c r="L1260">
        <v>954.79111055392696</v>
      </c>
      <c r="M1260">
        <v>19.592646195477101</v>
      </c>
      <c r="N1260">
        <v>48.925077920703401</v>
      </c>
      <c r="O1260">
        <v>48.232970951271</v>
      </c>
      <c r="P1260">
        <v>-9.7779708382560407E-2</v>
      </c>
      <c r="Q1260">
        <v>3.71818415771819E-2</v>
      </c>
      <c r="R1260">
        <v>0.98785848378760699</v>
      </c>
      <c r="S1260" t="s">
        <v>5092</v>
      </c>
      <c r="T1260" t="s">
        <v>7662</v>
      </c>
      <c r="U1260" t="s">
        <v>7662</v>
      </c>
      <c r="V1260" t="s">
        <v>7662</v>
      </c>
      <c r="W1260">
        <v>10</v>
      </c>
      <c r="X1260" t="s">
        <v>8922</v>
      </c>
      <c r="Y1260">
        <v>0.331538330829586</v>
      </c>
      <c r="Z1260" t="str">
        <f>HYPERLINK("Melting_Curves/meltCurve_sp_P62191_PRS4_HUMAN_.pdf", "Melting_Curves/meltCurve_sp_P62191_PRS4_HUMAN_.pdf")</f>
        <v>Melting_Curves/meltCurve_sp_P62191_PRS4_HUMAN_.pdf</v>
      </c>
      <c r="AA1260" t="s">
        <v>12733</v>
      </c>
      <c r="AB1260" t="s">
        <v>16500</v>
      </c>
    </row>
    <row r="1261" spans="1:28" x14ac:dyDescent="0.25">
      <c r="A1261" t="s">
        <v>1265</v>
      </c>
      <c r="B1261">
        <v>0.98876768158843997</v>
      </c>
      <c r="C1261">
        <v>0.85191912895536803</v>
      </c>
      <c r="D1261">
        <v>0.74634148215291396</v>
      </c>
      <c r="E1261">
        <v>0.33319170452055302</v>
      </c>
      <c r="F1261">
        <v>0.15909589611421501</v>
      </c>
      <c r="G1261">
        <v>8.1094726995860206E-2</v>
      </c>
      <c r="H1261">
        <v>5.1576535767259103E-2</v>
      </c>
      <c r="I1261">
        <v>5.34864724595083E-2</v>
      </c>
      <c r="J1261">
        <v>5.4143193493602797E-2</v>
      </c>
      <c r="K1261">
        <v>5.3555123762348798E-2</v>
      </c>
      <c r="L1261">
        <v>935.54116008133701</v>
      </c>
      <c r="M1261">
        <v>19.511013522662399</v>
      </c>
      <c r="N1261">
        <v>48.1720479635717</v>
      </c>
      <c r="O1261">
        <v>47.454207978650302</v>
      </c>
      <c r="P1261">
        <v>-9.8359924919179206E-2</v>
      </c>
      <c r="Q1261">
        <v>4.3119973117524302E-2</v>
      </c>
      <c r="R1261">
        <v>0.99565904443865005</v>
      </c>
      <c r="S1261" t="s">
        <v>5093</v>
      </c>
      <c r="T1261" t="s">
        <v>7662</v>
      </c>
      <c r="U1261" t="s">
        <v>7662</v>
      </c>
      <c r="V1261" t="s">
        <v>7662</v>
      </c>
      <c r="W1261">
        <v>10</v>
      </c>
      <c r="X1261" t="s">
        <v>8923</v>
      </c>
      <c r="Y1261">
        <v>0.31102103047863072</v>
      </c>
      <c r="Z1261" t="str">
        <f>HYPERLINK("Melting_Curves/meltCurve_sp_P62195_2_PRS8_HUMAN_.pdf", "Melting_Curves/meltCurve_sp_P62195_2_PRS8_HUMAN_.pdf")</f>
        <v>Melting_Curves/meltCurve_sp_P62195_2_PRS8_HUMAN_.pdf</v>
      </c>
      <c r="AA1261" t="s">
        <v>12734</v>
      </c>
      <c r="AB1261" t="s">
        <v>16501</v>
      </c>
    </row>
    <row r="1262" spans="1:28" x14ac:dyDescent="0.25">
      <c r="A1262" t="s">
        <v>1266</v>
      </c>
      <c r="B1262">
        <v>0.98876768158843997</v>
      </c>
      <c r="C1262">
        <v>0.89731794031342604</v>
      </c>
      <c r="D1262">
        <v>0.75467305651851702</v>
      </c>
      <c r="E1262">
        <v>0.47280755425815701</v>
      </c>
      <c r="F1262">
        <v>0.31180560877067298</v>
      </c>
      <c r="G1262">
        <v>0.171835089110984</v>
      </c>
      <c r="H1262">
        <v>0.117525548343522</v>
      </c>
      <c r="I1262">
        <v>0.107444655812671</v>
      </c>
      <c r="J1262">
        <v>0.14238805650331601</v>
      </c>
      <c r="K1262">
        <v>0.103139071307979</v>
      </c>
      <c r="L1262">
        <v>772.51918267274198</v>
      </c>
      <c r="M1262">
        <v>15.803868094653801</v>
      </c>
      <c r="N1262">
        <v>49.562302576195599</v>
      </c>
      <c r="O1262">
        <v>48.119082999775699</v>
      </c>
      <c r="P1262">
        <v>-7.4104550188114099E-2</v>
      </c>
      <c r="Q1262">
        <v>9.75503328341598E-2</v>
      </c>
      <c r="R1262">
        <v>0.99807833445536998</v>
      </c>
      <c r="S1262" t="s">
        <v>5094</v>
      </c>
      <c r="T1262" t="s">
        <v>7662</v>
      </c>
      <c r="U1262" t="s">
        <v>7662</v>
      </c>
      <c r="V1262" t="s">
        <v>7662</v>
      </c>
      <c r="W1262">
        <v>8</v>
      </c>
      <c r="X1262" t="s">
        <v>8924</v>
      </c>
      <c r="Y1262">
        <v>0.38497171017914228</v>
      </c>
      <c r="Z1262" t="str">
        <f>HYPERLINK("Melting_Curves/meltCurve_sp_P62241_RS8_HUMAN_.pdf", "Melting_Curves/meltCurve_sp_P62241_RS8_HUMAN_.pdf")</f>
        <v>Melting_Curves/meltCurve_sp_P62241_RS8_HUMAN_.pdf</v>
      </c>
      <c r="AA1262" t="s">
        <v>12735</v>
      </c>
      <c r="AB1262" t="s">
        <v>16502</v>
      </c>
    </row>
    <row r="1263" spans="1:28" x14ac:dyDescent="0.25">
      <c r="A1263" t="s">
        <v>1267</v>
      </c>
      <c r="B1263">
        <v>0.98876768158843997</v>
      </c>
      <c r="C1263">
        <v>0.91923701240050804</v>
      </c>
      <c r="D1263">
        <v>0.83913027959761599</v>
      </c>
      <c r="E1263">
        <v>0.77187472052681405</v>
      </c>
      <c r="F1263">
        <v>0.75480547143520405</v>
      </c>
      <c r="G1263">
        <v>0.62477373764605804</v>
      </c>
      <c r="H1263">
        <v>0.259661723543895</v>
      </c>
      <c r="I1263">
        <v>9.8446557114533206E-2</v>
      </c>
      <c r="J1263">
        <v>5.5522278618236102E-2</v>
      </c>
      <c r="K1263">
        <v>4.9222081734934399E-2</v>
      </c>
      <c r="L1263">
        <v>785.97087103637205</v>
      </c>
      <c r="M1263">
        <v>13.827292695410801</v>
      </c>
      <c r="N1263">
        <v>56.841973455389599</v>
      </c>
      <c r="O1263">
        <v>55.692638842399397</v>
      </c>
      <c r="P1263">
        <v>-6.2078257150902399E-2</v>
      </c>
      <c r="Q1263">
        <v>0</v>
      </c>
      <c r="R1263">
        <v>0.95507749067217895</v>
      </c>
      <c r="S1263" t="s">
        <v>5095</v>
      </c>
      <c r="T1263" t="s">
        <v>7662</v>
      </c>
      <c r="U1263" t="s">
        <v>7662</v>
      </c>
      <c r="V1263" t="s">
        <v>7662</v>
      </c>
      <c r="W1263">
        <v>21</v>
      </c>
      <c r="X1263" t="s">
        <v>8925</v>
      </c>
      <c r="Y1263">
        <v>0.57825338300857243</v>
      </c>
      <c r="Z1263" t="str">
        <f>HYPERLINK("Melting_Curves/meltCurve_sp_P62258_1433E_HUMAN_.pdf", "Melting_Curves/meltCurve_sp_P62258_1433E_HUMAN_.pdf")</f>
        <v>Melting_Curves/meltCurve_sp_P62258_1433E_HUMAN_.pdf</v>
      </c>
      <c r="AA1263" t="s">
        <v>12736</v>
      </c>
      <c r="AB1263" t="s">
        <v>16503</v>
      </c>
    </row>
    <row r="1264" spans="1:28" x14ac:dyDescent="0.25">
      <c r="A1264" t="s">
        <v>1268</v>
      </c>
      <c r="B1264">
        <v>0.98876768158843997</v>
      </c>
      <c r="C1264">
        <v>0.96451653001463999</v>
      </c>
      <c r="D1264">
        <v>1.00360084872063</v>
      </c>
      <c r="E1264">
        <v>0.78391889160001804</v>
      </c>
      <c r="F1264">
        <v>0.403605775417542</v>
      </c>
      <c r="G1264">
        <v>0.18810157418811699</v>
      </c>
      <c r="H1264">
        <v>0.13864788182031901</v>
      </c>
      <c r="I1264">
        <v>0.12749418693188599</v>
      </c>
      <c r="J1264">
        <v>0.13510262781110399</v>
      </c>
      <c r="K1264">
        <v>0.136530234094146</v>
      </c>
      <c r="L1264">
        <v>1663.93994566587</v>
      </c>
      <c r="M1264">
        <v>32.174185493806696</v>
      </c>
      <c r="N1264">
        <v>52.225307962963903</v>
      </c>
      <c r="O1264">
        <v>51.518034231846698</v>
      </c>
      <c r="P1264">
        <v>-0.13512825882233301</v>
      </c>
      <c r="Q1264">
        <v>0.13452220367467299</v>
      </c>
      <c r="R1264">
        <v>0.99866448782597195</v>
      </c>
      <c r="S1264" t="s">
        <v>5096</v>
      </c>
      <c r="T1264" t="s">
        <v>7662</v>
      </c>
      <c r="U1264" t="s">
        <v>7662</v>
      </c>
      <c r="V1264" t="s">
        <v>7662</v>
      </c>
      <c r="W1264">
        <v>3</v>
      </c>
      <c r="X1264" t="s">
        <v>8926</v>
      </c>
      <c r="Y1264">
        <v>0.47732606672687938</v>
      </c>
      <c r="Z1264" t="str">
        <f>HYPERLINK("Melting_Curves/meltCurve_sp_P62263_RS14_HUMAN_.pdf", "Melting_Curves/meltCurve_sp_P62263_RS14_HUMAN_.pdf")</f>
        <v>Melting_Curves/meltCurve_sp_P62263_RS14_HUMAN_.pdf</v>
      </c>
      <c r="AA1264" t="s">
        <v>12737</v>
      </c>
      <c r="AB1264" t="s">
        <v>16504</v>
      </c>
    </row>
    <row r="1265" spans="1:28" x14ac:dyDescent="0.25">
      <c r="A1265" t="s">
        <v>1269</v>
      </c>
      <c r="B1265">
        <v>0.98876768158843997</v>
      </c>
      <c r="C1265">
        <v>0.76748176756936304</v>
      </c>
      <c r="D1265">
        <v>0.59138606858128595</v>
      </c>
      <c r="E1265">
        <v>0.22508711753471999</v>
      </c>
      <c r="F1265">
        <v>0.16005631065032</v>
      </c>
      <c r="G1265">
        <v>0.103229112861652</v>
      </c>
      <c r="H1265">
        <v>7.0471465629111094E-2</v>
      </c>
      <c r="I1265">
        <v>7.5233101214812595E-2</v>
      </c>
      <c r="J1265">
        <v>0.111876293894552</v>
      </c>
      <c r="K1265">
        <v>0.107719390667373</v>
      </c>
      <c r="L1265">
        <v>879.22781008482502</v>
      </c>
      <c r="M1265">
        <v>19.0833036550438</v>
      </c>
      <c r="N1265">
        <v>46.526767394329603</v>
      </c>
      <c r="O1265">
        <v>45.576159175442498</v>
      </c>
      <c r="P1265">
        <v>-9.57960370794326E-2</v>
      </c>
      <c r="Q1265">
        <v>8.4887091010993496E-2</v>
      </c>
      <c r="R1265">
        <v>0.991616211706289</v>
      </c>
      <c r="S1265" t="s">
        <v>5097</v>
      </c>
      <c r="T1265" t="s">
        <v>7662</v>
      </c>
      <c r="U1265" t="s">
        <v>7662</v>
      </c>
      <c r="V1265" t="s">
        <v>7662</v>
      </c>
      <c r="W1265">
        <v>3</v>
      </c>
      <c r="X1265" t="s">
        <v>8927</v>
      </c>
      <c r="Y1265">
        <v>0.28580268957939392</v>
      </c>
      <c r="Z1265" t="str">
        <f>HYPERLINK("Melting_Curves/meltCurve_sp_P62269_RS18_HUMAN_.pdf", "Melting_Curves/meltCurve_sp_P62269_RS18_HUMAN_.pdf")</f>
        <v>Melting_Curves/meltCurve_sp_P62269_RS18_HUMAN_.pdf</v>
      </c>
      <c r="AA1265" t="s">
        <v>12738</v>
      </c>
      <c r="AB1265" t="s">
        <v>16505</v>
      </c>
    </row>
    <row r="1266" spans="1:28" x14ac:dyDescent="0.25">
      <c r="A1266" t="s">
        <v>1270</v>
      </c>
      <c r="B1266">
        <v>0.98876768158843997</v>
      </c>
      <c r="C1266">
        <v>0.94155574909164397</v>
      </c>
      <c r="D1266">
        <v>0.75231098874704105</v>
      </c>
      <c r="E1266">
        <v>0.42180863298016902</v>
      </c>
      <c r="F1266">
        <v>0.29845848334647102</v>
      </c>
      <c r="G1266">
        <v>0.18976286822327099</v>
      </c>
      <c r="H1266">
        <v>0.111081957444063</v>
      </c>
      <c r="I1266">
        <v>0.10830308527186901</v>
      </c>
      <c r="J1266">
        <v>0.137241262672225</v>
      </c>
      <c r="K1266">
        <v>0.119737657707304</v>
      </c>
      <c r="L1266">
        <v>868.33795008499806</v>
      </c>
      <c r="M1266">
        <v>17.901056193695698</v>
      </c>
      <c r="N1266">
        <v>49.223207259525601</v>
      </c>
      <c r="O1266">
        <v>47.914443073780397</v>
      </c>
      <c r="P1266">
        <v>-8.2704950389368898E-2</v>
      </c>
      <c r="Q1266">
        <v>0.11456358485620501</v>
      </c>
      <c r="R1266">
        <v>0.99733481766226295</v>
      </c>
      <c r="S1266" t="s">
        <v>5098</v>
      </c>
      <c r="T1266" t="s">
        <v>7662</v>
      </c>
      <c r="U1266" t="s">
        <v>7662</v>
      </c>
      <c r="V1266" t="s">
        <v>7662</v>
      </c>
      <c r="W1266">
        <v>3</v>
      </c>
      <c r="X1266" t="s">
        <v>8928</v>
      </c>
      <c r="Y1266">
        <v>0.38133491027704641</v>
      </c>
      <c r="Z1266" t="str">
        <f>HYPERLINK("Melting_Curves/meltCurve_sp_P62277_RS13_HUMAN_.pdf", "Melting_Curves/meltCurve_sp_P62277_RS13_HUMAN_.pdf")</f>
        <v>Melting_Curves/meltCurve_sp_P62277_RS13_HUMAN_.pdf</v>
      </c>
      <c r="AA1266" t="s">
        <v>12739</v>
      </c>
      <c r="AB1266" t="s">
        <v>16506</v>
      </c>
    </row>
    <row r="1267" spans="1:28" x14ac:dyDescent="0.25">
      <c r="A1267" t="s">
        <v>1271</v>
      </c>
      <c r="B1267">
        <v>0.98876768158843997</v>
      </c>
      <c r="C1267">
        <v>0.87879732330683002</v>
      </c>
      <c r="D1267">
        <v>0.77146812560493305</v>
      </c>
      <c r="E1267">
        <v>0.44711724999895103</v>
      </c>
      <c r="F1267">
        <v>0.30046568272498497</v>
      </c>
      <c r="G1267">
        <v>0.19976372676274201</v>
      </c>
      <c r="H1267">
        <v>0.151340945808984</v>
      </c>
      <c r="I1267">
        <v>0.170494209126136</v>
      </c>
      <c r="J1267">
        <v>0.22741423939557801</v>
      </c>
      <c r="K1267">
        <v>0.20458503935998901</v>
      </c>
      <c r="L1267">
        <v>901.09368513984896</v>
      </c>
      <c r="M1267">
        <v>18.756079596651301</v>
      </c>
      <c r="N1267">
        <v>49.1974397643259</v>
      </c>
      <c r="O1267">
        <v>47.506618089184002</v>
      </c>
      <c r="P1267">
        <v>-8.1131525411343094E-2</v>
      </c>
      <c r="Q1267">
        <v>0.17805366672221001</v>
      </c>
      <c r="R1267">
        <v>0.99221975064386603</v>
      </c>
      <c r="S1267" t="s">
        <v>5099</v>
      </c>
      <c r="T1267" t="s">
        <v>7662</v>
      </c>
      <c r="U1267" t="s">
        <v>7662</v>
      </c>
      <c r="V1267" t="s">
        <v>7662</v>
      </c>
      <c r="W1267">
        <v>5</v>
      </c>
      <c r="X1267" t="s">
        <v>8929</v>
      </c>
      <c r="Y1267">
        <v>0.41177394427442382</v>
      </c>
      <c r="Z1267" t="str">
        <f>HYPERLINK("Melting_Curves/meltCurve_sp_P62280_RS11_HUMAN_.pdf", "Melting_Curves/meltCurve_sp_P62280_RS11_HUMAN_.pdf")</f>
        <v>Melting_Curves/meltCurve_sp_P62280_RS11_HUMAN_.pdf</v>
      </c>
      <c r="AA1267" t="s">
        <v>12740</v>
      </c>
      <c r="AB1267" t="s">
        <v>16507</v>
      </c>
    </row>
    <row r="1268" spans="1:28" x14ac:dyDescent="0.25">
      <c r="A1268" t="s">
        <v>1272</v>
      </c>
      <c r="B1268">
        <v>0.98876768158843997</v>
      </c>
      <c r="C1268">
        <v>0.88485142973157804</v>
      </c>
      <c r="D1268">
        <v>0.93185306854816996</v>
      </c>
      <c r="E1268">
        <v>0.75017471311308404</v>
      </c>
      <c r="F1268">
        <v>0.59420454095847797</v>
      </c>
      <c r="G1268">
        <v>0.51978517589553397</v>
      </c>
      <c r="H1268">
        <v>0.39444532036464702</v>
      </c>
      <c r="I1268">
        <v>0.38999559134892198</v>
      </c>
      <c r="J1268">
        <v>0.24248646771975699</v>
      </c>
      <c r="K1268">
        <v>0.175127166137407</v>
      </c>
      <c r="L1268">
        <v>428.48359512341801</v>
      </c>
      <c r="M1268">
        <v>7.4537162494879698</v>
      </c>
      <c r="N1268">
        <v>57.4858775006687</v>
      </c>
      <c r="O1268">
        <v>53.7838600345519</v>
      </c>
      <c r="P1268">
        <v>-3.4697583008859202E-2</v>
      </c>
      <c r="Q1268">
        <v>0</v>
      </c>
      <c r="R1268">
        <v>0.97819968383408795</v>
      </c>
      <c r="S1268" t="s">
        <v>5100</v>
      </c>
      <c r="T1268" t="s">
        <v>7662</v>
      </c>
      <c r="U1268" t="s">
        <v>7662</v>
      </c>
      <c r="V1268" t="s">
        <v>7662</v>
      </c>
      <c r="W1268">
        <v>1</v>
      </c>
      <c r="X1268" t="s">
        <v>8930</v>
      </c>
      <c r="Y1268">
        <v>0.58865066388859633</v>
      </c>
      <c r="Z1268" t="str">
        <f>HYPERLINK("Melting_Curves/meltCurve_sp_P62304_RUXE_HUMAN_.pdf", "Melting_Curves/meltCurve_sp_P62304_RUXE_HUMAN_.pdf")</f>
        <v>Melting_Curves/meltCurve_sp_P62304_RUXE_HUMAN_.pdf</v>
      </c>
      <c r="AA1268" t="s">
        <v>12741</v>
      </c>
      <c r="AB1268" t="s">
        <v>16508</v>
      </c>
    </row>
    <row r="1269" spans="1:28" x14ac:dyDescent="0.25">
      <c r="A1269" t="s">
        <v>1273</v>
      </c>
      <c r="B1269">
        <v>0.98876768158843997</v>
      </c>
      <c r="C1269">
        <v>0.96544907219347198</v>
      </c>
      <c r="D1269">
        <v>0.98352037374029999</v>
      </c>
      <c r="E1269">
        <v>0.79297653486616104</v>
      </c>
      <c r="F1269">
        <v>0.85671796709845804</v>
      </c>
      <c r="G1269">
        <v>0.51160814715046299</v>
      </c>
      <c r="H1269">
        <v>0.51159064463820902</v>
      </c>
      <c r="I1269">
        <v>0.47794036234942999</v>
      </c>
      <c r="J1269">
        <v>0.61917811169189296</v>
      </c>
      <c r="K1269">
        <v>0.44410227092360999</v>
      </c>
      <c r="L1269">
        <v>1013.53906409278</v>
      </c>
      <c r="M1269">
        <v>19.143065810099401</v>
      </c>
      <c r="N1269">
        <v>66.190395512075099</v>
      </c>
      <c r="O1269">
        <v>52.377885206494298</v>
      </c>
      <c r="P1269">
        <v>-4.6678029976875202E-2</v>
      </c>
      <c r="Q1269">
        <v>0.48915155532953303</v>
      </c>
      <c r="R1269">
        <v>0.89984009865913706</v>
      </c>
      <c r="S1269" t="s">
        <v>5101</v>
      </c>
      <c r="T1269" t="s">
        <v>7662</v>
      </c>
      <c r="U1269" t="s">
        <v>7662</v>
      </c>
      <c r="V1269" t="s">
        <v>7662</v>
      </c>
      <c r="W1269">
        <v>2</v>
      </c>
      <c r="X1269" t="s">
        <v>8931</v>
      </c>
      <c r="Y1269">
        <v>0.71716066284128954</v>
      </c>
      <c r="Z1269" t="str">
        <f>HYPERLINK("Melting_Curves/meltCurve_sp_P62308_RUXG_HUMAN_.pdf", "Melting_Curves/meltCurve_sp_P62308_RUXG_HUMAN_.pdf")</f>
        <v>Melting_Curves/meltCurve_sp_P62308_RUXG_HUMAN_.pdf</v>
      </c>
      <c r="AA1269" t="s">
        <v>12742</v>
      </c>
      <c r="AB1269" t="s">
        <v>16509</v>
      </c>
    </row>
    <row r="1270" spans="1:28" x14ac:dyDescent="0.25">
      <c r="A1270" t="s">
        <v>1274</v>
      </c>
      <c r="B1270">
        <v>0.98876768158843997</v>
      </c>
      <c r="C1270">
        <v>1.05297820089607</v>
      </c>
      <c r="D1270">
        <v>0.855590898933281</v>
      </c>
      <c r="E1270">
        <v>0.80804537200746296</v>
      </c>
      <c r="F1270">
        <v>0.76544570054198102</v>
      </c>
      <c r="G1270">
        <v>0.55795390401614897</v>
      </c>
      <c r="H1270">
        <v>0.44784057236873998</v>
      </c>
      <c r="I1270">
        <v>0.51671401541357798</v>
      </c>
      <c r="J1270">
        <v>0.67103029867748198</v>
      </c>
      <c r="K1270">
        <v>0.62085367758981103</v>
      </c>
      <c r="L1270">
        <v>921.78307369682102</v>
      </c>
      <c r="M1270">
        <v>18.220620997783499</v>
      </c>
      <c r="O1270">
        <v>49.992532465922501</v>
      </c>
      <c r="P1270">
        <v>-4.0400857617469803E-2</v>
      </c>
      <c r="Q1270">
        <v>0.55662409020436998</v>
      </c>
      <c r="R1270">
        <v>0.85157003755308802</v>
      </c>
      <c r="S1270" t="s">
        <v>5102</v>
      </c>
      <c r="T1270" t="s">
        <v>7662</v>
      </c>
      <c r="U1270" t="s">
        <v>7662</v>
      </c>
      <c r="V1270" t="s">
        <v>7662</v>
      </c>
      <c r="W1270">
        <v>3</v>
      </c>
      <c r="X1270" t="s">
        <v>8932</v>
      </c>
      <c r="Y1270">
        <v>0.72047672574619048</v>
      </c>
      <c r="Z1270" t="str">
        <f>HYPERLINK("Melting_Curves/meltCurve_sp_P62310_LSM3_HUMAN_.pdf", "Melting_Curves/meltCurve_sp_P62310_LSM3_HUMAN_.pdf")</f>
        <v>Melting_Curves/meltCurve_sp_P62310_LSM3_HUMAN_.pdf</v>
      </c>
      <c r="AA1270" t="s">
        <v>12743</v>
      </c>
      <c r="AB1270" t="s">
        <v>16510</v>
      </c>
    </row>
    <row r="1271" spans="1:28" x14ac:dyDescent="0.25">
      <c r="A1271" t="s">
        <v>1275</v>
      </c>
      <c r="B1271">
        <v>0.98876768158843997</v>
      </c>
      <c r="C1271">
        <v>1.0534596637646201</v>
      </c>
      <c r="D1271">
        <v>0.93948372600170904</v>
      </c>
      <c r="E1271">
        <v>0.92042041837073696</v>
      </c>
      <c r="F1271">
        <v>0.87152620422763205</v>
      </c>
      <c r="G1271">
        <v>0.60727523858340504</v>
      </c>
      <c r="H1271">
        <v>0.47130937329424399</v>
      </c>
      <c r="I1271">
        <v>0.49600521029787698</v>
      </c>
      <c r="J1271">
        <v>0.30413284363786097</v>
      </c>
      <c r="K1271">
        <v>0.26903981097895902</v>
      </c>
      <c r="L1271">
        <v>729.04450464513695</v>
      </c>
      <c r="M1271">
        <v>12.4625334321743</v>
      </c>
      <c r="N1271">
        <v>60.931042242747601</v>
      </c>
      <c r="O1271">
        <v>57.053941145388002</v>
      </c>
      <c r="P1271">
        <v>-4.3916450092098103E-2</v>
      </c>
      <c r="Q1271">
        <v>0.195962815584934</v>
      </c>
      <c r="R1271">
        <v>0.97316181148265102</v>
      </c>
      <c r="S1271" t="s">
        <v>5103</v>
      </c>
      <c r="T1271" t="s">
        <v>7662</v>
      </c>
      <c r="U1271" t="s">
        <v>7662</v>
      </c>
      <c r="V1271" t="s">
        <v>7662</v>
      </c>
      <c r="W1271">
        <v>5</v>
      </c>
      <c r="X1271" t="s">
        <v>8933</v>
      </c>
      <c r="Y1271">
        <v>0.70051089935618926</v>
      </c>
      <c r="Z1271" t="str">
        <f>HYPERLINK("Melting_Curves/meltCurve_sp_P62312_LSM6_HUMAN_.pdf", "Melting_Curves/meltCurve_sp_P62312_LSM6_HUMAN_.pdf")</f>
        <v>Melting_Curves/meltCurve_sp_P62312_LSM6_HUMAN_.pdf</v>
      </c>
      <c r="AA1271" t="s">
        <v>12744</v>
      </c>
      <c r="AB1271" t="s">
        <v>16511</v>
      </c>
    </row>
    <row r="1272" spans="1:28" x14ac:dyDescent="0.25">
      <c r="A1272" t="s">
        <v>1276</v>
      </c>
      <c r="B1272">
        <v>0.98876768158843997</v>
      </c>
      <c r="C1272">
        <v>0.88474139190506995</v>
      </c>
      <c r="D1272">
        <v>1.0362375777159101</v>
      </c>
      <c r="E1272">
        <v>0.92310551521654005</v>
      </c>
      <c r="F1272">
        <v>0.67133266012297799</v>
      </c>
      <c r="G1272">
        <v>0.51987969466442796</v>
      </c>
      <c r="H1272">
        <v>0.44183520231940498</v>
      </c>
      <c r="I1272">
        <v>0.45421959784177102</v>
      </c>
      <c r="J1272">
        <v>0.41929120411804799</v>
      </c>
      <c r="K1272">
        <v>0.28727917066654701</v>
      </c>
      <c r="L1272">
        <v>1143.45739506274</v>
      </c>
      <c r="M1272">
        <v>21.4061867395043</v>
      </c>
      <c r="N1272">
        <v>57.271166253720402</v>
      </c>
      <c r="O1272">
        <v>52.957521738483202</v>
      </c>
      <c r="P1272">
        <v>-6.2493396477703703E-2</v>
      </c>
      <c r="Q1272">
        <v>0.38159689911286399</v>
      </c>
      <c r="R1272">
        <v>0.95057615084272495</v>
      </c>
      <c r="S1272" t="s">
        <v>5104</v>
      </c>
      <c r="T1272" t="s">
        <v>7662</v>
      </c>
      <c r="U1272" t="s">
        <v>7662</v>
      </c>
      <c r="V1272" t="s">
        <v>7662</v>
      </c>
      <c r="W1272">
        <v>8</v>
      </c>
      <c r="X1272" t="s">
        <v>8934</v>
      </c>
      <c r="Y1272">
        <v>0.66571620650728447</v>
      </c>
      <c r="Z1272" t="str">
        <f>HYPERLINK("Melting_Curves/meltCurve_sp_P62316_SMD2_HUMAN_.pdf", "Melting_Curves/meltCurve_sp_P62316_SMD2_HUMAN_.pdf")</f>
        <v>Melting_Curves/meltCurve_sp_P62316_SMD2_HUMAN_.pdf</v>
      </c>
      <c r="AA1272" t="s">
        <v>12745</v>
      </c>
      <c r="AB1272" t="s">
        <v>16512</v>
      </c>
    </row>
    <row r="1273" spans="1:28" x14ac:dyDescent="0.25">
      <c r="A1273" t="s">
        <v>1277</v>
      </c>
      <c r="B1273">
        <v>0.98876768158843997</v>
      </c>
      <c r="C1273">
        <v>1.0871061140156</v>
      </c>
      <c r="D1273">
        <v>0.85737888662751405</v>
      </c>
      <c r="E1273">
        <v>0.75392124318546205</v>
      </c>
      <c r="F1273">
        <v>0.92052535506114497</v>
      </c>
      <c r="G1273">
        <v>0.693526296916674</v>
      </c>
      <c r="H1273">
        <v>0.51150281270279996</v>
      </c>
      <c r="I1273">
        <v>0.63108956079566603</v>
      </c>
      <c r="J1273">
        <v>0.706798534321463</v>
      </c>
      <c r="K1273">
        <v>0.99201995749924499</v>
      </c>
      <c r="L1273">
        <v>1051.1345466539899</v>
      </c>
      <c r="M1273">
        <v>22.124907849167901</v>
      </c>
      <c r="O1273">
        <v>47.126116613527003</v>
      </c>
      <c r="P1273">
        <v>-3.1927978873294099E-2</v>
      </c>
      <c r="Q1273">
        <v>0.72797933069862997</v>
      </c>
      <c r="R1273">
        <v>0.428793057150131</v>
      </c>
      <c r="S1273" t="s">
        <v>5105</v>
      </c>
      <c r="T1273" t="s">
        <v>7662</v>
      </c>
      <c r="U1273" t="s">
        <v>7662</v>
      </c>
      <c r="V1273" t="s">
        <v>7662</v>
      </c>
      <c r="W1273">
        <v>8</v>
      </c>
      <c r="X1273" t="s">
        <v>8935</v>
      </c>
      <c r="Y1273">
        <v>0.79920977399567483</v>
      </c>
      <c r="Z1273" t="str">
        <f>HYPERLINK("Melting_Curves/meltCurve_sp_P62328_TYB4_HUMAN_.pdf", "Melting_Curves/meltCurve_sp_P62328_TYB4_HUMAN_.pdf")</f>
        <v>Melting_Curves/meltCurve_sp_P62328_TYB4_HUMAN_.pdf</v>
      </c>
      <c r="AA1273" t="s">
        <v>12746</v>
      </c>
      <c r="AB1273" t="s">
        <v>16513</v>
      </c>
    </row>
    <row r="1274" spans="1:28" x14ac:dyDescent="0.25">
      <c r="A1274" t="s">
        <v>1278</v>
      </c>
      <c r="B1274">
        <v>0.98876768158843997</v>
      </c>
      <c r="C1274">
        <v>0.85502856580162601</v>
      </c>
      <c r="D1274">
        <v>0.78562024495599503</v>
      </c>
      <c r="E1274">
        <v>0.46438172280620199</v>
      </c>
      <c r="F1274">
        <v>0.29955410261679</v>
      </c>
      <c r="G1274">
        <v>0.19851692053279901</v>
      </c>
      <c r="H1274">
        <v>0.165565773882656</v>
      </c>
      <c r="I1274">
        <v>0.19919139567803301</v>
      </c>
      <c r="J1274">
        <v>0.153950401042833</v>
      </c>
      <c r="K1274">
        <v>0.13020140881702499</v>
      </c>
      <c r="L1274">
        <v>801.10956209653898</v>
      </c>
      <c r="M1274">
        <v>16.529537799877598</v>
      </c>
      <c r="N1274">
        <v>49.480963200165803</v>
      </c>
      <c r="O1274">
        <v>47.7726615891157</v>
      </c>
      <c r="P1274">
        <v>-7.4062266464864301E-2</v>
      </c>
      <c r="Q1274">
        <v>0.14385840655641299</v>
      </c>
      <c r="R1274">
        <v>0.993071763218911</v>
      </c>
      <c r="S1274" t="s">
        <v>5106</v>
      </c>
      <c r="T1274" t="s">
        <v>7662</v>
      </c>
      <c r="U1274" t="s">
        <v>7662</v>
      </c>
      <c r="V1274" t="s">
        <v>7662</v>
      </c>
      <c r="W1274">
        <v>2</v>
      </c>
      <c r="X1274" t="s">
        <v>8936</v>
      </c>
      <c r="Y1274">
        <v>0.40326628005016668</v>
      </c>
      <c r="Z1274" t="str">
        <f>HYPERLINK("Melting_Curves/meltCurve_sp_P62330_ARF6_HUMAN_.pdf", "Melting_Curves/meltCurve_sp_P62330_ARF6_HUMAN_.pdf")</f>
        <v>Melting_Curves/meltCurve_sp_P62330_ARF6_HUMAN_.pdf</v>
      </c>
      <c r="AA1274" t="s">
        <v>12747</v>
      </c>
      <c r="AB1274" t="s">
        <v>16514</v>
      </c>
    </row>
    <row r="1275" spans="1:28" x14ac:dyDescent="0.25">
      <c r="A1275" t="s">
        <v>1279</v>
      </c>
      <c r="B1275">
        <v>0.98876768158843997</v>
      </c>
      <c r="C1275">
        <v>0.79292133464700598</v>
      </c>
      <c r="D1275">
        <v>0.57599577912419397</v>
      </c>
      <c r="E1275">
        <v>0.24592495383958399</v>
      </c>
      <c r="F1275">
        <v>0.10441292337621701</v>
      </c>
      <c r="G1275">
        <v>5.3334413502608001E-2</v>
      </c>
      <c r="H1275">
        <v>3.4332700709715502E-2</v>
      </c>
      <c r="I1275">
        <v>2.76351770588378E-2</v>
      </c>
      <c r="J1275">
        <v>4.1893297891585302E-2</v>
      </c>
      <c r="K1275">
        <v>3.24149810196891E-2</v>
      </c>
      <c r="L1275">
        <v>847.76603404874004</v>
      </c>
      <c r="M1275">
        <v>18.227340718363799</v>
      </c>
      <c r="N1275">
        <v>46.6428398033622</v>
      </c>
      <c r="O1275">
        <v>45.961684389784999</v>
      </c>
      <c r="P1275">
        <v>-9.6653541500791904E-2</v>
      </c>
      <c r="Q1275">
        <v>2.51673405994246E-2</v>
      </c>
      <c r="R1275">
        <v>0.99725205950516105</v>
      </c>
      <c r="S1275" t="s">
        <v>5107</v>
      </c>
      <c r="T1275" t="s">
        <v>7662</v>
      </c>
      <c r="U1275" t="s">
        <v>7662</v>
      </c>
      <c r="V1275" t="s">
        <v>7662</v>
      </c>
      <c r="W1275">
        <v>17</v>
      </c>
      <c r="X1275" t="s">
        <v>8937</v>
      </c>
      <c r="Y1275">
        <v>0.25469838825826302</v>
      </c>
      <c r="Z1275" t="str">
        <f>HYPERLINK("Melting_Curves/meltCurve_sp_P62333_PRS10_HUMAN_.pdf", "Melting_Curves/meltCurve_sp_P62333_PRS10_HUMAN_.pdf")</f>
        <v>Melting_Curves/meltCurve_sp_P62333_PRS10_HUMAN_.pdf</v>
      </c>
      <c r="AA1275" t="s">
        <v>12748</v>
      </c>
      <c r="AB1275" t="s">
        <v>16515</v>
      </c>
    </row>
    <row r="1276" spans="1:28" x14ac:dyDescent="0.25">
      <c r="A1276" t="s">
        <v>1280</v>
      </c>
      <c r="B1276">
        <v>0.98876768158843997</v>
      </c>
      <c r="C1276">
        <v>0.99496279767864504</v>
      </c>
      <c r="D1276">
        <v>0.80169510997144</v>
      </c>
      <c r="E1276">
        <v>0.74187646022335696</v>
      </c>
      <c r="F1276">
        <v>0.82487908982759195</v>
      </c>
      <c r="G1276">
        <v>0.65427002106446697</v>
      </c>
      <c r="H1276">
        <v>0.52056119978561299</v>
      </c>
      <c r="I1276">
        <v>0.75500158212516799</v>
      </c>
      <c r="J1276">
        <v>0.83142541306978301</v>
      </c>
      <c r="K1276">
        <v>1.32319382839583</v>
      </c>
      <c r="L1276">
        <v>10880.358030904999</v>
      </c>
      <c r="M1276">
        <v>250</v>
      </c>
      <c r="O1276">
        <v>43.5186443027617</v>
      </c>
      <c r="P1276">
        <v>-0.27773610763272</v>
      </c>
      <c r="Q1276">
        <v>0.80661280599850904</v>
      </c>
      <c r="R1276">
        <v>0.1260853172468</v>
      </c>
      <c r="S1276" t="s">
        <v>5108</v>
      </c>
      <c r="T1276" t="s">
        <v>7662</v>
      </c>
      <c r="U1276" t="s">
        <v>7662</v>
      </c>
      <c r="V1276" t="s">
        <v>7662</v>
      </c>
      <c r="W1276">
        <v>5</v>
      </c>
      <c r="X1276" t="s">
        <v>8938</v>
      </c>
      <c r="Y1276">
        <v>0.82932757271203583</v>
      </c>
      <c r="Z1276" t="str">
        <f>HYPERLINK("Melting_Curves/meltCurve_sp_P62633_2_CNBP_HUMAN_.pdf", "Melting_Curves/meltCurve_sp_P62633_2_CNBP_HUMAN_.pdf")</f>
        <v>Melting_Curves/meltCurve_sp_P62633_2_CNBP_HUMAN_.pdf</v>
      </c>
      <c r="AA1276" t="s">
        <v>12749</v>
      </c>
      <c r="AB1276" t="s">
        <v>16516</v>
      </c>
    </row>
    <row r="1277" spans="1:28" x14ac:dyDescent="0.25">
      <c r="A1277" t="s">
        <v>1281</v>
      </c>
      <c r="B1277">
        <v>0.98876768158843997</v>
      </c>
      <c r="C1277">
        <v>0.869377510112751</v>
      </c>
      <c r="D1277">
        <v>0.66655808967194796</v>
      </c>
      <c r="E1277">
        <v>0.20638385398706799</v>
      </c>
      <c r="F1277">
        <v>9.5568265395392801E-2</v>
      </c>
      <c r="G1277">
        <v>4.8204214328781199E-2</v>
      </c>
      <c r="H1277">
        <v>3.0890456267481398E-2</v>
      </c>
      <c r="I1277">
        <v>2.90073116125301E-2</v>
      </c>
      <c r="J1277">
        <v>4.0618832004822997E-2</v>
      </c>
      <c r="K1277">
        <v>3.52351801572552E-2</v>
      </c>
      <c r="L1277">
        <v>1099.7891916394301</v>
      </c>
      <c r="M1277">
        <v>23.380485454198499</v>
      </c>
      <c r="N1277">
        <v>47.1650513038337</v>
      </c>
      <c r="O1277">
        <v>46.698711076273597</v>
      </c>
      <c r="P1277">
        <v>-0.121371778699659</v>
      </c>
      <c r="Q1277">
        <v>3.0335654582015099E-2</v>
      </c>
      <c r="R1277">
        <v>0.99799288689495402</v>
      </c>
      <c r="S1277" t="s">
        <v>5109</v>
      </c>
      <c r="T1277" t="s">
        <v>7662</v>
      </c>
      <c r="U1277" t="s">
        <v>7662</v>
      </c>
      <c r="V1277" t="s">
        <v>7662</v>
      </c>
      <c r="W1277">
        <v>5</v>
      </c>
      <c r="X1277" t="s">
        <v>8939</v>
      </c>
      <c r="Y1277">
        <v>0.26787365249037781</v>
      </c>
      <c r="Z1277" t="str">
        <f>HYPERLINK("Melting_Curves/meltCurve_sp_P62701_RS4X_HUMAN_.pdf", "Melting_Curves/meltCurve_sp_P62701_RS4X_HUMAN_.pdf")</f>
        <v>Melting_Curves/meltCurve_sp_P62701_RS4X_HUMAN_.pdf</v>
      </c>
      <c r="AA1277" t="s">
        <v>12750</v>
      </c>
      <c r="AB1277" t="s">
        <v>16517</v>
      </c>
    </row>
    <row r="1278" spans="1:28" x14ac:dyDescent="0.25">
      <c r="A1278" t="s">
        <v>1282</v>
      </c>
      <c r="B1278">
        <v>0.98876768158843997</v>
      </c>
      <c r="C1278">
        <v>0.93777414507015899</v>
      </c>
      <c r="D1278">
        <v>0.96326537961121195</v>
      </c>
      <c r="E1278">
        <v>0.84877758589010799</v>
      </c>
      <c r="F1278">
        <v>0.63786219387366905</v>
      </c>
      <c r="G1278">
        <v>0.390412795902492</v>
      </c>
      <c r="H1278">
        <v>0.20133247240489099</v>
      </c>
      <c r="I1278">
        <v>0.106336823494584</v>
      </c>
      <c r="J1278">
        <v>8.7420584641869206E-2</v>
      </c>
      <c r="K1278">
        <v>7.4471376716340298E-2</v>
      </c>
      <c r="L1278">
        <v>873.73591899893097</v>
      </c>
      <c r="M1278">
        <v>15.909482560452201</v>
      </c>
      <c r="N1278">
        <v>55.163262044491198</v>
      </c>
      <c r="O1278">
        <v>54.073493532081301</v>
      </c>
      <c r="P1278">
        <v>-7.1060815610092101E-2</v>
      </c>
      <c r="Q1278">
        <v>3.3985662665500703E-2</v>
      </c>
      <c r="R1278">
        <v>0.99728899934534199</v>
      </c>
      <c r="S1278" t="s">
        <v>5110</v>
      </c>
      <c r="T1278" t="s">
        <v>7662</v>
      </c>
      <c r="U1278" t="s">
        <v>7662</v>
      </c>
      <c r="V1278" t="s">
        <v>7662</v>
      </c>
      <c r="W1278">
        <v>12</v>
      </c>
      <c r="X1278" t="s">
        <v>8940</v>
      </c>
      <c r="Y1278">
        <v>0.5319233572523715</v>
      </c>
      <c r="Z1278" t="str">
        <f>HYPERLINK("Melting_Curves/meltCurve_sp_P62714_PP2AB_HUMAN_.pdf", "Melting_Curves/meltCurve_sp_P62714_PP2AB_HUMAN_.pdf")</f>
        <v>Melting_Curves/meltCurve_sp_P62714_PP2AB_HUMAN_.pdf</v>
      </c>
      <c r="AA1278" t="s">
        <v>12751</v>
      </c>
      <c r="AB1278" t="s">
        <v>16518</v>
      </c>
    </row>
    <row r="1279" spans="1:28" x14ac:dyDescent="0.25">
      <c r="A1279" t="s">
        <v>1283</v>
      </c>
      <c r="B1279">
        <v>0.98876768158843997</v>
      </c>
      <c r="C1279">
        <v>0.95491522288858099</v>
      </c>
      <c r="D1279">
        <v>0.97954831055928804</v>
      </c>
      <c r="E1279">
        <v>0.76320302551608399</v>
      </c>
      <c r="F1279">
        <v>0.70478376088043904</v>
      </c>
      <c r="G1279">
        <v>0.50754721788778001</v>
      </c>
      <c r="H1279">
        <v>0.41559897597897</v>
      </c>
      <c r="I1279">
        <v>0.45596740502987299</v>
      </c>
      <c r="J1279">
        <v>0.496378198691175</v>
      </c>
      <c r="K1279">
        <v>0.62466200373458203</v>
      </c>
      <c r="L1279">
        <v>1146.6710990434101</v>
      </c>
      <c r="M1279">
        <v>22.498232933512998</v>
      </c>
      <c r="N1279">
        <v>63.460882130318801</v>
      </c>
      <c r="O1279">
        <v>50.569616348416098</v>
      </c>
      <c r="P1279">
        <v>-5.6276236780016302E-2</v>
      </c>
      <c r="Q1279">
        <v>0.49403851102975399</v>
      </c>
      <c r="R1279">
        <v>0.92336805926183696</v>
      </c>
      <c r="S1279" t="s">
        <v>5111</v>
      </c>
      <c r="T1279" t="s">
        <v>7662</v>
      </c>
      <c r="U1279" t="s">
        <v>7662</v>
      </c>
      <c r="V1279" t="s">
        <v>7662</v>
      </c>
      <c r="W1279">
        <v>4</v>
      </c>
      <c r="X1279" t="s">
        <v>8941</v>
      </c>
      <c r="Y1279">
        <v>0.68461716027466957</v>
      </c>
      <c r="Z1279" t="str">
        <f>HYPERLINK("Melting_Curves/meltCurve_sp_P62750_RL23A_HUMAN_.pdf", "Melting_Curves/meltCurve_sp_P62750_RL23A_HUMAN_.pdf")</f>
        <v>Melting_Curves/meltCurve_sp_P62750_RL23A_HUMAN_.pdf</v>
      </c>
      <c r="AA1279" t="s">
        <v>12752</v>
      </c>
      <c r="AB1279" t="s">
        <v>16519</v>
      </c>
    </row>
    <row r="1280" spans="1:28" x14ac:dyDescent="0.25">
      <c r="A1280" t="s">
        <v>1284</v>
      </c>
      <c r="B1280">
        <v>0.98876768158843997</v>
      </c>
      <c r="C1280">
        <v>0.79008135788005396</v>
      </c>
      <c r="D1280">
        <v>0.84845570160936001</v>
      </c>
      <c r="E1280">
        <v>0.47024732542359299</v>
      </c>
      <c r="F1280">
        <v>0.134962481101707</v>
      </c>
      <c r="G1280">
        <v>7.4101503222340007E-2</v>
      </c>
      <c r="H1280">
        <v>6.29624571720825E-2</v>
      </c>
      <c r="I1280">
        <v>5.4089725500803501E-2</v>
      </c>
      <c r="J1280">
        <v>5.3472975982280603E-2</v>
      </c>
      <c r="K1280">
        <v>7.0669730037566797E-2</v>
      </c>
      <c r="L1280">
        <v>1017.87510404494</v>
      </c>
      <c r="M1280">
        <v>20.771049095554101</v>
      </c>
      <c r="N1280">
        <v>49.209992065055197</v>
      </c>
      <c r="O1280">
        <v>48.557079352023003</v>
      </c>
      <c r="P1280">
        <v>-0.102502126409575</v>
      </c>
      <c r="Q1280">
        <v>4.1538347592455803E-2</v>
      </c>
      <c r="R1280">
        <v>0.97202190031324798</v>
      </c>
      <c r="S1280" t="s">
        <v>5112</v>
      </c>
      <c r="T1280" t="s">
        <v>7662</v>
      </c>
      <c r="U1280" t="s">
        <v>7662</v>
      </c>
      <c r="V1280" t="s">
        <v>7662</v>
      </c>
      <c r="W1280">
        <v>3</v>
      </c>
      <c r="X1280" t="s">
        <v>8942</v>
      </c>
      <c r="Y1280">
        <v>0.34165041470636959</v>
      </c>
      <c r="Z1280" t="str">
        <f>HYPERLINK("Melting_Curves/meltCurve_sp_P62753_RS6_HUMAN_.pdf", "Melting_Curves/meltCurve_sp_P62753_RS6_HUMAN_.pdf")</f>
        <v>Melting_Curves/meltCurve_sp_P62753_RS6_HUMAN_.pdf</v>
      </c>
      <c r="AA1280" t="s">
        <v>12753</v>
      </c>
      <c r="AB1280" t="s">
        <v>16520</v>
      </c>
    </row>
    <row r="1281" spans="1:28" x14ac:dyDescent="0.25">
      <c r="A1281" t="s">
        <v>1285</v>
      </c>
      <c r="B1281">
        <v>0.98876768158843997</v>
      </c>
      <c r="C1281">
        <v>0.98073887419212902</v>
      </c>
      <c r="D1281">
        <v>0.96050313568563805</v>
      </c>
      <c r="E1281">
        <v>0.69908888030470895</v>
      </c>
      <c r="F1281">
        <v>0.57406502583695795</v>
      </c>
      <c r="G1281">
        <v>0.32707750409445502</v>
      </c>
      <c r="H1281">
        <v>0.22967066150510601</v>
      </c>
      <c r="I1281">
        <v>0.24401503438871999</v>
      </c>
      <c r="J1281">
        <v>0.36321660260650102</v>
      </c>
      <c r="K1281">
        <v>0.235633608748195</v>
      </c>
      <c r="L1281">
        <v>1051.87214007938</v>
      </c>
      <c r="M1281">
        <v>20.4239531764192</v>
      </c>
      <c r="N1281">
        <v>53.376290353449797</v>
      </c>
      <c r="O1281">
        <v>51.015777631022601</v>
      </c>
      <c r="P1281">
        <v>-7.4471781253276706E-2</v>
      </c>
      <c r="Q1281">
        <v>0.25594775450457302</v>
      </c>
      <c r="R1281">
        <v>0.97938487786742201</v>
      </c>
      <c r="S1281" t="s">
        <v>5113</v>
      </c>
      <c r="T1281" t="s">
        <v>7662</v>
      </c>
      <c r="U1281" t="s">
        <v>7662</v>
      </c>
      <c r="V1281" t="s">
        <v>7662</v>
      </c>
      <c r="W1281">
        <v>4</v>
      </c>
      <c r="X1281" t="s">
        <v>8943</v>
      </c>
      <c r="Y1281">
        <v>0.55113909671547168</v>
      </c>
      <c r="Z1281" t="str">
        <f>HYPERLINK("Melting_Curves/meltCurve_sp_P62760_VISL1_HUMAN_.pdf", "Melting_Curves/meltCurve_sp_P62760_VISL1_HUMAN_.pdf")</f>
        <v>Melting_Curves/meltCurve_sp_P62760_VISL1_HUMAN_.pdf</v>
      </c>
      <c r="AA1281" t="s">
        <v>12754</v>
      </c>
      <c r="AB1281" t="s">
        <v>16521</v>
      </c>
    </row>
    <row r="1282" spans="1:28" x14ac:dyDescent="0.25">
      <c r="A1282" t="s">
        <v>1286</v>
      </c>
      <c r="B1282">
        <v>0.98876768158843997</v>
      </c>
      <c r="C1282">
        <v>0.81075523066778399</v>
      </c>
      <c r="D1282">
        <v>0.72169262406908796</v>
      </c>
      <c r="E1282">
        <v>0.38095236046331199</v>
      </c>
      <c r="F1282">
        <v>0.17433507251526301</v>
      </c>
      <c r="G1282">
        <v>0.10119364213311199</v>
      </c>
      <c r="H1282">
        <v>6.8788702267649507E-2</v>
      </c>
      <c r="I1282">
        <v>6.7400308559939601E-2</v>
      </c>
      <c r="J1282">
        <v>0.11908658842832701</v>
      </c>
      <c r="K1282">
        <v>7.5807920544648896E-2</v>
      </c>
      <c r="L1282">
        <v>822.73388204193395</v>
      </c>
      <c r="M1282">
        <v>17.220476915610099</v>
      </c>
      <c r="N1282">
        <v>48.164033619845199</v>
      </c>
      <c r="O1282">
        <v>47.146149155934502</v>
      </c>
      <c r="P1282">
        <v>-8.5411632082683001E-2</v>
      </c>
      <c r="Q1282">
        <v>6.4696160210741704E-2</v>
      </c>
      <c r="R1282">
        <v>0.989442664076848</v>
      </c>
      <c r="S1282" t="s">
        <v>5114</v>
      </c>
      <c r="T1282" t="s">
        <v>7662</v>
      </c>
      <c r="U1282" t="s">
        <v>7662</v>
      </c>
      <c r="V1282" t="s">
        <v>7662</v>
      </c>
      <c r="W1282">
        <v>2</v>
      </c>
      <c r="X1282" t="s">
        <v>8944</v>
      </c>
      <c r="Y1282">
        <v>0.32548393264973391</v>
      </c>
      <c r="Z1282" t="str">
        <f>HYPERLINK("Melting_Curves/meltCurve_sp_P62805_H4_HUMAN_.pdf", "Melting_Curves/meltCurve_sp_P62805_H4_HUMAN_.pdf")</f>
        <v>Melting_Curves/meltCurve_sp_P62805_H4_HUMAN_.pdf</v>
      </c>
      <c r="AA1282" t="s">
        <v>12755</v>
      </c>
      <c r="AB1282" t="s">
        <v>16522</v>
      </c>
    </row>
    <row r="1283" spans="1:28" x14ac:dyDescent="0.25">
      <c r="A1283" t="s">
        <v>1287</v>
      </c>
      <c r="B1283">
        <v>0.98876768158843997</v>
      </c>
      <c r="C1283">
        <v>1.2908254648694499</v>
      </c>
      <c r="D1283">
        <v>0.96957135196799205</v>
      </c>
      <c r="E1283">
        <v>0.73373576446726896</v>
      </c>
      <c r="F1283">
        <v>0.55042989236280704</v>
      </c>
      <c r="G1283">
        <v>0.1480796386032</v>
      </c>
      <c r="H1283">
        <v>8.0126429110034994E-2</v>
      </c>
      <c r="I1283">
        <v>6.1831126013018503E-2</v>
      </c>
      <c r="J1283">
        <v>7.2362085139641999E-2</v>
      </c>
      <c r="K1283">
        <v>6.3165273429368396E-2</v>
      </c>
      <c r="L1283">
        <v>1257.2974180389199</v>
      </c>
      <c r="M1283">
        <v>23.8558656770781</v>
      </c>
      <c r="N1283">
        <v>52.944075838535497</v>
      </c>
      <c r="O1283">
        <v>52.337751266963899</v>
      </c>
      <c r="P1283">
        <v>-0.108109147463331</v>
      </c>
      <c r="Q1283">
        <v>5.1285959353463501E-2</v>
      </c>
      <c r="R1283">
        <v>0.952257475888444</v>
      </c>
      <c r="S1283" t="s">
        <v>5115</v>
      </c>
      <c r="T1283" t="s">
        <v>7662</v>
      </c>
      <c r="U1283" t="s">
        <v>7662</v>
      </c>
      <c r="V1283" t="s">
        <v>7662</v>
      </c>
      <c r="W1283">
        <v>9</v>
      </c>
      <c r="X1283" t="s">
        <v>8945</v>
      </c>
      <c r="Y1283">
        <v>0.46254934229383893</v>
      </c>
      <c r="Z1283" t="str">
        <f>HYPERLINK("Melting_Curves/meltCurve_sp_P62820_RAB1A_HUMAN_.pdf", "Melting_Curves/meltCurve_sp_P62820_RAB1A_HUMAN_.pdf")</f>
        <v>Melting_Curves/meltCurve_sp_P62820_RAB1A_HUMAN_.pdf</v>
      </c>
      <c r="AA1283" t="s">
        <v>12756</v>
      </c>
      <c r="AB1283" t="s">
        <v>16523</v>
      </c>
    </row>
    <row r="1284" spans="1:28" x14ac:dyDescent="0.25">
      <c r="A1284" t="s">
        <v>1288</v>
      </c>
      <c r="B1284">
        <v>0.98876768158843997</v>
      </c>
      <c r="C1284">
        <v>1.05566196102892</v>
      </c>
      <c r="D1284">
        <v>0.810023087698582</v>
      </c>
      <c r="E1284">
        <v>0.64089122522248398</v>
      </c>
      <c r="F1284">
        <v>0.51615918681431805</v>
      </c>
      <c r="G1284">
        <v>0.187316755170571</v>
      </c>
      <c r="H1284">
        <v>5.11969764087064E-2</v>
      </c>
      <c r="I1284">
        <v>4.0143707635335903E-2</v>
      </c>
      <c r="J1284">
        <v>3.5419471348666597E-2</v>
      </c>
      <c r="K1284">
        <v>3.5293015935387299E-2</v>
      </c>
      <c r="L1284">
        <v>810.41059210020603</v>
      </c>
      <c r="M1284">
        <v>15.527368377269401</v>
      </c>
      <c r="N1284">
        <v>52.192411113454099</v>
      </c>
      <c r="O1284">
        <v>51.349697499153201</v>
      </c>
      <c r="P1284">
        <v>-7.5602873372218493E-2</v>
      </c>
      <c r="Q1284">
        <v>0</v>
      </c>
      <c r="R1284">
        <v>0.98491020424607201</v>
      </c>
      <c r="S1284" t="s">
        <v>5116</v>
      </c>
      <c r="T1284" t="s">
        <v>7662</v>
      </c>
      <c r="U1284" t="s">
        <v>7662</v>
      </c>
      <c r="V1284" t="s">
        <v>7662</v>
      </c>
      <c r="W1284">
        <v>9</v>
      </c>
      <c r="X1284" t="s">
        <v>8946</v>
      </c>
      <c r="Y1284">
        <v>0.42748085723063561</v>
      </c>
      <c r="Z1284" t="str">
        <f>HYPERLINK("Melting_Curves/meltCurve_sp_P62826_RAN_HUMAN_.pdf", "Melting_Curves/meltCurve_sp_P62826_RAN_HUMAN_.pdf")</f>
        <v>Melting_Curves/meltCurve_sp_P62826_RAN_HUMAN_.pdf</v>
      </c>
      <c r="AA1284" t="s">
        <v>12757</v>
      </c>
      <c r="AB1284" t="s">
        <v>16524</v>
      </c>
    </row>
    <row r="1285" spans="1:28" x14ac:dyDescent="0.25">
      <c r="A1285" t="s">
        <v>1289</v>
      </c>
      <c r="B1285">
        <v>0.98876768158843997</v>
      </c>
      <c r="C1285">
        <v>0.89777211686954606</v>
      </c>
      <c r="D1285">
        <v>0.74846848218117501</v>
      </c>
      <c r="E1285">
        <v>0.60674548313494403</v>
      </c>
      <c r="F1285">
        <v>0.73389802912323998</v>
      </c>
      <c r="G1285">
        <v>0.37351640357820998</v>
      </c>
      <c r="H1285">
        <v>0.213369138380402</v>
      </c>
      <c r="I1285">
        <v>0.135486549712905</v>
      </c>
      <c r="J1285">
        <v>2.71070660511709E-2</v>
      </c>
      <c r="K1285">
        <v>2.7821659646182301E-2</v>
      </c>
      <c r="L1285">
        <v>561.44324697985098</v>
      </c>
      <c r="M1285">
        <v>10.430362038014399</v>
      </c>
      <c r="N1285">
        <v>53.827780958387301</v>
      </c>
      <c r="O1285">
        <v>51.961996204756097</v>
      </c>
      <c r="P1285">
        <v>-5.02034176463627E-2</v>
      </c>
      <c r="Q1285">
        <v>0</v>
      </c>
      <c r="R1285">
        <v>0.94258500159056902</v>
      </c>
      <c r="S1285" t="s">
        <v>5117</v>
      </c>
      <c r="T1285" t="s">
        <v>7662</v>
      </c>
      <c r="U1285" t="s">
        <v>7662</v>
      </c>
      <c r="V1285" t="s">
        <v>7662</v>
      </c>
      <c r="W1285">
        <v>3</v>
      </c>
      <c r="X1285" t="s">
        <v>8947</v>
      </c>
      <c r="Y1285">
        <v>0.49089034252503178</v>
      </c>
      <c r="Z1285" t="str">
        <f>HYPERLINK("Melting_Curves/meltCurve_sp_P62837_UB2D2_HUMAN_.pdf", "Melting_Curves/meltCurve_sp_P62837_UB2D2_HUMAN_.pdf")</f>
        <v>Melting_Curves/meltCurve_sp_P62837_UB2D2_HUMAN_.pdf</v>
      </c>
      <c r="AA1285" t="s">
        <v>12758</v>
      </c>
      <c r="AB1285" t="s">
        <v>16525</v>
      </c>
    </row>
    <row r="1286" spans="1:28" x14ac:dyDescent="0.25">
      <c r="A1286" t="s">
        <v>1290</v>
      </c>
      <c r="B1286">
        <v>0.98876768158843997</v>
      </c>
      <c r="C1286">
        <v>1.10235162427579</v>
      </c>
      <c r="D1286">
        <v>0.84153762531258702</v>
      </c>
      <c r="E1286">
        <v>0.66444729265421698</v>
      </c>
      <c r="F1286">
        <v>0.67553175543000799</v>
      </c>
      <c r="G1286">
        <v>0.44653678821973197</v>
      </c>
      <c r="H1286">
        <v>0.31508873682220401</v>
      </c>
      <c r="I1286">
        <v>0.310467034640586</v>
      </c>
      <c r="J1286">
        <v>0.55674315010928199</v>
      </c>
      <c r="K1286">
        <v>0.42320443909792299</v>
      </c>
      <c r="L1286">
        <v>887.19500868716102</v>
      </c>
      <c r="M1286">
        <v>17.6445573127613</v>
      </c>
      <c r="N1286">
        <v>55.2478456559706</v>
      </c>
      <c r="O1286">
        <v>49.649012400998799</v>
      </c>
      <c r="P1286">
        <v>-5.3520480421338799E-2</v>
      </c>
      <c r="Q1286">
        <v>0.39763951228022598</v>
      </c>
      <c r="R1286">
        <v>0.88333630886370795</v>
      </c>
      <c r="S1286" t="s">
        <v>5118</v>
      </c>
      <c r="T1286" t="s">
        <v>7662</v>
      </c>
      <c r="U1286" t="s">
        <v>7662</v>
      </c>
      <c r="V1286" t="s">
        <v>7662</v>
      </c>
      <c r="W1286">
        <v>4</v>
      </c>
      <c r="X1286" t="s">
        <v>8948</v>
      </c>
      <c r="Y1286">
        <v>0.61470270295763596</v>
      </c>
      <c r="Z1286" t="str">
        <f>HYPERLINK("Melting_Curves/meltCurve_sp_P62857_RS28_HUMAN_.pdf", "Melting_Curves/meltCurve_sp_P62857_RS28_HUMAN_.pdf")</f>
        <v>Melting_Curves/meltCurve_sp_P62857_RS28_HUMAN_.pdf</v>
      </c>
      <c r="AA1286" t="s">
        <v>12759</v>
      </c>
      <c r="AB1286" t="s">
        <v>16526</v>
      </c>
    </row>
    <row r="1287" spans="1:28" x14ac:dyDescent="0.25">
      <c r="A1287" t="s">
        <v>1291</v>
      </c>
      <c r="B1287">
        <v>0.98876768158843997</v>
      </c>
      <c r="C1287">
        <v>1.07906187992219</v>
      </c>
      <c r="D1287">
        <v>0.82444366060407903</v>
      </c>
      <c r="E1287">
        <v>0.77100598030774803</v>
      </c>
      <c r="F1287">
        <v>0.90575550368579305</v>
      </c>
      <c r="G1287">
        <v>0.61524966544203696</v>
      </c>
      <c r="H1287">
        <v>0.45540390567349298</v>
      </c>
      <c r="I1287">
        <v>0.48883348163970203</v>
      </c>
      <c r="J1287">
        <v>0.64294298829151098</v>
      </c>
      <c r="K1287">
        <v>0.612565537690687</v>
      </c>
      <c r="L1287">
        <v>723.43662417831104</v>
      </c>
      <c r="M1287">
        <v>13.880589940179799</v>
      </c>
      <c r="O1287">
        <v>51.072563496444701</v>
      </c>
      <c r="P1287">
        <v>-3.1718389516007701E-2</v>
      </c>
      <c r="Q1287">
        <v>0.53324236521188295</v>
      </c>
      <c r="R1287">
        <v>0.77142430834501996</v>
      </c>
      <c r="S1287" t="s">
        <v>5119</v>
      </c>
      <c r="T1287" t="s">
        <v>7662</v>
      </c>
      <c r="U1287" t="s">
        <v>7662</v>
      </c>
      <c r="V1287" t="s">
        <v>7662</v>
      </c>
      <c r="W1287">
        <v>3</v>
      </c>
      <c r="X1287" t="s">
        <v>8949</v>
      </c>
      <c r="Y1287">
        <v>0.73343749823022009</v>
      </c>
      <c r="Z1287" t="str">
        <f>HYPERLINK("Melting_Curves/meltCurve_sp_P62942_FKB1A_HUMAN_.pdf", "Melting_Curves/meltCurve_sp_P62942_FKB1A_HUMAN_.pdf")</f>
        <v>Melting_Curves/meltCurve_sp_P62942_FKB1A_HUMAN_.pdf</v>
      </c>
      <c r="AA1287" t="s">
        <v>12760</v>
      </c>
      <c r="AB1287" t="s">
        <v>16527</v>
      </c>
    </row>
    <row r="1288" spans="1:28" x14ac:dyDescent="0.25">
      <c r="A1288" t="s">
        <v>1292</v>
      </c>
      <c r="B1288">
        <v>0.98876768158843997</v>
      </c>
      <c r="C1288">
        <v>1.0149541785307199</v>
      </c>
      <c r="D1288">
        <v>0.860580605130425</v>
      </c>
      <c r="E1288">
        <v>0.78644939326470598</v>
      </c>
      <c r="F1288">
        <v>0.77490986816824503</v>
      </c>
      <c r="G1288">
        <v>0.48488277710912497</v>
      </c>
      <c r="H1288">
        <v>0.180907830556093</v>
      </c>
      <c r="I1288">
        <v>0.12904406121060499</v>
      </c>
      <c r="J1288">
        <v>9.8587223713927793E-2</v>
      </c>
      <c r="K1288">
        <v>0.107218410540102</v>
      </c>
      <c r="L1288">
        <v>783.66493730095704</v>
      </c>
      <c r="M1288">
        <v>13.9568502620718</v>
      </c>
      <c r="N1288">
        <v>56.170744980290699</v>
      </c>
      <c r="O1288">
        <v>55.034118344657998</v>
      </c>
      <c r="P1288">
        <v>-6.3239558528951106E-2</v>
      </c>
      <c r="Q1288">
        <v>2.6787433919857702E-3</v>
      </c>
      <c r="R1288">
        <v>0.97847909440521397</v>
      </c>
      <c r="S1288" t="s">
        <v>5120</v>
      </c>
      <c r="T1288" t="s">
        <v>7662</v>
      </c>
      <c r="U1288" t="s">
        <v>7662</v>
      </c>
      <c r="V1288" t="s">
        <v>7662</v>
      </c>
      <c r="W1288">
        <v>11</v>
      </c>
      <c r="X1288" t="s">
        <v>8950</v>
      </c>
      <c r="Y1288">
        <v>0.55792822180549939</v>
      </c>
      <c r="Z1288" t="str">
        <f>HYPERLINK("Melting_Curves/meltCurve_sp_P62993_GRB2_HUMAN_.pdf", "Melting_Curves/meltCurve_sp_P62993_GRB2_HUMAN_.pdf")</f>
        <v>Melting_Curves/meltCurve_sp_P62993_GRB2_HUMAN_.pdf</v>
      </c>
      <c r="AA1288" t="s">
        <v>12761</v>
      </c>
      <c r="AB1288" t="s">
        <v>16528</v>
      </c>
    </row>
    <row r="1289" spans="1:28" x14ac:dyDescent="0.25">
      <c r="A1289" t="s">
        <v>1293</v>
      </c>
      <c r="B1289">
        <v>0.98876768158843997</v>
      </c>
      <c r="C1289">
        <v>1.16960237366477</v>
      </c>
      <c r="D1289">
        <v>1.11134026675845</v>
      </c>
      <c r="E1289">
        <v>0.88441172500388399</v>
      </c>
      <c r="F1289">
        <v>0.88475914920702303</v>
      </c>
      <c r="G1289">
        <v>0.53958407885395099</v>
      </c>
      <c r="H1289">
        <v>0.579169060920249</v>
      </c>
      <c r="I1289">
        <v>0.70178298021923702</v>
      </c>
      <c r="J1289">
        <v>0.86553030030175604</v>
      </c>
      <c r="K1289">
        <v>0.92586990244872802</v>
      </c>
      <c r="L1289">
        <v>1999.3719584830101</v>
      </c>
      <c r="M1289">
        <v>38.542000221679501</v>
      </c>
      <c r="O1289">
        <v>51.736086622139602</v>
      </c>
      <c r="P1289">
        <v>-5.0363088454006402E-2</v>
      </c>
      <c r="Q1289">
        <v>0.72958509570933305</v>
      </c>
      <c r="R1289">
        <v>0.55862340559992696</v>
      </c>
      <c r="S1289" t="s">
        <v>5121</v>
      </c>
      <c r="T1289" t="s">
        <v>7662</v>
      </c>
      <c r="U1289" t="s">
        <v>7662</v>
      </c>
      <c r="V1289" t="s">
        <v>7662</v>
      </c>
      <c r="W1289">
        <v>2</v>
      </c>
      <c r="X1289" t="s">
        <v>8951</v>
      </c>
      <c r="Y1289">
        <v>0.83767004273666812</v>
      </c>
      <c r="Z1289" t="str">
        <f>HYPERLINK("Melting_Curves/meltCurve_sp_P62995_3_TRA2B_HUMAN_.pdf", "Melting_Curves/meltCurve_sp_P62995_3_TRA2B_HUMAN_.pdf")</f>
        <v>Melting_Curves/meltCurve_sp_P62995_3_TRA2B_HUMAN_.pdf</v>
      </c>
      <c r="AA1289" t="s">
        <v>12762</v>
      </c>
      <c r="AB1289" t="s">
        <v>16529</v>
      </c>
    </row>
    <row r="1290" spans="1:28" x14ac:dyDescent="0.25">
      <c r="A1290" t="s">
        <v>1294</v>
      </c>
      <c r="B1290">
        <v>0.98876768158843997</v>
      </c>
      <c r="C1290">
        <v>1.0569986596032199</v>
      </c>
      <c r="D1290">
        <v>0.83290927176789797</v>
      </c>
      <c r="E1290">
        <v>0.65896315045839604</v>
      </c>
      <c r="F1290">
        <v>0.235510697941064</v>
      </c>
      <c r="G1290">
        <v>5.9117707675862198E-2</v>
      </c>
      <c r="H1290">
        <v>2.98717614186951E-2</v>
      </c>
      <c r="I1290">
        <v>2.1541772193764699E-2</v>
      </c>
      <c r="J1290">
        <v>2.6183631785478799E-2</v>
      </c>
      <c r="K1290">
        <v>2.27737115078229E-2</v>
      </c>
      <c r="L1290">
        <v>1284.1614566747501</v>
      </c>
      <c r="M1290">
        <v>25.279291510672</v>
      </c>
      <c r="N1290">
        <v>50.854944660814198</v>
      </c>
      <c r="O1290">
        <v>50.484254169531198</v>
      </c>
      <c r="P1290">
        <v>-0.12346745407958901</v>
      </c>
      <c r="Q1290">
        <v>1.37251043904671E-2</v>
      </c>
      <c r="R1290">
        <v>0.98897046788802401</v>
      </c>
      <c r="S1290" t="s">
        <v>5122</v>
      </c>
      <c r="T1290" t="s">
        <v>7662</v>
      </c>
      <c r="U1290" t="s">
        <v>7662</v>
      </c>
      <c r="V1290" t="s">
        <v>7662</v>
      </c>
      <c r="W1290">
        <v>9</v>
      </c>
      <c r="X1290" t="s">
        <v>8952</v>
      </c>
      <c r="Y1290">
        <v>0.37744677624827272</v>
      </c>
      <c r="Z1290" t="str">
        <f>HYPERLINK("Melting_Curves/meltCurve_sp_P63000_RAC1_HUMAN_.pdf", "Melting_Curves/meltCurve_sp_P63000_RAC1_HUMAN_.pdf")</f>
        <v>Melting_Curves/meltCurve_sp_P63000_RAC1_HUMAN_.pdf</v>
      </c>
      <c r="AA1290" t="s">
        <v>12763</v>
      </c>
      <c r="AB1290" t="s">
        <v>16530</v>
      </c>
    </row>
    <row r="1291" spans="1:28" x14ac:dyDescent="0.25">
      <c r="A1291" t="s">
        <v>1295</v>
      </c>
      <c r="B1291">
        <v>0.98876768158843997</v>
      </c>
      <c r="C1291">
        <v>1.3139301516805599</v>
      </c>
      <c r="D1291">
        <v>1.3002414940007301</v>
      </c>
      <c r="E1291">
        <v>0.95443831008938695</v>
      </c>
      <c r="F1291">
        <v>0.56429963568591501</v>
      </c>
      <c r="G1291">
        <v>0.20857607083916799</v>
      </c>
      <c r="H1291">
        <v>6.4468937732398202E-2</v>
      </c>
      <c r="I1291">
        <v>5.4011549574185698E-2</v>
      </c>
      <c r="J1291">
        <v>5.6589407578604103E-2</v>
      </c>
      <c r="K1291">
        <v>3.9517201271538398E-2</v>
      </c>
      <c r="L1291">
        <v>1860.5499854664299</v>
      </c>
      <c r="M1291">
        <v>34.808467880483803</v>
      </c>
      <c r="N1291">
        <v>53.643698479198697</v>
      </c>
      <c r="O1291">
        <v>53.275601395480003</v>
      </c>
      <c r="P1291">
        <v>-0.153746018551742</v>
      </c>
      <c r="Q1291">
        <v>5.8748741034259498E-2</v>
      </c>
      <c r="R1291">
        <v>0.92456393654231805</v>
      </c>
      <c r="S1291" t="s">
        <v>5123</v>
      </c>
      <c r="T1291" t="s">
        <v>7662</v>
      </c>
      <c r="U1291" t="s">
        <v>7662</v>
      </c>
      <c r="V1291" t="s">
        <v>7662</v>
      </c>
      <c r="W1291">
        <v>22</v>
      </c>
      <c r="X1291" t="s">
        <v>8953</v>
      </c>
      <c r="Y1291">
        <v>0.48535991701092612</v>
      </c>
      <c r="Z1291" t="str">
        <f>HYPERLINK("Melting_Curves/meltCurve_sp_P63010_AP2B1_HUMAN_.pdf", "Melting_Curves/meltCurve_sp_P63010_AP2B1_HUMAN_.pdf")</f>
        <v>Melting_Curves/meltCurve_sp_P63010_AP2B1_HUMAN_.pdf</v>
      </c>
      <c r="AA1291" t="s">
        <v>12764</v>
      </c>
      <c r="AB1291" t="s">
        <v>16531</v>
      </c>
    </row>
    <row r="1292" spans="1:28" x14ac:dyDescent="0.25">
      <c r="A1292" t="s">
        <v>1296</v>
      </c>
      <c r="B1292">
        <v>0.98876768158843997</v>
      </c>
      <c r="C1292">
        <v>1.0541122266943601</v>
      </c>
      <c r="D1292">
        <v>0.90193184281775196</v>
      </c>
      <c r="E1292">
        <v>0.875243083019282</v>
      </c>
      <c r="F1292">
        <v>0.94451577103465501</v>
      </c>
      <c r="G1292">
        <v>0.67626406864684796</v>
      </c>
      <c r="H1292">
        <v>0.32113208700048501</v>
      </c>
      <c r="I1292">
        <v>7.9113120545791296E-2</v>
      </c>
      <c r="J1292">
        <v>6.2108223372452802E-2</v>
      </c>
      <c r="K1292">
        <v>6.1962275354621899E-2</v>
      </c>
      <c r="L1292">
        <v>1393.46193902505</v>
      </c>
      <c r="M1292">
        <v>23.746546125602698</v>
      </c>
      <c r="N1292">
        <v>58.741284941974001</v>
      </c>
      <c r="O1292">
        <v>58.2692268035089</v>
      </c>
      <c r="P1292">
        <v>-0.100650452223445</v>
      </c>
      <c r="Q1292">
        <v>1.2112888969905901E-2</v>
      </c>
      <c r="R1292">
        <v>0.98168942441561702</v>
      </c>
      <c r="S1292" t="s">
        <v>5124</v>
      </c>
      <c r="T1292" t="s">
        <v>7662</v>
      </c>
      <c r="U1292" t="s">
        <v>7662</v>
      </c>
      <c r="V1292" t="s">
        <v>7662</v>
      </c>
      <c r="W1292">
        <v>21</v>
      </c>
      <c r="X1292" t="s">
        <v>8954</v>
      </c>
      <c r="Y1292">
        <v>0.63606565109567081</v>
      </c>
      <c r="Z1292" t="str">
        <f>HYPERLINK("Melting_Curves/meltCurve_sp_P63104_1433Z_HUMAN_.pdf", "Melting_Curves/meltCurve_sp_P63104_1433Z_HUMAN_.pdf")</f>
        <v>Melting_Curves/meltCurve_sp_P63104_1433Z_HUMAN_.pdf</v>
      </c>
      <c r="AA1292" t="s">
        <v>12765</v>
      </c>
      <c r="AB1292" t="s">
        <v>16532</v>
      </c>
    </row>
    <row r="1293" spans="1:28" x14ac:dyDescent="0.25">
      <c r="A1293" t="s">
        <v>1297</v>
      </c>
      <c r="B1293">
        <v>0.98876768158843997</v>
      </c>
      <c r="C1293">
        <v>1.0167652179892299</v>
      </c>
      <c r="D1293">
        <v>0.99708254535428698</v>
      </c>
      <c r="E1293">
        <v>0.93253848495150005</v>
      </c>
      <c r="F1293">
        <v>0.55826397148220497</v>
      </c>
      <c r="G1293">
        <v>0.25421515482421397</v>
      </c>
      <c r="H1293">
        <v>9.4375496427100705E-2</v>
      </c>
      <c r="I1293">
        <v>8.3155873832891497E-2</v>
      </c>
      <c r="J1293">
        <v>0.10601632194782901</v>
      </c>
      <c r="K1293">
        <v>7.3904312535320996E-2</v>
      </c>
      <c r="L1293">
        <v>1555.88829183954</v>
      </c>
      <c r="M1293">
        <v>29.130660626509201</v>
      </c>
      <c r="N1293">
        <v>53.7637333695641</v>
      </c>
      <c r="O1293">
        <v>53.160870129268197</v>
      </c>
      <c r="P1293">
        <v>-0.125067812883848</v>
      </c>
      <c r="Q1293">
        <v>8.7055948217644896E-2</v>
      </c>
      <c r="R1293">
        <v>0.99630934609339405</v>
      </c>
      <c r="S1293" t="s">
        <v>5125</v>
      </c>
      <c r="T1293" t="s">
        <v>7662</v>
      </c>
      <c r="U1293" t="s">
        <v>7662</v>
      </c>
      <c r="V1293" t="s">
        <v>7662</v>
      </c>
      <c r="W1293">
        <v>7</v>
      </c>
      <c r="X1293" t="s">
        <v>8955</v>
      </c>
      <c r="Y1293">
        <v>0.50146589359680094</v>
      </c>
      <c r="Z1293" t="str">
        <f>HYPERLINK("Melting_Curves/meltCurve_sp_P63151_2ABA_HUMAN_.pdf", "Melting_Curves/meltCurve_sp_P63151_2ABA_HUMAN_.pdf")</f>
        <v>Melting_Curves/meltCurve_sp_P63151_2ABA_HUMAN_.pdf</v>
      </c>
      <c r="AA1293" t="s">
        <v>12766</v>
      </c>
      <c r="AB1293" t="s">
        <v>16533</v>
      </c>
    </row>
    <row r="1294" spans="1:28" x14ac:dyDescent="0.25">
      <c r="A1294" t="s">
        <v>1298</v>
      </c>
      <c r="B1294">
        <v>0.98876768158843997</v>
      </c>
      <c r="C1294">
        <v>1.0622534516931199</v>
      </c>
      <c r="D1294">
        <v>0.96920997837318101</v>
      </c>
      <c r="E1294">
        <v>0.76986191819946703</v>
      </c>
      <c r="F1294">
        <v>0.68278915591873202</v>
      </c>
      <c r="G1294">
        <v>0.24371065923037499</v>
      </c>
      <c r="H1294">
        <v>9.65140678108002E-2</v>
      </c>
      <c r="I1294">
        <v>6.5648124702636895E-2</v>
      </c>
      <c r="J1294">
        <v>4.7527180229343199E-2</v>
      </c>
      <c r="K1294">
        <v>4.2294950383258902E-2</v>
      </c>
      <c r="L1294">
        <v>1098.4669062507301</v>
      </c>
      <c r="M1294">
        <v>20.3079950347264</v>
      </c>
      <c r="N1294">
        <v>54.2079478004148</v>
      </c>
      <c r="O1294">
        <v>53.5740730642299</v>
      </c>
      <c r="P1294">
        <v>-9.2726927701520107E-2</v>
      </c>
      <c r="Q1294">
        <v>2.15465721306397E-2</v>
      </c>
      <c r="R1294">
        <v>0.99023270863502799</v>
      </c>
      <c r="S1294" t="s">
        <v>5126</v>
      </c>
      <c r="T1294" t="s">
        <v>7662</v>
      </c>
      <c r="U1294" t="s">
        <v>7662</v>
      </c>
      <c r="V1294" t="s">
        <v>7662</v>
      </c>
      <c r="W1294">
        <v>3</v>
      </c>
      <c r="X1294" t="s">
        <v>8956</v>
      </c>
      <c r="Y1294">
        <v>0.49406208233328119</v>
      </c>
      <c r="Z1294" t="str">
        <f>HYPERLINK("Melting_Curves/meltCurve_sp_P63167_DYL1_HUMAN_.pdf", "Melting_Curves/meltCurve_sp_P63167_DYL1_HUMAN_.pdf")</f>
        <v>Melting_Curves/meltCurve_sp_P63167_DYL1_HUMAN_.pdf</v>
      </c>
      <c r="AA1294" t="s">
        <v>12767</v>
      </c>
      <c r="AB1294" t="s">
        <v>16534</v>
      </c>
    </row>
    <row r="1295" spans="1:28" x14ac:dyDescent="0.25">
      <c r="A1295" t="s">
        <v>1299</v>
      </c>
      <c r="B1295">
        <v>0.98876768158843997</v>
      </c>
      <c r="C1295">
        <v>1.0568247876255199</v>
      </c>
      <c r="D1295">
        <v>1.20042049381564</v>
      </c>
      <c r="E1295">
        <v>1.1672853822422</v>
      </c>
      <c r="F1295">
        <v>0.936076815659316</v>
      </c>
      <c r="G1295">
        <v>0.92367335390196303</v>
      </c>
      <c r="H1295">
        <v>0.90084813057674096</v>
      </c>
      <c r="I1295">
        <v>0.99160346523140597</v>
      </c>
      <c r="J1295">
        <v>1.4932723619717001</v>
      </c>
      <c r="K1295">
        <v>1.6868149898803899</v>
      </c>
      <c r="L1295">
        <v>15000</v>
      </c>
      <c r="M1295">
        <v>228.02887315050299</v>
      </c>
      <c r="O1295">
        <v>65.776083358775296</v>
      </c>
      <c r="P1295">
        <v>0.43334305739760898</v>
      </c>
      <c r="Q1295">
        <v>1.5</v>
      </c>
      <c r="R1295">
        <v>0.79811378526116095</v>
      </c>
      <c r="S1295" t="s">
        <v>5127</v>
      </c>
      <c r="T1295" t="s">
        <v>7662</v>
      </c>
      <c r="U1295" t="s">
        <v>7662</v>
      </c>
      <c r="V1295" t="s">
        <v>7662</v>
      </c>
      <c r="W1295">
        <v>2</v>
      </c>
      <c r="X1295" t="s">
        <v>8957</v>
      </c>
      <c r="Y1295">
        <v>1.070244898055922</v>
      </c>
      <c r="Z1295" t="str">
        <f>HYPERLINK("Melting_Curves/meltCurve_sp_P63173_RL38_HUMAN_.pdf", "Melting_Curves/meltCurve_sp_P63173_RL38_HUMAN_.pdf")</f>
        <v>Melting_Curves/meltCurve_sp_P63173_RL38_HUMAN_.pdf</v>
      </c>
      <c r="AA1295" t="s">
        <v>12768</v>
      </c>
      <c r="AB1295" t="s">
        <v>16535</v>
      </c>
    </row>
    <row r="1296" spans="1:28" x14ac:dyDescent="0.25">
      <c r="A1296" t="s">
        <v>1300</v>
      </c>
      <c r="B1296">
        <v>0.98876768158843997</v>
      </c>
      <c r="C1296">
        <v>0.99745106831575103</v>
      </c>
      <c r="D1296">
        <v>0.615284672689278</v>
      </c>
      <c r="E1296">
        <v>0.29703051411848402</v>
      </c>
      <c r="F1296">
        <v>0.147361125529547</v>
      </c>
      <c r="G1296">
        <v>8.4199618991845804E-2</v>
      </c>
      <c r="H1296">
        <v>4.7816851214067799E-2</v>
      </c>
      <c r="I1296">
        <v>4.2091963664515897E-2</v>
      </c>
      <c r="J1296">
        <v>5.2848431566788402E-2</v>
      </c>
      <c r="K1296">
        <v>4.6127486763927299E-2</v>
      </c>
      <c r="L1296">
        <v>1053.32660888225</v>
      </c>
      <c r="M1296">
        <v>22.262556068884098</v>
      </c>
      <c r="N1296">
        <v>47.550114462332203</v>
      </c>
      <c r="O1296">
        <v>46.937025234999297</v>
      </c>
      <c r="P1296">
        <v>-0.11237018578419999</v>
      </c>
      <c r="Q1296">
        <v>5.2362200235381698E-2</v>
      </c>
      <c r="R1296">
        <v>0.99150977971077303</v>
      </c>
      <c r="S1296" t="s">
        <v>5128</v>
      </c>
      <c r="T1296" t="s">
        <v>7662</v>
      </c>
      <c r="U1296" t="s">
        <v>7662</v>
      </c>
      <c r="V1296" t="s">
        <v>7662</v>
      </c>
      <c r="W1296">
        <v>8</v>
      </c>
      <c r="X1296" t="s">
        <v>8958</v>
      </c>
      <c r="Y1296">
        <v>0.29423751703869061</v>
      </c>
      <c r="Z1296" t="str">
        <f>HYPERLINK("Melting_Curves/meltCurve_sp_P63244_GBLP_HUMAN_.pdf", "Melting_Curves/meltCurve_sp_P63244_GBLP_HUMAN_.pdf")</f>
        <v>Melting_Curves/meltCurve_sp_P63244_GBLP_HUMAN_.pdf</v>
      </c>
      <c r="AA1296" t="s">
        <v>12769</v>
      </c>
      <c r="AB1296" t="s">
        <v>16536</v>
      </c>
    </row>
    <row r="1297" spans="1:28" x14ac:dyDescent="0.25">
      <c r="A1297" t="s">
        <v>1301</v>
      </c>
      <c r="B1297">
        <v>0.98876768158843997</v>
      </c>
      <c r="C1297">
        <v>0.83509284225576996</v>
      </c>
      <c r="D1297">
        <v>0.39403860352720199</v>
      </c>
      <c r="E1297">
        <v>0.16022829477428899</v>
      </c>
      <c r="F1297">
        <v>7.7027546865106794E-2</v>
      </c>
      <c r="G1297">
        <v>4.6390244596682402E-2</v>
      </c>
      <c r="H1297">
        <v>3.18122426540512E-2</v>
      </c>
      <c r="I1297">
        <v>2.1237148065204901E-2</v>
      </c>
      <c r="J1297">
        <v>2.0548668125545799E-2</v>
      </c>
      <c r="K1297">
        <v>1.92612058404667E-2</v>
      </c>
      <c r="L1297">
        <v>1157.2924791862799</v>
      </c>
      <c r="M1297">
        <v>25.5428265873431</v>
      </c>
      <c r="N1297">
        <v>45.438129672212398</v>
      </c>
      <c r="O1297">
        <v>45.032953666942603</v>
      </c>
      <c r="P1297">
        <v>-0.13679868330981401</v>
      </c>
      <c r="Q1297">
        <v>3.5287236597004501E-2</v>
      </c>
      <c r="R1297">
        <v>0.99584850233668798</v>
      </c>
      <c r="S1297" t="s">
        <v>5129</v>
      </c>
      <c r="T1297" t="s">
        <v>7662</v>
      </c>
      <c r="U1297" t="s">
        <v>7662</v>
      </c>
      <c r="V1297" t="s">
        <v>7662</v>
      </c>
      <c r="W1297">
        <v>26</v>
      </c>
      <c r="X1297" t="s">
        <v>8959</v>
      </c>
      <c r="Y1297">
        <v>0.21484733904438419</v>
      </c>
      <c r="Z1297" t="str">
        <f>HYPERLINK("Melting_Curves/meltCurve_sp_P63261_ACTG_HUMAN_.pdf", "Melting_Curves/meltCurve_sp_P63261_ACTG_HUMAN_.pdf")</f>
        <v>Melting_Curves/meltCurve_sp_P63261_ACTG_HUMAN_.pdf</v>
      </c>
      <c r="AA1297" t="s">
        <v>12770</v>
      </c>
      <c r="AB1297" t="s">
        <v>16537</v>
      </c>
    </row>
    <row r="1298" spans="1:28" x14ac:dyDescent="0.25">
      <c r="A1298" t="s">
        <v>1302</v>
      </c>
      <c r="B1298">
        <v>0.98876768158843997</v>
      </c>
      <c r="C1298">
        <v>0.70626773661624298</v>
      </c>
      <c r="D1298">
        <v>0.79742458176187003</v>
      </c>
      <c r="E1298">
        <v>0.45061086207842399</v>
      </c>
      <c r="F1298">
        <v>0.41357624645331698</v>
      </c>
      <c r="G1298">
        <v>0.27005726107128097</v>
      </c>
      <c r="H1298">
        <v>0.15877581948682701</v>
      </c>
      <c r="I1298">
        <v>0.20299544765459299</v>
      </c>
      <c r="J1298">
        <v>9.2708065811114695E-2</v>
      </c>
      <c r="K1298">
        <v>0.244751417088726</v>
      </c>
      <c r="L1298">
        <v>541.17604844116602</v>
      </c>
      <c r="M1298">
        <v>11.1341420904287</v>
      </c>
      <c r="N1298">
        <v>49.935870832129197</v>
      </c>
      <c r="O1298">
        <v>47.116244552432498</v>
      </c>
      <c r="P1298">
        <v>-5.15105241371277E-2</v>
      </c>
      <c r="Q1298">
        <v>0.12837439821770699</v>
      </c>
      <c r="R1298">
        <v>0.93767355274318198</v>
      </c>
      <c r="S1298" t="s">
        <v>5130</v>
      </c>
      <c r="T1298" t="s">
        <v>7662</v>
      </c>
      <c r="U1298" t="s">
        <v>7662</v>
      </c>
      <c r="V1298" t="s">
        <v>7662</v>
      </c>
      <c r="W1298">
        <v>1</v>
      </c>
      <c r="X1298" t="s">
        <v>8960</v>
      </c>
      <c r="Y1298">
        <v>0.41557439557268172</v>
      </c>
      <c r="Z1298" t="str">
        <f>HYPERLINK("Melting_Curves/meltCurve_sp_P63302_SELW_HUMAN_.pdf", "Melting_Curves/meltCurve_sp_P63302_SELW_HUMAN_.pdf")</f>
        <v>Melting_Curves/meltCurve_sp_P63302_SELW_HUMAN_.pdf</v>
      </c>
      <c r="AA1298" t="s">
        <v>12771</v>
      </c>
      <c r="AB1298" t="s">
        <v>16538</v>
      </c>
    </row>
    <row r="1299" spans="1:28" x14ac:dyDescent="0.25">
      <c r="A1299" t="s">
        <v>1303</v>
      </c>
      <c r="B1299">
        <v>0.98876768158843997</v>
      </c>
      <c r="C1299">
        <v>1.2123087581845799</v>
      </c>
      <c r="D1299">
        <v>0.88273192813560097</v>
      </c>
      <c r="E1299">
        <v>0.85550217252155603</v>
      </c>
      <c r="F1299">
        <v>1.06392051070725</v>
      </c>
      <c r="G1299">
        <v>0.71259502055736401</v>
      </c>
      <c r="H1299">
        <v>0.53732814603225998</v>
      </c>
      <c r="I1299">
        <v>0.66393181242398702</v>
      </c>
      <c r="J1299">
        <v>0.71424785745507702</v>
      </c>
      <c r="K1299">
        <v>1.00295997259311</v>
      </c>
      <c r="L1299">
        <v>8541.9721980878494</v>
      </c>
      <c r="M1299">
        <v>154.75049165037001</v>
      </c>
      <c r="O1299">
        <v>55.189135476102599</v>
      </c>
      <c r="P1299">
        <v>-0.19218061293281399</v>
      </c>
      <c r="Q1299">
        <v>0.72584819235966302</v>
      </c>
      <c r="R1299">
        <v>0.484122334016654</v>
      </c>
      <c r="S1299" t="s">
        <v>5131</v>
      </c>
      <c r="T1299" t="s">
        <v>7662</v>
      </c>
      <c r="U1299" t="s">
        <v>7662</v>
      </c>
      <c r="V1299" t="s">
        <v>7662</v>
      </c>
      <c r="W1299">
        <v>3</v>
      </c>
      <c r="X1299" t="s">
        <v>8961</v>
      </c>
      <c r="Y1299">
        <v>0.86480605639954211</v>
      </c>
      <c r="Z1299" t="str">
        <f>HYPERLINK("Melting_Curves/meltCurve_sp_P63313_TYB10_HUMAN_.pdf", "Melting_Curves/meltCurve_sp_P63313_TYB10_HUMAN_.pdf")</f>
        <v>Melting_Curves/meltCurve_sp_P63313_TYB10_HUMAN_.pdf</v>
      </c>
      <c r="AA1299" t="s">
        <v>12772</v>
      </c>
      <c r="AB1299" t="s">
        <v>16539</v>
      </c>
    </row>
    <row r="1300" spans="1:28" x14ac:dyDescent="0.25">
      <c r="A1300" t="s">
        <v>1304</v>
      </c>
      <c r="B1300">
        <v>0.98876768158843997</v>
      </c>
      <c r="C1300">
        <v>1.5445003668030799</v>
      </c>
      <c r="D1300">
        <v>1.2920041622139</v>
      </c>
      <c r="E1300">
        <v>1.3891782773563901</v>
      </c>
      <c r="F1300">
        <v>1.89701726176598</v>
      </c>
      <c r="G1300">
        <v>1.00738548413809</v>
      </c>
      <c r="H1300">
        <v>0.45829232803294001</v>
      </c>
      <c r="I1300">
        <v>0.196268743129594</v>
      </c>
      <c r="J1300">
        <v>0.16626528351275199</v>
      </c>
      <c r="K1300">
        <v>8.8090373382269299E-2</v>
      </c>
      <c r="L1300">
        <v>3876.4366329874201</v>
      </c>
      <c r="M1300">
        <v>64.047324552309405</v>
      </c>
      <c r="N1300">
        <v>60.835374273862598</v>
      </c>
      <c r="O1300">
        <v>60.465647023099002</v>
      </c>
      <c r="P1300">
        <v>-0.227857517476699</v>
      </c>
      <c r="Q1300">
        <v>0.13953955467245399</v>
      </c>
      <c r="R1300">
        <v>0.63797392228697802</v>
      </c>
      <c r="S1300" t="s">
        <v>5132</v>
      </c>
      <c r="T1300" t="s">
        <v>7662</v>
      </c>
      <c r="U1300" t="s">
        <v>7662</v>
      </c>
      <c r="V1300" t="s">
        <v>7662</v>
      </c>
      <c r="W1300">
        <v>11</v>
      </c>
      <c r="X1300" t="s">
        <v>8962</v>
      </c>
      <c r="Y1300">
        <v>0.72961602581735863</v>
      </c>
      <c r="Z1300" t="str">
        <f>HYPERLINK("Melting_Curves/meltCurve_sp_P67775_PP2AA_HUMAN_.pdf", "Melting_Curves/meltCurve_sp_P67775_PP2AA_HUMAN_.pdf")</f>
        <v>Melting_Curves/meltCurve_sp_P67775_PP2AA_HUMAN_.pdf</v>
      </c>
      <c r="AA1300" t="s">
        <v>12773</v>
      </c>
      <c r="AB1300" t="s">
        <v>16540</v>
      </c>
    </row>
    <row r="1301" spans="1:28" x14ac:dyDescent="0.25">
      <c r="A1301" t="s">
        <v>1305</v>
      </c>
      <c r="B1301">
        <v>0.98876768158843997</v>
      </c>
      <c r="C1301">
        <v>0.89363112996608596</v>
      </c>
      <c r="D1301">
        <v>0.93806049814477999</v>
      </c>
      <c r="E1301">
        <v>0.89354809621531694</v>
      </c>
      <c r="F1301">
        <v>0.70123043454451295</v>
      </c>
      <c r="G1301">
        <v>0.60326053904781896</v>
      </c>
      <c r="H1301">
        <v>0.49596389844655497</v>
      </c>
      <c r="I1301">
        <v>0.59110738865845402</v>
      </c>
      <c r="J1301">
        <v>0.64221514895722498</v>
      </c>
      <c r="K1301">
        <v>0.85546848504613204</v>
      </c>
      <c r="L1301">
        <v>2142.5201485480602</v>
      </c>
      <c r="M1301">
        <v>42.0237102693944</v>
      </c>
      <c r="O1301">
        <v>50.8685355328303</v>
      </c>
      <c r="P1301">
        <v>-7.4894141502858197E-2</v>
      </c>
      <c r="Q1301">
        <v>0.63737133307559202</v>
      </c>
      <c r="R1301">
        <v>0.67981321742431999</v>
      </c>
      <c r="S1301" t="s">
        <v>5133</v>
      </c>
      <c r="T1301" t="s">
        <v>7662</v>
      </c>
      <c r="U1301" t="s">
        <v>7662</v>
      </c>
      <c r="V1301" t="s">
        <v>7662</v>
      </c>
      <c r="W1301">
        <v>5</v>
      </c>
      <c r="X1301" t="s">
        <v>8963</v>
      </c>
      <c r="Y1301">
        <v>0.77129392898298688</v>
      </c>
      <c r="Z1301" t="str">
        <f>HYPERLINK("Melting_Curves/meltCurve_sp_P67809_YBOX1_HUMAN_.pdf", "Melting_Curves/meltCurve_sp_P67809_YBOX1_HUMAN_.pdf")</f>
        <v>Melting_Curves/meltCurve_sp_P67809_YBOX1_HUMAN_.pdf</v>
      </c>
      <c r="AA1301" t="s">
        <v>12774</v>
      </c>
      <c r="AB1301" t="s">
        <v>16541</v>
      </c>
    </row>
    <row r="1302" spans="1:28" x14ac:dyDescent="0.25">
      <c r="A1302" t="s">
        <v>1306</v>
      </c>
      <c r="B1302">
        <v>0.98876768158843997</v>
      </c>
      <c r="C1302">
        <v>0.88986607666913298</v>
      </c>
      <c r="D1302">
        <v>1.0172900568752601</v>
      </c>
      <c r="E1302">
        <v>0.80789162343259202</v>
      </c>
      <c r="F1302">
        <v>0.37940519524956701</v>
      </c>
      <c r="G1302">
        <v>0.14651900416435301</v>
      </c>
      <c r="H1302">
        <v>8.9472818195794598E-2</v>
      </c>
      <c r="I1302">
        <v>8.0560068313035998E-2</v>
      </c>
      <c r="J1302">
        <v>0.21215944872557599</v>
      </c>
      <c r="K1302">
        <v>8.0671502198220502E-2</v>
      </c>
      <c r="L1302">
        <v>1917.7265214108199</v>
      </c>
      <c r="M1302">
        <v>37.049621171854</v>
      </c>
      <c r="N1302">
        <v>52.130731322812899</v>
      </c>
      <c r="O1302">
        <v>51.610925015706997</v>
      </c>
      <c r="P1302">
        <v>-0.15873205332477899</v>
      </c>
      <c r="Q1302">
        <v>0.115533729173157</v>
      </c>
      <c r="R1302">
        <v>0.98284541148391003</v>
      </c>
      <c r="S1302" t="s">
        <v>5134</v>
      </c>
      <c r="T1302" t="s">
        <v>7662</v>
      </c>
      <c r="U1302" t="s">
        <v>7662</v>
      </c>
      <c r="V1302" t="s">
        <v>7662</v>
      </c>
      <c r="W1302">
        <v>4</v>
      </c>
      <c r="X1302" t="s">
        <v>8964</v>
      </c>
      <c r="Y1302">
        <v>0.46596515533415361</v>
      </c>
      <c r="Z1302" t="str">
        <f>HYPERLINK("Melting_Curves/meltCurve_sp_P67870_CSK2B_HUMAN_.pdf", "Melting_Curves/meltCurve_sp_P67870_CSK2B_HUMAN_.pdf")</f>
        <v>Melting_Curves/meltCurve_sp_P67870_CSK2B_HUMAN_.pdf</v>
      </c>
      <c r="AA1302" t="s">
        <v>12775</v>
      </c>
      <c r="AB1302" t="s">
        <v>16542</v>
      </c>
    </row>
    <row r="1303" spans="1:28" x14ac:dyDescent="0.25">
      <c r="A1303" t="s">
        <v>1307</v>
      </c>
      <c r="B1303">
        <v>0.98876768158843997</v>
      </c>
      <c r="C1303">
        <v>0.96818473333657895</v>
      </c>
      <c r="D1303">
        <v>0.87106431312043497</v>
      </c>
      <c r="E1303">
        <v>0.74017579872578998</v>
      </c>
      <c r="F1303">
        <v>0.79631575015765799</v>
      </c>
      <c r="G1303">
        <v>0.58851743844025295</v>
      </c>
      <c r="H1303">
        <v>0.47491258437379502</v>
      </c>
      <c r="I1303">
        <v>0.54238144221394402</v>
      </c>
      <c r="J1303">
        <v>0.55461237854572898</v>
      </c>
      <c r="K1303">
        <v>0.70555756824009197</v>
      </c>
      <c r="L1303">
        <v>723.58885821715398</v>
      </c>
      <c r="M1303">
        <v>14.562562824380301</v>
      </c>
      <c r="O1303">
        <v>48.779514210032403</v>
      </c>
      <c r="P1303">
        <v>-3.2628004668044101E-2</v>
      </c>
      <c r="Q1303">
        <v>0.56287978487950996</v>
      </c>
      <c r="R1303">
        <v>0.83948941399303401</v>
      </c>
      <c r="S1303" t="s">
        <v>5135</v>
      </c>
      <c r="T1303" t="s">
        <v>7662</v>
      </c>
      <c r="U1303" t="s">
        <v>7662</v>
      </c>
      <c r="V1303" t="s">
        <v>7662</v>
      </c>
      <c r="W1303">
        <v>26</v>
      </c>
      <c r="X1303" t="s">
        <v>8965</v>
      </c>
      <c r="Y1303">
        <v>0.71514974573245127</v>
      </c>
      <c r="Z1303" t="str">
        <f>HYPERLINK("Melting_Curves/meltCurve_sp_P67936_TPM4_HUMAN_.pdf", "Melting_Curves/meltCurve_sp_P67936_TPM4_HUMAN_.pdf")</f>
        <v>Melting_Curves/meltCurve_sp_P67936_TPM4_HUMAN_.pdf</v>
      </c>
      <c r="AA1303" t="s">
        <v>12776</v>
      </c>
      <c r="AB1303" t="s">
        <v>16543</v>
      </c>
    </row>
    <row r="1304" spans="1:28" x14ac:dyDescent="0.25">
      <c r="A1304" t="s">
        <v>1308</v>
      </c>
      <c r="B1304">
        <v>0.98876768158843997</v>
      </c>
      <c r="C1304">
        <v>1.0052552303951101</v>
      </c>
      <c r="D1304">
        <v>0.83258246782579104</v>
      </c>
      <c r="E1304">
        <v>0.62117553254342295</v>
      </c>
      <c r="F1304">
        <v>0.68822660104077404</v>
      </c>
      <c r="G1304">
        <v>0.45296911198919998</v>
      </c>
      <c r="H1304">
        <v>0.335691529542825</v>
      </c>
      <c r="I1304">
        <v>0.318579948648466</v>
      </c>
      <c r="J1304">
        <v>0.26988947525460599</v>
      </c>
      <c r="K1304">
        <v>0.27352239096821901</v>
      </c>
      <c r="L1304">
        <v>552.76887615553801</v>
      </c>
      <c r="M1304">
        <v>10.473642320682901</v>
      </c>
      <c r="N1304">
        <v>55.567027369703403</v>
      </c>
      <c r="O1304">
        <v>50.962009258070097</v>
      </c>
      <c r="P1304">
        <v>-4.0890449796696302E-2</v>
      </c>
      <c r="Q1304">
        <v>0.20447506429737</v>
      </c>
      <c r="R1304">
        <v>0.96748461633279803</v>
      </c>
      <c r="S1304" t="s">
        <v>5136</v>
      </c>
      <c r="T1304" t="s">
        <v>7662</v>
      </c>
      <c r="U1304" t="s">
        <v>7662</v>
      </c>
      <c r="V1304" t="s">
        <v>7662</v>
      </c>
      <c r="W1304">
        <v>9</v>
      </c>
      <c r="X1304" t="s">
        <v>8966</v>
      </c>
      <c r="Y1304">
        <v>0.5699626864111581</v>
      </c>
      <c r="Z1304" t="str">
        <f>HYPERLINK("Melting_Curves/meltCurve_sp_P68036_UB2L3_HUMAN_.pdf", "Melting_Curves/meltCurve_sp_P68036_UB2L3_HUMAN_.pdf")</f>
        <v>Melting_Curves/meltCurve_sp_P68036_UB2L3_HUMAN_.pdf</v>
      </c>
      <c r="AA1304" t="s">
        <v>12777</v>
      </c>
      <c r="AB1304" t="s">
        <v>16544</v>
      </c>
    </row>
    <row r="1305" spans="1:28" x14ac:dyDescent="0.25">
      <c r="A1305" t="s">
        <v>1309</v>
      </c>
      <c r="B1305">
        <v>0.98876768158843997</v>
      </c>
      <c r="C1305">
        <v>0.82146208712914504</v>
      </c>
      <c r="D1305">
        <v>0.39582904864746199</v>
      </c>
      <c r="E1305">
        <v>0.156714439760059</v>
      </c>
      <c r="F1305">
        <v>0.10278905973797001</v>
      </c>
      <c r="G1305">
        <v>5.9645626451444098E-2</v>
      </c>
      <c r="H1305">
        <v>3.8016671885880003E-2</v>
      </c>
      <c r="I1305">
        <v>3.15614734311696E-2</v>
      </c>
      <c r="J1305">
        <v>3.8867375999116001E-2</v>
      </c>
      <c r="K1305">
        <v>3.34773734430815E-2</v>
      </c>
      <c r="L1305">
        <v>1150.4263331023101</v>
      </c>
      <c r="M1305">
        <v>25.4477350122093</v>
      </c>
      <c r="N1305">
        <v>45.389865667912701</v>
      </c>
      <c r="O1305">
        <v>44.9310221137141</v>
      </c>
      <c r="P1305">
        <v>-0.13471137557462401</v>
      </c>
      <c r="Q1305">
        <v>4.8615723761085902E-2</v>
      </c>
      <c r="R1305">
        <v>0.99629364748716598</v>
      </c>
      <c r="S1305" t="s">
        <v>5137</v>
      </c>
      <c r="T1305" t="s">
        <v>7662</v>
      </c>
      <c r="U1305" t="s">
        <v>7662</v>
      </c>
      <c r="V1305" t="s">
        <v>7662</v>
      </c>
      <c r="W1305">
        <v>18</v>
      </c>
      <c r="X1305" t="s">
        <v>8967</v>
      </c>
      <c r="Y1305">
        <v>0.22266232617947809</v>
      </c>
      <c r="Z1305" t="str">
        <f>HYPERLINK("Melting_Curves/meltCurve_sp_P68133_ACTS_HUMAN_.pdf", "Melting_Curves/meltCurve_sp_P68133_ACTS_HUMAN_.pdf")</f>
        <v>Melting_Curves/meltCurve_sp_P68133_ACTS_HUMAN_.pdf</v>
      </c>
      <c r="AA1305" t="s">
        <v>12778</v>
      </c>
      <c r="AB1305" t="s">
        <v>16545</v>
      </c>
    </row>
    <row r="1306" spans="1:28" x14ac:dyDescent="0.25">
      <c r="A1306" t="s">
        <v>1310</v>
      </c>
      <c r="B1306">
        <v>0.98876768158843997</v>
      </c>
      <c r="C1306">
        <v>0.82078306642444099</v>
      </c>
      <c r="D1306">
        <v>0.70383316741084501</v>
      </c>
      <c r="E1306">
        <v>0.42919674744662001</v>
      </c>
      <c r="F1306">
        <v>0.26014085032508899</v>
      </c>
      <c r="G1306">
        <v>0.150420555600457</v>
      </c>
      <c r="H1306">
        <v>9.0416150873936493E-2</v>
      </c>
      <c r="I1306">
        <v>7.31706556847284E-2</v>
      </c>
      <c r="J1306">
        <v>4.9801747327650997E-2</v>
      </c>
      <c r="K1306">
        <v>4.6680565899041099E-2</v>
      </c>
      <c r="L1306">
        <v>653.31524583394696</v>
      </c>
      <c r="M1306">
        <v>13.448108896793499</v>
      </c>
      <c r="N1306">
        <v>48.813922143611201</v>
      </c>
      <c r="O1306">
        <v>47.543971898885502</v>
      </c>
      <c r="P1306">
        <v>-6.8522108269022705E-2</v>
      </c>
      <c r="Q1306">
        <v>3.11473756053583E-2</v>
      </c>
      <c r="R1306">
        <v>0.99689778361519299</v>
      </c>
      <c r="S1306" t="s">
        <v>5138</v>
      </c>
      <c r="T1306" t="s">
        <v>7662</v>
      </c>
      <c r="U1306" t="s">
        <v>7662</v>
      </c>
      <c r="V1306" t="s">
        <v>7662</v>
      </c>
      <c r="W1306">
        <v>15</v>
      </c>
      <c r="X1306" t="s">
        <v>8968</v>
      </c>
      <c r="Y1306">
        <v>0.33809489504134799</v>
      </c>
      <c r="Z1306" t="str">
        <f>HYPERLINK("Melting_Curves/meltCurve_sp_P68363_TBA1B_HUMAN_.pdf", "Melting_Curves/meltCurve_sp_P68363_TBA1B_HUMAN_.pdf")</f>
        <v>Melting_Curves/meltCurve_sp_P68363_TBA1B_HUMAN_.pdf</v>
      </c>
      <c r="AA1306" t="s">
        <v>12779</v>
      </c>
      <c r="AB1306" t="s">
        <v>16546</v>
      </c>
    </row>
    <row r="1307" spans="1:28" x14ac:dyDescent="0.25">
      <c r="A1307" t="s">
        <v>1311</v>
      </c>
      <c r="B1307">
        <v>0.98876768158843997</v>
      </c>
      <c r="C1307">
        <v>0.74914952431931903</v>
      </c>
      <c r="D1307">
        <v>0.66246244742960303</v>
      </c>
      <c r="E1307">
        <v>0.348098285807589</v>
      </c>
      <c r="F1307">
        <v>0.16497945735390199</v>
      </c>
      <c r="G1307">
        <v>8.1359498036930294E-2</v>
      </c>
      <c r="H1307">
        <v>5.2497742113437502E-2</v>
      </c>
      <c r="I1307">
        <v>4.9582861147243702E-2</v>
      </c>
      <c r="J1307">
        <v>6.00455805978913E-2</v>
      </c>
      <c r="K1307">
        <v>5.7385064452822501E-2</v>
      </c>
      <c r="L1307">
        <v>711.144261702074</v>
      </c>
      <c r="M1307">
        <v>15.029079761746701</v>
      </c>
      <c r="N1307">
        <v>47.523596383443397</v>
      </c>
      <c r="O1307">
        <v>46.5038644462226</v>
      </c>
      <c r="P1307">
        <v>-7.8258012089315807E-2</v>
      </c>
      <c r="Q1307">
        <v>3.1495177901583599E-2</v>
      </c>
      <c r="R1307">
        <v>0.98836076674564599</v>
      </c>
      <c r="S1307" t="s">
        <v>5139</v>
      </c>
      <c r="T1307" t="s">
        <v>7662</v>
      </c>
      <c r="U1307" t="s">
        <v>7662</v>
      </c>
      <c r="V1307" t="s">
        <v>7662</v>
      </c>
      <c r="W1307">
        <v>19</v>
      </c>
      <c r="X1307" t="s">
        <v>8969</v>
      </c>
      <c r="Y1307">
        <v>0.29346029950515368</v>
      </c>
      <c r="Z1307" t="str">
        <f>HYPERLINK("Melting_Curves/meltCurve_sp_P68371_TBB4B_HUMAN_.pdf", "Melting_Curves/meltCurve_sp_P68371_TBB4B_HUMAN_.pdf")</f>
        <v>Melting_Curves/meltCurve_sp_P68371_TBB4B_HUMAN_.pdf</v>
      </c>
      <c r="AA1307" t="s">
        <v>12780</v>
      </c>
      <c r="AB1307" t="s">
        <v>16547</v>
      </c>
    </row>
    <row r="1308" spans="1:28" x14ac:dyDescent="0.25">
      <c r="A1308" t="s">
        <v>1312</v>
      </c>
      <c r="B1308">
        <v>0.98876768158843997</v>
      </c>
      <c r="C1308">
        <v>1.33070040584704</v>
      </c>
      <c r="D1308">
        <v>0.93499058608077501</v>
      </c>
      <c r="E1308">
        <v>0.97258488912739005</v>
      </c>
      <c r="F1308">
        <v>1.1719369146267999</v>
      </c>
      <c r="G1308">
        <v>0.53815983939077106</v>
      </c>
      <c r="H1308">
        <v>0.383782467968659</v>
      </c>
      <c r="I1308">
        <v>0.31492518883762499</v>
      </c>
      <c r="J1308">
        <v>0.33918373888099801</v>
      </c>
      <c r="K1308">
        <v>0.36297899321427501</v>
      </c>
      <c r="L1308">
        <v>14198.752213665301</v>
      </c>
      <c r="M1308">
        <v>250</v>
      </c>
      <c r="N1308">
        <v>57.0701840061243</v>
      </c>
      <c r="O1308">
        <v>56.791353368929997</v>
      </c>
      <c r="P1308">
        <v>-0.71509804287116296</v>
      </c>
      <c r="Q1308">
        <v>0.35021758897055699</v>
      </c>
      <c r="R1308">
        <v>0.89055194738339305</v>
      </c>
      <c r="S1308" t="s">
        <v>5140</v>
      </c>
      <c r="T1308" t="s">
        <v>7662</v>
      </c>
      <c r="U1308" t="s">
        <v>7662</v>
      </c>
      <c r="V1308" t="s">
        <v>7662</v>
      </c>
      <c r="W1308">
        <v>3</v>
      </c>
      <c r="X1308" t="s">
        <v>8970</v>
      </c>
      <c r="Y1308">
        <v>0.71405240050906893</v>
      </c>
      <c r="Z1308" t="str">
        <f>HYPERLINK("Melting_Curves/meltCurve_sp_P68402_PA1B2_HUMAN_.pdf", "Melting_Curves/meltCurve_sp_P68402_PA1B2_HUMAN_.pdf")</f>
        <v>Melting_Curves/meltCurve_sp_P68402_PA1B2_HUMAN_.pdf</v>
      </c>
      <c r="AA1308" t="s">
        <v>12781</v>
      </c>
      <c r="AB1308" t="s">
        <v>16548</v>
      </c>
    </row>
    <row r="1309" spans="1:28" x14ac:dyDescent="0.25">
      <c r="A1309" t="s">
        <v>1313</v>
      </c>
      <c r="B1309">
        <v>0.98876768158843997</v>
      </c>
      <c r="C1309">
        <v>1.0186325827201701</v>
      </c>
      <c r="D1309">
        <v>0.88010067555714599</v>
      </c>
      <c r="E1309">
        <v>0.61773226838453499</v>
      </c>
      <c r="F1309">
        <v>0.334166968870036</v>
      </c>
      <c r="G1309">
        <v>0.102000913763288</v>
      </c>
      <c r="H1309">
        <v>5.4716771675348302E-2</v>
      </c>
      <c r="I1309">
        <v>4.8879345653283501E-2</v>
      </c>
      <c r="J1309">
        <v>7.7987201600944106E-2</v>
      </c>
      <c r="K1309">
        <v>8.0063896402642207E-2</v>
      </c>
      <c r="L1309">
        <v>1132.42254859787</v>
      </c>
      <c r="M1309">
        <v>22.294902065417901</v>
      </c>
      <c r="N1309">
        <v>51.046376083834801</v>
      </c>
      <c r="O1309">
        <v>50.3895482756866</v>
      </c>
      <c r="P1309">
        <v>-0.10481869855677201</v>
      </c>
      <c r="Q1309">
        <v>5.2401343823042699E-2</v>
      </c>
      <c r="R1309">
        <v>0.99666445705148998</v>
      </c>
      <c r="S1309" t="s">
        <v>5141</v>
      </c>
      <c r="T1309" t="s">
        <v>7662</v>
      </c>
      <c r="U1309" t="s">
        <v>7662</v>
      </c>
      <c r="V1309" t="s">
        <v>7662</v>
      </c>
      <c r="W1309">
        <v>3</v>
      </c>
      <c r="X1309" t="s">
        <v>8971</v>
      </c>
      <c r="Y1309">
        <v>0.40400161527536299</v>
      </c>
      <c r="Z1309" t="str">
        <f>HYPERLINK("Melting_Curves/meltCurve_sp_P78314_3BP2_HUMAN_.pdf", "Melting_Curves/meltCurve_sp_P78314_3BP2_HUMAN_.pdf")</f>
        <v>Melting_Curves/meltCurve_sp_P78314_3BP2_HUMAN_.pdf</v>
      </c>
      <c r="AA1309" t="s">
        <v>12782</v>
      </c>
      <c r="AB1309" t="s">
        <v>16549</v>
      </c>
    </row>
    <row r="1310" spans="1:28" x14ac:dyDescent="0.25">
      <c r="A1310" t="s">
        <v>1314</v>
      </c>
      <c r="B1310">
        <v>0.98876768158843997</v>
      </c>
      <c r="C1310">
        <v>1.0948478096474801</v>
      </c>
      <c r="D1310">
        <v>0.83291579164451401</v>
      </c>
      <c r="E1310">
        <v>0.71489811363619304</v>
      </c>
      <c r="F1310">
        <v>0.80901925266785701</v>
      </c>
      <c r="G1310">
        <v>0.58748323047885498</v>
      </c>
      <c r="H1310">
        <v>0.39397585449344202</v>
      </c>
      <c r="I1310">
        <v>0.42087953093483299</v>
      </c>
      <c r="J1310">
        <v>0.39193842348151497</v>
      </c>
      <c r="K1310">
        <v>0.56110340244226098</v>
      </c>
      <c r="L1310">
        <v>692.52181592504098</v>
      </c>
      <c r="M1310">
        <v>13.2233480620999</v>
      </c>
      <c r="N1310">
        <v>60.420869944010001</v>
      </c>
      <c r="O1310">
        <v>51.216871446360599</v>
      </c>
      <c r="P1310">
        <v>-3.7822065900168199E-2</v>
      </c>
      <c r="Q1310">
        <v>0.41412493043716098</v>
      </c>
      <c r="R1310">
        <v>0.86492629756382799</v>
      </c>
      <c r="S1310" t="s">
        <v>5142</v>
      </c>
      <c r="T1310" t="s">
        <v>7662</v>
      </c>
      <c r="U1310" t="s">
        <v>7662</v>
      </c>
      <c r="V1310" t="s">
        <v>7662</v>
      </c>
      <c r="W1310">
        <v>3</v>
      </c>
      <c r="X1310" t="s">
        <v>8972</v>
      </c>
      <c r="Y1310">
        <v>0.67115802363274735</v>
      </c>
      <c r="Z1310" t="str">
        <f>HYPERLINK("Melting_Curves/meltCurve_sp_P78318_IGBP1_HUMAN_.pdf", "Melting_Curves/meltCurve_sp_P78318_IGBP1_HUMAN_.pdf")</f>
        <v>Melting_Curves/meltCurve_sp_P78318_IGBP1_HUMAN_.pdf</v>
      </c>
      <c r="AA1310" t="s">
        <v>12783</v>
      </c>
      <c r="AB1310" t="s">
        <v>16550</v>
      </c>
    </row>
    <row r="1311" spans="1:28" x14ac:dyDescent="0.25">
      <c r="A1311" t="s">
        <v>1315</v>
      </c>
      <c r="B1311">
        <v>0.98876768158843997</v>
      </c>
      <c r="C1311">
        <v>0.86125873486438997</v>
      </c>
      <c r="D1311">
        <v>0.84076991960298997</v>
      </c>
      <c r="E1311">
        <v>0.437326623777471</v>
      </c>
      <c r="F1311">
        <v>0.25112838256617998</v>
      </c>
      <c r="G1311">
        <v>0.145429682810297</v>
      </c>
      <c r="H1311">
        <v>0.11338545709339599</v>
      </c>
      <c r="I1311">
        <v>0.101465610279247</v>
      </c>
      <c r="J1311">
        <v>9.2804872088124296E-2</v>
      </c>
      <c r="K1311">
        <v>7.7092535332786705E-2</v>
      </c>
      <c r="L1311">
        <v>926.93031243111</v>
      </c>
      <c r="M1311">
        <v>18.9398539793713</v>
      </c>
      <c r="N1311">
        <v>49.424214389578502</v>
      </c>
      <c r="O1311">
        <v>48.404938400782399</v>
      </c>
      <c r="P1311">
        <v>-8.9551605847471405E-2</v>
      </c>
      <c r="Q1311">
        <v>8.4562220806728705E-2</v>
      </c>
      <c r="R1311">
        <v>0.99227005084086595</v>
      </c>
      <c r="S1311" t="s">
        <v>5143</v>
      </c>
      <c r="T1311" t="s">
        <v>7662</v>
      </c>
      <c r="U1311" t="s">
        <v>7662</v>
      </c>
      <c r="V1311" t="s">
        <v>7662</v>
      </c>
      <c r="W1311">
        <v>3</v>
      </c>
      <c r="X1311" t="s">
        <v>8973</v>
      </c>
      <c r="Y1311">
        <v>0.37171513792887861</v>
      </c>
      <c r="Z1311" t="str">
        <f>HYPERLINK("Melting_Curves/meltCurve_sp_P78329_CP4F2_HUMAN_.pdf", "Melting_Curves/meltCurve_sp_P78329_CP4F2_HUMAN_.pdf")</f>
        <v>Melting_Curves/meltCurve_sp_P78329_CP4F2_HUMAN_.pdf</v>
      </c>
      <c r="AA1311" t="s">
        <v>12784</v>
      </c>
      <c r="AB1311" t="s">
        <v>16551</v>
      </c>
    </row>
    <row r="1312" spans="1:28" x14ac:dyDescent="0.25">
      <c r="A1312" t="s">
        <v>1316</v>
      </c>
      <c r="B1312">
        <v>0.98876768158843997</v>
      </c>
      <c r="C1312">
        <v>1.06292064192432</v>
      </c>
      <c r="D1312">
        <v>0.83935388343111705</v>
      </c>
      <c r="E1312">
        <v>0.65283551861721101</v>
      </c>
      <c r="F1312">
        <v>0.70275495170747604</v>
      </c>
      <c r="G1312">
        <v>0.48271964379645899</v>
      </c>
      <c r="H1312">
        <v>0.31391252018348398</v>
      </c>
      <c r="I1312">
        <v>0.29761133134413098</v>
      </c>
      <c r="J1312">
        <v>0.29505649379396898</v>
      </c>
      <c r="K1312">
        <v>0.27520333529179097</v>
      </c>
      <c r="L1312">
        <v>607.73864306817404</v>
      </c>
      <c r="M1312">
        <v>11.4312235325235</v>
      </c>
      <c r="N1312">
        <v>55.900570464222803</v>
      </c>
      <c r="O1312">
        <v>51.615799706928598</v>
      </c>
      <c r="P1312">
        <v>-4.35179534305477E-2</v>
      </c>
      <c r="Q1312">
        <v>0.21423586745758599</v>
      </c>
      <c r="R1312">
        <v>0.95875514115923099</v>
      </c>
      <c r="S1312" t="s">
        <v>5144</v>
      </c>
      <c r="T1312" t="s">
        <v>7662</v>
      </c>
      <c r="U1312" t="s">
        <v>7662</v>
      </c>
      <c r="V1312" t="s">
        <v>7662</v>
      </c>
      <c r="W1312">
        <v>21</v>
      </c>
      <c r="X1312" t="s">
        <v>8974</v>
      </c>
      <c r="Y1312">
        <v>0.58229319941016444</v>
      </c>
      <c r="Z1312" t="str">
        <f>HYPERLINK("Melting_Curves/meltCurve_sp_P78347_2_GTF2I_HUMAN_.pdf", "Melting_Curves/meltCurve_sp_P78347_2_GTF2I_HUMAN_.pdf")</f>
        <v>Melting_Curves/meltCurve_sp_P78347_2_GTF2I_HUMAN_.pdf</v>
      </c>
      <c r="AA1312" t="s">
        <v>12785</v>
      </c>
      <c r="AB1312" t="s">
        <v>16552</v>
      </c>
    </row>
    <row r="1313" spans="1:28" x14ac:dyDescent="0.25">
      <c r="A1313" t="s">
        <v>1317</v>
      </c>
      <c r="B1313">
        <v>0.98876768158843997</v>
      </c>
      <c r="C1313">
        <v>1.09848388498341</v>
      </c>
      <c r="D1313">
        <v>1.15579361445143</v>
      </c>
      <c r="E1313">
        <v>1.0863149511980501</v>
      </c>
      <c r="F1313">
        <v>0.52567582949575398</v>
      </c>
      <c r="G1313">
        <v>0.15435343108154501</v>
      </c>
      <c r="H1313">
        <v>6.3163049969302498E-2</v>
      </c>
      <c r="I1313">
        <v>5.72415883064262E-2</v>
      </c>
      <c r="J1313">
        <v>5.6577506926420301E-2</v>
      </c>
      <c r="K1313">
        <v>5.4124465256827001E-2</v>
      </c>
      <c r="L1313">
        <v>13247.0428722168</v>
      </c>
      <c r="M1313">
        <v>250</v>
      </c>
      <c r="N1313">
        <v>53.023693839804501</v>
      </c>
      <c r="O1313">
        <v>52.984760918908599</v>
      </c>
      <c r="P1313">
        <v>-1.0886475239314199</v>
      </c>
      <c r="Q1313">
        <v>7.70919958365891E-2</v>
      </c>
      <c r="R1313">
        <v>0.97836737054471901</v>
      </c>
      <c r="S1313" t="s">
        <v>5145</v>
      </c>
      <c r="T1313" t="s">
        <v>7662</v>
      </c>
      <c r="U1313" t="s">
        <v>7662</v>
      </c>
      <c r="V1313" t="s">
        <v>7662</v>
      </c>
      <c r="W1313">
        <v>21</v>
      </c>
      <c r="X1313" t="s">
        <v>8975</v>
      </c>
      <c r="Y1313">
        <v>0.47674073442223119</v>
      </c>
      <c r="Z1313" t="str">
        <f>HYPERLINK("Melting_Curves/meltCurve_sp_P78371_TCPB_HUMAN_.pdf", "Melting_Curves/meltCurve_sp_P78371_TCPB_HUMAN_.pdf")</f>
        <v>Melting_Curves/meltCurve_sp_P78371_TCPB_HUMAN_.pdf</v>
      </c>
      <c r="AA1313" t="s">
        <v>12786</v>
      </c>
      <c r="AB1313" t="s">
        <v>16553</v>
      </c>
    </row>
    <row r="1314" spans="1:28" x14ac:dyDescent="0.25">
      <c r="A1314" t="s">
        <v>1318</v>
      </c>
      <c r="B1314">
        <v>0.98876768158843997</v>
      </c>
      <c r="C1314">
        <v>0.94599280794085805</v>
      </c>
      <c r="D1314">
        <v>0.75541970100931399</v>
      </c>
      <c r="E1314">
        <v>0.44093145368360498</v>
      </c>
      <c r="F1314">
        <v>0.27029239392005</v>
      </c>
      <c r="G1314">
        <v>0.12132424441894001</v>
      </c>
      <c r="H1314">
        <v>9.9891012445396998E-2</v>
      </c>
      <c r="I1314">
        <v>9.1545433452121502E-2</v>
      </c>
      <c r="J1314">
        <v>9.56495181961656E-2</v>
      </c>
      <c r="K1314">
        <v>8.9347001316178704E-2</v>
      </c>
      <c r="L1314">
        <v>889.30870124126602</v>
      </c>
      <c r="M1314">
        <v>18.235213483632499</v>
      </c>
      <c r="N1314">
        <v>49.244985967590402</v>
      </c>
      <c r="O1314">
        <v>48.193599576036902</v>
      </c>
      <c r="P1314">
        <v>-8.6951067770678694E-2</v>
      </c>
      <c r="Q1314">
        <v>8.0835817696149295E-2</v>
      </c>
      <c r="R1314">
        <v>0.99894612407432803</v>
      </c>
      <c r="S1314" t="s">
        <v>5146</v>
      </c>
      <c r="T1314" t="s">
        <v>7662</v>
      </c>
      <c r="U1314" t="s">
        <v>7662</v>
      </c>
      <c r="V1314" t="s">
        <v>7662</v>
      </c>
      <c r="W1314">
        <v>3</v>
      </c>
      <c r="X1314" t="s">
        <v>8976</v>
      </c>
      <c r="Y1314">
        <v>0.36508032714594102</v>
      </c>
      <c r="Z1314" t="str">
        <f>HYPERLINK("Melting_Curves/meltCurve_sp_P78406_RAE1L_HUMAN_.pdf", "Melting_Curves/meltCurve_sp_P78406_RAE1L_HUMAN_.pdf")</f>
        <v>Melting_Curves/meltCurve_sp_P78406_RAE1L_HUMAN_.pdf</v>
      </c>
      <c r="AA1314" t="s">
        <v>12787</v>
      </c>
      <c r="AB1314" t="s">
        <v>16554</v>
      </c>
    </row>
    <row r="1315" spans="1:28" x14ac:dyDescent="0.25">
      <c r="A1315" t="s">
        <v>1319</v>
      </c>
      <c r="B1315">
        <v>0.98876768158843997</v>
      </c>
      <c r="C1315">
        <v>1.0571485485312699</v>
      </c>
      <c r="D1315">
        <v>0.85266042832327305</v>
      </c>
      <c r="E1315">
        <v>0.77962046239689597</v>
      </c>
      <c r="F1315">
        <v>0.85846333218635895</v>
      </c>
      <c r="G1315">
        <v>0.49292896071470299</v>
      </c>
      <c r="H1315">
        <v>0.212573403996837</v>
      </c>
      <c r="I1315">
        <v>0.122349803525862</v>
      </c>
      <c r="J1315">
        <v>8.8976174854649995E-2</v>
      </c>
      <c r="K1315">
        <v>6.5986562036337904E-2</v>
      </c>
      <c r="L1315">
        <v>886.78874788018095</v>
      </c>
      <c r="M1315">
        <v>15.626384168325099</v>
      </c>
      <c r="N1315">
        <v>56.749452637190601</v>
      </c>
      <c r="O1315">
        <v>55.844439119689198</v>
      </c>
      <c r="P1315">
        <v>-6.9960985728219294E-2</v>
      </c>
      <c r="Q1315">
        <v>0</v>
      </c>
      <c r="R1315">
        <v>0.96825419260872603</v>
      </c>
      <c r="S1315" t="s">
        <v>5147</v>
      </c>
      <c r="T1315" t="s">
        <v>7662</v>
      </c>
      <c r="U1315" t="s">
        <v>7662</v>
      </c>
      <c r="V1315" t="s">
        <v>7662</v>
      </c>
      <c r="W1315">
        <v>20</v>
      </c>
      <c r="X1315" t="s">
        <v>8977</v>
      </c>
      <c r="Y1315">
        <v>0.57419932156733289</v>
      </c>
      <c r="Z1315" t="str">
        <f>HYPERLINK("Melting_Curves/meltCurve_sp_P78417_GSTO1_HUMAN_.pdf", "Melting_Curves/meltCurve_sp_P78417_GSTO1_HUMAN_.pdf")</f>
        <v>Melting_Curves/meltCurve_sp_P78417_GSTO1_HUMAN_.pdf</v>
      </c>
      <c r="AA1315" t="s">
        <v>12788</v>
      </c>
      <c r="AB1315" t="s">
        <v>16555</v>
      </c>
    </row>
    <row r="1316" spans="1:28" x14ac:dyDescent="0.25">
      <c r="A1316" t="s">
        <v>1320</v>
      </c>
      <c r="B1316">
        <v>0.98876768158843997</v>
      </c>
      <c r="C1316">
        <v>1.1736778367680201</v>
      </c>
      <c r="D1316">
        <v>0.84406285044607099</v>
      </c>
      <c r="E1316">
        <v>0.76137977005973301</v>
      </c>
      <c r="F1316">
        <v>0.75532505199700395</v>
      </c>
      <c r="G1316">
        <v>0.59568535907800901</v>
      </c>
      <c r="H1316">
        <v>0.38532275648692799</v>
      </c>
      <c r="I1316">
        <v>0.415879637892064</v>
      </c>
      <c r="J1316">
        <v>0.42409815913104998</v>
      </c>
      <c r="K1316">
        <v>0.62805499842892298</v>
      </c>
      <c r="L1316">
        <v>864.39668506983298</v>
      </c>
      <c r="M1316">
        <v>16.686294485624899</v>
      </c>
      <c r="N1316">
        <v>60.994248824682103</v>
      </c>
      <c r="O1316">
        <v>51.075928428882698</v>
      </c>
      <c r="P1316">
        <v>-4.4143707038806899E-2</v>
      </c>
      <c r="Q1316">
        <v>0.459549042866714</v>
      </c>
      <c r="R1316">
        <v>0.83377912717672098</v>
      </c>
      <c r="S1316" t="s">
        <v>5148</v>
      </c>
      <c r="T1316" t="s">
        <v>7662</v>
      </c>
      <c r="U1316" t="s">
        <v>7662</v>
      </c>
      <c r="V1316" t="s">
        <v>7662</v>
      </c>
      <c r="W1316">
        <v>1</v>
      </c>
      <c r="X1316" t="s">
        <v>8978</v>
      </c>
      <c r="Y1316">
        <v>0.68242801319391866</v>
      </c>
      <c r="Z1316" t="str">
        <f>HYPERLINK("Melting_Curves/meltCurve_sp_P78524_ST5_HUMAN_.pdf", "Melting_Curves/meltCurve_sp_P78524_ST5_HUMAN_.pdf")</f>
        <v>Melting_Curves/meltCurve_sp_P78524_ST5_HUMAN_.pdf</v>
      </c>
      <c r="AA1316" t="s">
        <v>12789</v>
      </c>
      <c r="AB1316" t="s">
        <v>16556</v>
      </c>
    </row>
    <row r="1317" spans="1:28" x14ac:dyDescent="0.25">
      <c r="A1317" t="s">
        <v>1321</v>
      </c>
      <c r="B1317">
        <v>0.98876768158843997</v>
      </c>
      <c r="C1317">
        <v>0.93561627451343099</v>
      </c>
      <c r="D1317">
        <v>0.94027691899735799</v>
      </c>
      <c r="E1317">
        <v>0.346945200256984</v>
      </c>
      <c r="F1317">
        <v>0.17572363632917501</v>
      </c>
      <c r="G1317">
        <v>9.6972029026162601E-2</v>
      </c>
      <c r="H1317">
        <v>7.0101198861720906E-2</v>
      </c>
      <c r="I1317">
        <v>6.2107903792567198E-2</v>
      </c>
      <c r="J1317">
        <v>6.4032842658687902E-2</v>
      </c>
      <c r="K1317">
        <v>4.9758506980820801E-2</v>
      </c>
      <c r="L1317">
        <v>1713.9186696225199</v>
      </c>
      <c r="M1317">
        <v>35.0300863925914</v>
      </c>
      <c r="N1317">
        <v>49.147495490634903</v>
      </c>
      <c r="O1317">
        <v>48.768420655719503</v>
      </c>
      <c r="P1317">
        <v>-0.16651878875538101</v>
      </c>
      <c r="Q1317">
        <v>7.2702289854146201E-2</v>
      </c>
      <c r="R1317">
        <v>0.99481084568216505</v>
      </c>
      <c r="S1317" t="s">
        <v>5149</v>
      </c>
      <c r="T1317" t="s">
        <v>7662</v>
      </c>
      <c r="U1317" t="s">
        <v>7662</v>
      </c>
      <c r="V1317" t="s">
        <v>7662</v>
      </c>
      <c r="W1317">
        <v>13</v>
      </c>
      <c r="X1317" t="s">
        <v>8979</v>
      </c>
      <c r="Y1317">
        <v>0.35274660784449741</v>
      </c>
      <c r="Z1317" t="str">
        <f>HYPERLINK("Melting_Curves/meltCurve_sp_P78527_PRKDC_HUMAN_.pdf", "Melting_Curves/meltCurve_sp_P78527_PRKDC_HUMAN_.pdf")</f>
        <v>Melting_Curves/meltCurve_sp_P78527_PRKDC_HUMAN_.pdf</v>
      </c>
      <c r="AA1317" t="s">
        <v>12790</v>
      </c>
      <c r="AB1317" t="s">
        <v>16557</v>
      </c>
    </row>
    <row r="1318" spans="1:28" x14ac:dyDescent="0.25">
      <c r="A1318" t="s">
        <v>1322</v>
      </c>
      <c r="B1318">
        <v>0.98876768158843997</v>
      </c>
      <c r="C1318">
        <v>0.81474624219854797</v>
      </c>
      <c r="D1318">
        <v>0.62078024343337301</v>
      </c>
      <c r="E1318">
        <v>0.55121748567358098</v>
      </c>
      <c r="F1318">
        <v>8.7861494490374503E-2</v>
      </c>
      <c r="G1318">
        <v>6.2034070792784897E-2</v>
      </c>
      <c r="H1318">
        <v>3.8728380029170499E-2</v>
      </c>
      <c r="I1318">
        <v>6.9056397491190899E-2</v>
      </c>
      <c r="J1318">
        <v>0</v>
      </c>
      <c r="K1318">
        <v>6.19366585667286E-2</v>
      </c>
      <c r="L1318">
        <v>697.97815423097597</v>
      </c>
      <c r="M1318">
        <v>14.457500414200499</v>
      </c>
      <c r="N1318">
        <v>48.299521311588499</v>
      </c>
      <c r="O1318">
        <v>47.3824821219971</v>
      </c>
      <c r="P1318">
        <v>-7.6044015839564202E-2</v>
      </c>
      <c r="Q1318">
        <v>3.2213271679793899E-3</v>
      </c>
      <c r="R1318">
        <v>0.95394828787294506</v>
      </c>
      <c r="S1318" t="s">
        <v>5150</v>
      </c>
      <c r="T1318" t="s">
        <v>7662</v>
      </c>
      <c r="U1318" t="s">
        <v>7662</v>
      </c>
      <c r="V1318" t="s">
        <v>7662</v>
      </c>
      <c r="W1318">
        <v>2</v>
      </c>
      <c r="X1318" t="s">
        <v>8980</v>
      </c>
      <c r="Y1318">
        <v>0.30546677076183759</v>
      </c>
      <c r="Z1318" t="str">
        <f>HYPERLINK("Melting_Curves/meltCurve_sp_P78560_CRADD_HUMAN_.pdf", "Melting_Curves/meltCurve_sp_P78560_CRADD_HUMAN_.pdf")</f>
        <v>Melting_Curves/meltCurve_sp_P78560_CRADD_HUMAN_.pdf</v>
      </c>
      <c r="AA1318" t="s">
        <v>12791</v>
      </c>
      <c r="AB1318" t="s">
        <v>16558</v>
      </c>
    </row>
    <row r="1319" spans="1:28" x14ac:dyDescent="0.25">
      <c r="A1319" t="s">
        <v>1323</v>
      </c>
      <c r="B1319">
        <v>0.98876768158843997</v>
      </c>
      <c r="C1319">
        <v>0.94402908874618796</v>
      </c>
      <c r="D1319">
        <v>0.81477947545672902</v>
      </c>
      <c r="E1319">
        <v>0.72653799947418296</v>
      </c>
      <c r="F1319">
        <v>0.61715097908451799</v>
      </c>
      <c r="G1319">
        <v>0.50552647758881297</v>
      </c>
      <c r="H1319">
        <v>0.35336062285298903</v>
      </c>
      <c r="I1319">
        <v>0.43244380211964101</v>
      </c>
      <c r="J1319">
        <v>0.42235500012756699</v>
      </c>
      <c r="K1319">
        <v>0.498774661762244</v>
      </c>
      <c r="L1319">
        <v>678.49645947377201</v>
      </c>
      <c r="M1319">
        <v>13.6141346916825</v>
      </c>
      <c r="N1319">
        <v>57.0075905800594</v>
      </c>
      <c r="O1319">
        <v>48.799233042155898</v>
      </c>
      <c r="P1319">
        <v>-4.1171870649318702E-2</v>
      </c>
      <c r="Q1319">
        <v>0.40977247657639398</v>
      </c>
      <c r="R1319">
        <v>0.95739805606737605</v>
      </c>
      <c r="S1319" t="s">
        <v>5151</v>
      </c>
      <c r="T1319" t="s">
        <v>7662</v>
      </c>
      <c r="U1319" t="s">
        <v>7662</v>
      </c>
      <c r="V1319" t="s">
        <v>7662</v>
      </c>
      <c r="W1319">
        <v>2</v>
      </c>
      <c r="X1319" t="s">
        <v>8981</v>
      </c>
      <c r="Y1319">
        <v>0.62008335993447927</v>
      </c>
      <c r="Z1319" t="str">
        <f>HYPERLINK("Melting_Curves/meltCurve_sp_P80188_2_NGAL_HUMAN_.pdf", "Melting_Curves/meltCurve_sp_P80188_2_NGAL_HUMAN_.pdf")</f>
        <v>Melting_Curves/meltCurve_sp_P80188_2_NGAL_HUMAN_.pdf</v>
      </c>
      <c r="AA1319" t="s">
        <v>12792</v>
      </c>
      <c r="AB1319" t="s">
        <v>16559</v>
      </c>
    </row>
    <row r="1320" spans="1:28" x14ac:dyDescent="0.25">
      <c r="A1320" t="s">
        <v>1324</v>
      </c>
      <c r="B1320">
        <v>0.98876768158843997</v>
      </c>
      <c r="C1320">
        <v>0.97641821957387498</v>
      </c>
      <c r="D1320">
        <v>1.00986829919876</v>
      </c>
      <c r="E1320">
        <v>0.88417654511367305</v>
      </c>
      <c r="F1320">
        <v>0.60222781908519496</v>
      </c>
      <c r="G1320">
        <v>0.19623203686330501</v>
      </c>
      <c r="H1320">
        <v>5.4601074225557801E-2</v>
      </c>
      <c r="I1320">
        <v>4.0954625116115403E-2</v>
      </c>
      <c r="J1320">
        <v>4.7401983632068198E-2</v>
      </c>
      <c r="K1320">
        <v>4.7412699132370402E-2</v>
      </c>
      <c r="L1320">
        <v>1509.5994716482501</v>
      </c>
      <c r="M1320">
        <v>28.137984193235301</v>
      </c>
      <c r="N1320">
        <v>53.797215668137198</v>
      </c>
      <c r="O1320">
        <v>53.3811081332478</v>
      </c>
      <c r="P1320">
        <v>-0.12689297873595301</v>
      </c>
      <c r="Q1320">
        <v>3.70839523700877E-2</v>
      </c>
      <c r="R1320">
        <v>0.99921141213415698</v>
      </c>
      <c r="S1320" t="s">
        <v>5152</v>
      </c>
      <c r="T1320" t="s">
        <v>7662</v>
      </c>
      <c r="U1320" t="s">
        <v>7662</v>
      </c>
      <c r="V1320" t="s">
        <v>7662</v>
      </c>
      <c r="W1320">
        <v>10</v>
      </c>
      <c r="X1320" t="s">
        <v>8982</v>
      </c>
      <c r="Y1320">
        <v>0.48233312963927089</v>
      </c>
      <c r="Z1320" t="str">
        <f>HYPERLINK("Melting_Curves/meltCurve_sp_P80217_IN35_HUMAN_.pdf", "Melting_Curves/meltCurve_sp_P80217_IN35_HUMAN_.pdf")</f>
        <v>Melting_Curves/meltCurve_sp_P80217_IN35_HUMAN_.pdf</v>
      </c>
      <c r="AA1320" t="s">
        <v>12793</v>
      </c>
      <c r="AB1320" t="s">
        <v>16560</v>
      </c>
    </row>
    <row r="1321" spans="1:28" x14ac:dyDescent="0.25">
      <c r="A1321" t="s">
        <v>1325</v>
      </c>
      <c r="B1321">
        <v>0.98876768158843997</v>
      </c>
      <c r="C1321">
        <v>1.4817174849927299</v>
      </c>
      <c r="D1321">
        <v>0.89674079037695498</v>
      </c>
      <c r="E1321">
        <v>0.79457055075104499</v>
      </c>
      <c r="F1321">
        <v>1.4089618793288099</v>
      </c>
      <c r="G1321">
        <v>0.96865800390983803</v>
      </c>
      <c r="H1321">
        <v>0.86744903510011995</v>
      </c>
      <c r="I1321">
        <v>1.4169621730475299</v>
      </c>
      <c r="J1321">
        <v>1.8211513813418401</v>
      </c>
      <c r="K1321">
        <v>3.5461736375516399</v>
      </c>
      <c r="L1321">
        <v>15000</v>
      </c>
      <c r="M1321">
        <v>235.98820010977599</v>
      </c>
      <c r="O1321">
        <v>63.557935287362099</v>
      </c>
      <c r="P1321">
        <v>0.46412025412743702</v>
      </c>
      <c r="Q1321">
        <v>1.5</v>
      </c>
      <c r="R1321">
        <v>0.212491312313486</v>
      </c>
      <c r="S1321" t="s">
        <v>5153</v>
      </c>
      <c r="T1321" t="s">
        <v>7662</v>
      </c>
      <c r="U1321" t="s">
        <v>7662</v>
      </c>
      <c r="V1321" t="s">
        <v>7662</v>
      </c>
      <c r="W1321">
        <v>4</v>
      </c>
      <c r="X1321" t="s">
        <v>8983</v>
      </c>
      <c r="Y1321">
        <v>1.107229067236873</v>
      </c>
      <c r="Z1321" t="str">
        <f>HYPERLINK("Melting_Curves/meltCurve_sp_P80294_MT1H_HUMAN_.pdf", "Melting_Curves/meltCurve_sp_P80294_MT1H_HUMAN_.pdf")</f>
        <v>Melting_Curves/meltCurve_sp_P80294_MT1H_HUMAN_.pdf</v>
      </c>
      <c r="AA1321" t="s">
        <v>12794</v>
      </c>
      <c r="AB1321" t="s">
        <v>16561</v>
      </c>
    </row>
    <row r="1322" spans="1:28" x14ac:dyDescent="0.25">
      <c r="A1322" t="s">
        <v>1326</v>
      </c>
      <c r="B1322">
        <v>0.98876768158843997</v>
      </c>
      <c r="C1322">
        <v>1.13012318320197</v>
      </c>
      <c r="D1322">
        <v>0.88751683533852799</v>
      </c>
      <c r="E1322">
        <v>0.803764684987197</v>
      </c>
      <c r="F1322">
        <v>0.82006409484861997</v>
      </c>
      <c r="G1322">
        <v>0.55757933717392405</v>
      </c>
      <c r="H1322">
        <v>0.491906408562165</v>
      </c>
      <c r="I1322">
        <v>0.51772109793083598</v>
      </c>
      <c r="J1322">
        <v>0.60594057898819798</v>
      </c>
      <c r="K1322">
        <v>0.68420453422752603</v>
      </c>
      <c r="L1322">
        <v>1041.8719276711099</v>
      </c>
      <c r="M1322">
        <v>20.261310402616399</v>
      </c>
      <c r="O1322">
        <v>50.928690805598897</v>
      </c>
      <c r="P1322">
        <v>-4.3137352227766497E-2</v>
      </c>
      <c r="Q1322">
        <v>0.56629438474862903</v>
      </c>
      <c r="R1322">
        <v>0.83788833738907398</v>
      </c>
      <c r="S1322" t="s">
        <v>5154</v>
      </c>
      <c r="T1322" t="s">
        <v>7662</v>
      </c>
      <c r="U1322" t="s">
        <v>7662</v>
      </c>
      <c r="V1322" t="s">
        <v>7662</v>
      </c>
      <c r="W1322">
        <v>11</v>
      </c>
      <c r="X1322" t="s">
        <v>8984</v>
      </c>
      <c r="Y1322">
        <v>0.73728861197825601</v>
      </c>
      <c r="Z1322" t="str">
        <f>HYPERLINK("Melting_Curves/meltCurve_sp_P80303_2_NUCB2_HUMAN_.pdf", "Melting_Curves/meltCurve_sp_P80303_2_NUCB2_HUMAN_.pdf")</f>
        <v>Melting_Curves/meltCurve_sp_P80303_2_NUCB2_HUMAN_.pdf</v>
      </c>
      <c r="AA1322" t="s">
        <v>12795</v>
      </c>
      <c r="AB1322" t="s">
        <v>16562</v>
      </c>
    </row>
    <row r="1323" spans="1:28" x14ac:dyDescent="0.25">
      <c r="A1323" t="s">
        <v>1327</v>
      </c>
      <c r="B1323">
        <v>0.98876768158843997</v>
      </c>
      <c r="C1323">
        <v>0.95276788984294303</v>
      </c>
      <c r="D1323">
        <v>0.95774982167770495</v>
      </c>
      <c r="E1323">
        <v>0.96060398793344404</v>
      </c>
      <c r="F1323">
        <v>0.81501022548847701</v>
      </c>
      <c r="G1323">
        <v>0.53487073452245604</v>
      </c>
      <c r="H1323">
        <v>0.248944501059432</v>
      </c>
      <c r="I1323">
        <v>0.113400758651849</v>
      </c>
      <c r="J1323">
        <v>6.1846210791073802E-2</v>
      </c>
      <c r="K1323">
        <v>5.6623935600290901E-2</v>
      </c>
      <c r="L1323">
        <v>1103.1022015685201</v>
      </c>
      <c r="M1323">
        <v>19.2666258254749</v>
      </c>
      <c r="N1323">
        <v>57.333424511685998</v>
      </c>
      <c r="O1323">
        <v>56.648454592789797</v>
      </c>
      <c r="P1323">
        <v>-8.3918448726035502E-2</v>
      </c>
      <c r="Q1323">
        <v>1.30765767592323E-2</v>
      </c>
      <c r="R1323">
        <v>0.99715784429927101</v>
      </c>
      <c r="S1323" t="s">
        <v>5155</v>
      </c>
      <c r="T1323" t="s">
        <v>7662</v>
      </c>
      <c r="U1323" t="s">
        <v>7662</v>
      </c>
      <c r="V1323" t="s">
        <v>7662</v>
      </c>
      <c r="W1323">
        <v>41</v>
      </c>
      <c r="X1323" t="s">
        <v>8985</v>
      </c>
      <c r="Y1323">
        <v>0.5930846076042755</v>
      </c>
      <c r="Z1323" t="str">
        <f>HYPERLINK("Melting_Curves/meltCurve_sp_P80404_GABT_HUMAN_.pdf", "Melting_Curves/meltCurve_sp_P80404_GABT_HUMAN_.pdf")</f>
        <v>Melting_Curves/meltCurve_sp_P80404_GABT_HUMAN_.pdf</v>
      </c>
      <c r="AA1323" t="s">
        <v>12796</v>
      </c>
      <c r="AB1323" t="s">
        <v>16563</v>
      </c>
    </row>
    <row r="1324" spans="1:28" x14ac:dyDescent="0.25">
      <c r="A1324" t="s">
        <v>1328</v>
      </c>
      <c r="B1324">
        <v>0.98876768158843997</v>
      </c>
      <c r="C1324">
        <v>1.17921522709588</v>
      </c>
      <c r="D1324">
        <v>0.84072635171588594</v>
      </c>
      <c r="E1324">
        <v>0.84633907427452904</v>
      </c>
      <c r="F1324">
        <v>0.99031746152563105</v>
      </c>
      <c r="G1324">
        <v>0.80976588572896901</v>
      </c>
      <c r="H1324">
        <v>0.62767465927030996</v>
      </c>
      <c r="I1324">
        <v>0.80859178834969603</v>
      </c>
      <c r="J1324">
        <v>0.77295873012639305</v>
      </c>
      <c r="K1324">
        <v>1.3467026889425899</v>
      </c>
      <c r="L1324">
        <v>15000</v>
      </c>
      <c r="M1324">
        <v>215.10025947433601</v>
      </c>
      <c r="O1324">
        <v>69.728912577204795</v>
      </c>
      <c r="P1324">
        <v>0.38560101230397098</v>
      </c>
      <c r="Q1324">
        <v>1.5</v>
      </c>
      <c r="R1324">
        <v>0.14399281267498301</v>
      </c>
      <c r="S1324" t="s">
        <v>5156</v>
      </c>
      <c r="T1324" t="s">
        <v>7662</v>
      </c>
      <c r="U1324" t="s">
        <v>7662</v>
      </c>
      <c r="V1324" t="s">
        <v>7662</v>
      </c>
      <c r="W1324">
        <v>4</v>
      </c>
      <c r="X1324" t="s">
        <v>8986</v>
      </c>
      <c r="Y1324">
        <v>1.006352007330972</v>
      </c>
      <c r="Z1324" t="str">
        <f>HYPERLINK("Melting_Curves/meltCurve_sp_P80723_BASP1_HUMAN_.pdf", "Melting_Curves/meltCurve_sp_P80723_BASP1_HUMAN_.pdf")</f>
        <v>Melting_Curves/meltCurve_sp_P80723_BASP1_HUMAN_.pdf</v>
      </c>
      <c r="AA1324" t="s">
        <v>12797</v>
      </c>
      <c r="AB1324" t="s">
        <v>16564</v>
      </c>
    </row>
    <row r="1325" spans="1:28" x14ac:dyDescent="0.25">
      <c r="A1325" t="s">
        <v>1329</v>
      </c>
      <c r="B1325">
        <v>0.98876768158843997</v>
      </c>
      <c r="C1325">
        <v>0.82106326557499698</v>
      </c>
      <c r="D1325">
        <v>0.90097823900696405</v>
      </c>
      <c r="E1325">
        <v>0.59136780512998599</v>
      </c>
      <c r="F1325">
        <v>0.36099968346878297</v>
      </c>
      <c r="G1325">
        <v>0.44025598034118801</v>
      </c>
      <c r="H1325">
        <v>9.0291556567489606E-2</v>
      </c>
      <c r="I1325">
        <v>0.113893313871264</v>
      </c>
      <c r="J1325">
        <v>0.18223884647475</v>
      </c>
      <c r="K1325">
        <v>0.112021258992464</v>
      </c>
      <c r="L1325">
        <v>609.48419288820799</v>
      </c>
      <c r="M1325">
        <v>11.9010417042903</v>
      </c>
      <c r="N1325">
        <v>51.915387254582498</v>
      </c>
      <c r="O1325">
        <v>49.830935264057203</v>
      </c>
      <c r="P1325">
        <v>-5.5279137744753799E-2</v>
      </c>
      <c r="Q1325">
        <v>7.4391769273566097E-2</v>
      </c>
      <c r="R1325">
        <v>0.94124074638907995</v>
      </c>
      <c r="S1325" t="s">
        <v>5157</v>
      </c>
      <c r="T1325" t="s">
        <v>7662</v>
      </c>
      <c r="U1325" t="s">
        <v>7662</v>
      </c>
      <c r="V1325" t="s">
        <v>7662</v>
      </c>
      <c r="W1325">
        <v>1</v>
      </c>
      <c r="X1325" t="s">
        <v>8987</v>
      </c>
      <c r="Y1325">
        <v>0.4504867382258283</v>
      </c>
      <c r="Z1325" t="str">
        <f>HYPERLINK("Melting_Curves/meltCurve_sp_P81605_DCD_HUMAN_.pdf", "Melting_Curves/meltCurve_sp_P81605_DCD_HUMAN_.pdf")</f>
        <v>Melting_Curves/meltCurve_sp_P81605_DCD_HUMAN_.pdf</v>
      </c>
      <c r="AA1325" t="s">
        <v>12798</v>
      </c>
      <c r="AB1325" t="s">
        <v>16565</v>
      </c>
    </row>
    <row r="1326" spans="1:28" x14ac:dyDescent="0.25">
      <c r="A1326" t="s">
        <v>1330</v>
      </c>
      <c r="B1326">
        <v>0.98876768158843997</v>
      </c>
      <c r="C1326">
        <v>1.0521961516381699</v>
      </c>
      <c r="D1326">
        <v>0.88534216699323098</v>
      </c>
      <c r="E1326">
        <v>0.78817424528608104</v>
      </c>
      <c r="F1326">
        <v>0.64684489584163396</v>
      </c>
      <c r="G1326">
        <v>0.52952304953347595</v>
      </c>
      <c r="H1326">
        <v>0.38732091646066602</v>
      </c>
      <c r="I1326">
        <v>0.46707365788518801</v>
      </c>
      <c r="J1326">
        <v>0.45451250729516202</v>
      </c>
      <c r="K1326">
        <v>0.56600792210427797</v>
      </c>
      <c r="L1326">
        <v>1013.93437939026</v>
      </c>
      <c r="M1326">
        <v>19.944626253820601</v>
      </c>
      <c r="N1326">
        <v>58.742840685974997</v>
      </c>
      <c r="O1326">
        <v>50.334686295376201</v>
      </c>
      <c r="P1326">
        <v>-5.2913933592510398E-2</v>
      </c>
      <c r="Q1326">
        <v>0.46585751722173802</v>
      </c>
      <c r="R1326">
        <v>0.94609185039891597</v>
      </c>
      <c r="S1326" t="s">
        <v>5158</v>
      </c>
      <c r="T1326" t="s">
        <v>7662</v>
      </c>
      <c r="U1326" t="s">
        <v>7662</v>
      </c>
      <c r="V1326" t="s">
        <v>7662</v>
      </c>
      <c r="W1326">
        <v>9</v>
      </c>
      <c r="X1326" t="s">
        <v>8988</v>
      </c>
      <c r="Y1326">
        <v>0.66627251665399723</v>
      </c>
      <c r="Z1326" t="str">
        <f>HYPERLINK("Melting_Curves/meltCurve_sp_P82094_TMF1_HUMAN_.pdf", "Melting_Curves/meltCurve_sp_P82094_TMF1_HUMAN_.pdf")</f>
        <v>Melting_Curves/meltCurve_sp_P82094_TMF1_HUMAN_.pdf</v>
      </c>
      <c r="AA1326" t="s">
        <v>12799</v>
      </c>
      <c r="AB1326" t="s">
        <v>16566</v>
      </c>
    </row>
    <row r="1327" spans="1:28" x14ac:dyDescent="0.25">
      <c r="A1327" t="s">
        <v>1331</v>
      </c>
      <c r="B1327">
        <v>0.98876768158843997</v>
      </c>
      <c r="C1327">
        <v>0.94175899563295795</v>
      </c>
      <c r="D1327">
        <v>0.93438466508398099</v>
      </c>
      <c r="E1327">
        <v>0.41117802413305699</v>
      </c>
      <c r="F1327">
        <v>0.22580503369239099</v>
      </c>
      <c r="G1327">
        <v>0.12629678413562301</v>
      </c>
      <c r="H1327">
        <v>8.3168736498925797E-2</v>
      </c>
      <c r="I1327">
        <v>7.2548200452386399E-2</v>
      </c>
      <c r="J1327">
        <v>8.7221327840676599E-2</v>
      </c>
      <c r="K1327">
        <v>8.9597653635314106E-2</v>
      </c>
      <c r="L1327">
        <v>1452.3939427851701</v>
      </c>
      <c r="M1327">
        <v>29.518772185351501</v>
      </c>
      <c r="N1327">
        <v>49.5408594117375</v>
      </c>
      <c r="O1327">
        <v>48.978230954015501</v>
      </c>
      <c r="P1327">
        <v>-0.13691469804297199</v>
      </c>
      <c r="Q1327">
        <v>9.1318152812035397E-2</v>
      </c>
      <c r="R1327">
        <v>0.99525490346259604</v>
      </c>
      <c r="S1327" t="s">
        <v>5159</v>
      </c>
      <c r="T1327" t="s">
        <v>7662</v>
      </c>
      <c r="U1327" t="s">
        <v>7662</v>
      </c>
      <c r="V1327" t="s">
        <v>7662</v>
      </c>
      <c r="W1327">
        <v>2</v>
      </c>
      <c r="X1327" t="s">
        <v>8989</v>
      </c>
      <c r="Y1327">
        <v>0.37579008383510748</v>
      </c>
      <c r="Z1327" t="str">
        <f>HYPERLINK("Melting_Curves/meltCurve_sp_P82673_2_RT35_HUMAN_.pdf", "Melting_Curves/meltCurve_sp_P82673_2_RT35_HUMAN_.pdf")</f>
        <v>Melting_Curves/meltCurve_sp_P82673_2_RT35_HUMAN_.pdf</v>
      </c>
      <c r="AA1327" t="s">
        <v>12800</v>
      </c>
      <c r="AB1327" t="s">
        <v>16567</v>
      </c>
    </row>
    <row r="1328" spans="1:28" x14ac:dyDescent="0.25">
      <c r="A1328" t="s">
        <v>1332</v>
      </c>
      <c r="B1328">
        <v>0.98876768158843997</v>
      </c>
      <c r="C1328">
        <v>0.84427497789149597</v>
      </c>
      <c r="D1328">
        <v>0.79713726006961305</v>
      </c>
      <c r="E1328">
        <v>0.391875310230486</v>
      </c>
      <c r="F1328">
        <v>0.171591127542531</v>
      </c>
      <c r="G1328">
        <v>9.4142269087809899E-2</v>
      </c>
      <c r="H1328">
        <v>5.9620576488805303E-2</v>
      </c>
      <c r="I1328">
        <v>5.8514768524854301E-2</v>
      </c>
      <c r="J1328">
        <v>7.22288758945724E-2</v>
      </c>
      <c r="K1328">
        <v>6.6338007571020693E-2</v>
      </c>
      <c r="L1328">
        <v>954.50562542816795</v>
      </c>
      <c r="M1328">
        <v>19.7010150146406</v>
      </c>
      <c r="N1328">
        <v>48.720608082629802</v>
      </c>
      <c r="O1328">
        <v>47.958662858172097</v>
      </c>
      <c r="P1328">
        <v>-9.7370829687735597E-2</v>
      </c>
      <c r="Q1328">
        <v>5.190397318336E-2</v>
      </c>
      <c r="R1328">
        <v>0.99158575044896902</v>
      </c>
      <c r="S1328" t="s">
        <v>5160</v>
      </c>
      <c r="T1328" t="s">
        <v>7662</v>
      </c>
      <c r="U1328" t="s">
        <v>7662</v>
      </c>
      <c r="V1328" t="s">
        <v>7662</v>
      </c>
      <c r="W1328">
        <v>3</v>
      </c>
      <c r="X1328" t="s">
        <v>8990</v>
      </c>
      <c r="Y1328">
        <v>0.33273015886667312</v>
      </c>
      <c r="Z1328" t="str">
        <f>HYPERLINK("Melting_Curves/meltCurve_sp_P82675_RT05_HUMAN_.pdf", "Melting_Curves/meltCurve_sp_P82675_RT05_HUMAN_.pdf")</f>
        <v>Melting_Curves/meltCurve_sp_P82675_RT05_HUMAN_.pdf</v>
      </c>
      <c r="AA1328" t="s">
        <v>12801</v>
      </c>
      <c r="AB1328" t="s">
        <v>16568</v>
      </c>
    </row>
    <row r="1329" spans="1:28" x14ac:dyDescent="0.25">
      <c r="A1329" t="s">
        <v>1333</v>
      </c>
      <c r="B1329">
        <v>0.98876768158843997</v>
      </c>
      <c r="C1329">
        <v>0.96591115557660701</v>
      </c>
      <c r="D1329">
        <v>0.99183096417550398</v>
      </c>
      <c r="E1329">
        <v>0.87866691711342804</v>
      </c>
      <c r="F1329">
        <v>0.71464469283881304</v>
      </c>
      <c r="G1329">
        <v>0.561049303635625</v>
      </c>
      <c r="H1329">
        <v>0.45751382772544003</v>
      </c>
      <c r="I1329">
        <v>0.59884029235220004</v>
      </c>
      <c r="J1329">
        <v>0.59166608746622096</v>
      </c>
      <c r="K1329">
        <v>0.78827121540124401</v>
      </c>
      <c r="L1329">
        <v>1886.3050300662001</v>
      </c>
      <c r="M1329">
        <v>36.770570597242397</v>
      </c>
      <c r="O1329">
        <v>51.148292733257101</v>
      </c>
      <c r="P1329">
        <v>-7.1876246404805999E-2</v>
      </c>
      <c r="Q1329">
        <v>0.600078367604711</v>
      </c>
      <c r="R1329">
        <v>0.82783459251374403</v>
      </c>
      <c r="S1329" t="s">
        <v>5161</v>
      </c>
      <c r="T1329" t="s">
        <v>7662</v>
      </c>
      <c r="U1329" t="s">
        <v>7662</v>
      </c>
      <c r="V1329" t="s">
        <v>7662</v>
      </c>
      <c r="W1329">
        <v>4</v>
      </c>
      <c r="X1329" t="s">
        <v>8991</v>
      </c>
      <c r="Y1329">
        <v>0.75238604132982345</v>
      </c>
      <c r="Z1329" t="str">
        <f>HYPERLINK("Melting_Curves/meltCurve_sp_P82909_RT36_HUMAN_.pdf", "Melting_Curves/meltCurve_sp_P82909_RT36_HUMAN_.pdf")</f>
        <v>Melting_Curves/meltCurve_sp_P82909_RT36_HUMAN_.pdf</v>
      </c>
      <c r="AA1329" t="s">
        <v>12802</v>
      </c>
      <c r="AB1329" t="s">
        <v>16569</v>
      </c>
    </row>
    <row r="1330" spans="1:28" x14ac:dyDescent="0.25">
      <c r="A1330" t="s">
        <v>1334</v>
      </c>
      <c r="B1330">
        <v>0.98876768158843997</v>
      </c>
      <c r="C1330">
        <v>0.81512039769899203</v>
      </c>
      <c r="D1330">
        <v>0.508577741247769</v>
      </c>
      <c r="E1330">
        <v>0.223453968664998</v>
      </c>
      <c r="F1330">
        <v>0.15486559924426799</v>
      </c>
      <c r="G1330">
        <v>7.9867259387589706E-2</v>
      </c>
      <c r="H1330">
        <v>4.8529067411991797E-2</v>
      </c>
      <c r="I1330">
        <v>3.1441164092261997E-2</v>
      </c>
      <c r="J1330">
        <v>3.6273533651122403E-2</v>
      </c>
      <c r="K1330">
        <v>3.4033015367315199E-2</v>
      </c>
      <c r="L1330">
        <v>862.49457640806702</v>
      </c>
      <c r="M1330">
        <v>18.7058756157282</v>
      </c>
      <c r="N1330">
        <v>46.3249654667908</v>
      </c>
      <c r="O1330">
        <v>45.590957496169203</v>
      </c>
      <c r="P1330">
        <v>-9.8280688514175693E-2</v>
      </c>
      <c r="Q1330">
        <v>4.19008843910193E-2</v>
      </c>
      <c r="R1330">
        <v>0.99643811216621703</v>
      </c>
      <c r="S1330" t="s">
        <v>5162</v>
      </c>
      <c r="T1330" t="s">
        <v>7662</v>
      </c>
      <c r="U1330" t="s">
        <v>7662</v>
      </c>
      <c r="V1330" t="s">
        <v>7662</v>
      </c>
      <c r="W1330">
        <v>1</v>
      </c>
      <c r="X1330" t="s">
        <v>8992</v>
      </c>
      <c r="Y1330">
        <v>0.25408962549148262</v>
      </c>
      <c r="Z1330" t="str">
        <f>HYPERLINK("Melting_Curves/meltCurve_sp_P82912_3_RT11_HUMAN_.pdf", "Melting_Curves/meltCurve_sp_P82912_3_RT11_HUMAN_.pdf")</f>
        <v>Melting_Curves/meltCurve_sp_P82912_3_RT11_HUMAN_.pdf</v>
      </c>
      <c r="AA1330" t="s">
        <v>12803</v>
      </c>
      <c r="AB1330" t="s">
        <v>16570</v>
      </c>
    </row>
    <row r="1331" spans="1:28" x14ac:dyDescent="0.25">
      <c r="A1331" t="s">
        <v>1335</v>
      </c>
      <c r="B1331">
        <v>0.98876768158843997</v>
      </c>
      <c r="C1331">
        <v>0.95659098426514999</v>
      </c>
      <c r="D1331">
        <v>0.81011472910767501</v>
      </c>
      <c r="E1331">
        <v>0.43628666369817298</v>
      </c>
      <c r="F1331">
        <v>0.203311156086916</v>
      </c>
      <c r="G1331">
        <v>0.147448034833531</v>
      </c>
      <c r="H1331">
        <v>7.8331785368143406E-2</v>
      </c>
      <c r="I1331">
        <v>4.9495560608366303E-2</v>
      </c>
      <c r="J1331">
        <v>8.3374479133748403E-2</v>
      </c>
      <c r="K1331">
        <v>8.7304070447001406E-2</v>
      </c>
      <c r="L1331">
        <v>1052.6665240477901</v>
      </c>
      <c r="M1331">
        <v>21.523340380560601</v>
      </c>
      <c r="N1331">
        <v>49.273460371517402</v>
      </c>
      <c r="O1331">
        <v>48.491828967632699</v>
      </c>
      <c r="P1331">
        <v>-0.102782927781035</v>
      </c>
      <c r="Q1331">
        <v>7.3747948351352205E-2</v>
      </c>
      <c r="R1331">
        <v>0.99809387978756703</v>
      </c>
      <c r="S1331" t="s">
        <v>5163</v>
      </c>
      <c r="T1331" t="s">
        <v>7662</v>
      </c>
      <c r="U1331" t="s">
        <v>7662</v>
      </c>
      <c r="V1331" t="s">
        <v>7662</v>
      </c>
      <c r="W1331">
        <v>2</v>
      </c>
      <c r="X1331" t="s">
        <v>8993</v>
      </c>
      <c r="Y1331">
        <v>0.35996001450187759</v>
      </c>
      <c r="Z1331" t="str">
        <f>HYPERLINK("Melting_Curves/meltCurve_sp_P82914_RT15_HUMAN_.pdf", "Melting_Curves/meltCurve_sp_P82914_RT15_HUMAN_.pdf")</f>
        <v>Melting_Curves/meltCurve_sp_P82914_RT15_HUMAN_.pdf</v>
      </c>
      <c r="AA1331" t="s">
        <v>12804</v>
      </c>
      <c r="AB1331" t="s">
        <v>16571</v>
      </c>
    </row>
    <row r="1332" spans="1:28" x14ac:dyDescent="0.25">
      <c r="A1332" t="s">
        <v>1336</v>
      </c>
      <c r="B1332">
        <v>0.98876768158843997</v>
      </c>
      <c r="C1332">
        <v>1.03517130559693</v>
      </c>
      <c r="D1332">
        <v>0.84403071828576304</v>
      </c>
      <c r="E1332">
        <v>0.55462171012941397</v>
      </c>
      <c r="F1332">
        <v>0.31925266987631701</v>
      </c>
      <c r="G1332">
        <v>0.146486466974803</v>
      </c>
      <c r="H1332">
        <v>8.07569823598909E-2</v>
      </c>
      <c r="I1332">
        <v>7.17673176988574E-2</v>
      </c>
      <c r="J1332">
        <v>7.9467116330055695E-2</v>
      </c>
      <c r="K1332">
        <v>7.5439559318480898E-2</v>
      </c>
      <c r="L1332">
        <v>1001.3308364755</v>
      </c>
      <c r="M1332">
        <v>19.931296661587101</v>
      </c>
      <c r="N1332">
        <v>50.597746876360503</v>
      </c>
      <c r="O1332">
        <v>49.741589375173</v>
      </c>
      <c r="P1332">
        <v>-9.3578630498367205E-2</v>
      </c>
      <c r="Q1332">
        <v>6.5871869263094698E-2</v>
      </c>
      <c r="R1332">
        <v>0.99629680404055299</v>
      </c>
      <c r="S1332" t="s">
        <v>5164</v>
      </c>
      <c r="T1332" t="s">
        <v>7662</v>
      </c>
      <c r="U1332" t="s">
        <v>7662</v>
      </c>
      <c r="V1332" t="s">
        <v>7662</v>
      </c>
      <c r="W1332">
        <v>3</v>
      </c>
      <c r="X1332" t="s">
        <v>8994</v>
      </c>
      <c r="Y1332">
        <v>0.39777363702950502</v>
      </c>
      <c r="Z1332" t="str">
        <f>HYPERLINK("Melting_Curves/meltCurve_sp_P82930_RT34_HUMAN_.pdf", "Melting_Curves/meltCurve_sp_P82930_RT34_HUMAN_.pdf")</f>
        <v>Melting_Curves/meltCurve_sp_P82930_RT34_HUMAN_.pdf</v>
      </c>
      <c r="AA1332" t="s">
        <v>12805</v>
      </c>
      <c r="AB1332" t="s">
        <v>16572</v>
      </c>
    </row>
    <row r="1333" spans="1:28" x14ac:dyDescent="0.25">
      <c r="A1333" t="s">
        <v>1337</v>
      </c>
      <c r="B1333">
        <v>0.98876768158843997</v>
      </c>
      <c r="C1333">
        <v>0.92939848889253296</v>
      </c>
      <c r="D1333">
        <v>0.894671594522363</v>
      </c>
      <c r="E1333">
        <v>0.53577932038042098</v>
      </c>
      <c r="F1333">
        <v>0.305008682619544</v>
      </c>
      <c r="G1333">
        <v>0.18755106763291499</v>
      </c>
      <c r="H1333">
        <v>0.13990933031699901</v>
      </c>
      <c r="I1333">
        <v>0.15016196323091399</v>
      </c>
      <c r="J1333">
        <v>0.24972593736755999</v>
      </c>
      <c r="K1333">
        <v>0.101038455790791</v>
      </c>
      <c r="L1333">
        <v>1159.3323555030099</v>
      </c>
      <c r="M1333">
        <v>23.390239293846001</v>
      </c>
      <c r="N1333">
        <v>50.361154959156401</v>
      </c>
      <c r="O1333">
        <v>49.206767360554203</v>
      </c>
      <c r="P1333">
        <v>-0.100467221838784</v>
      </c>
      <c r="Q1333">
        <v>0.15459083903385601</v>
      </c>
      <c r="R1333">
        <v>0.98708285110260896</v>
      </c>
      <c r="S1333" t="s">
        <v>5165</v>
      </c>
      <c r="T1333" t="s">
        <v>7662</v>
      </c>
      <c r="U1333" t="s">
        <v>7662</v>
      </c>
      <c r="V1333" t="s">
        <v>7662</v>
      </c>
      <c r="W1333">
        <v>2</v>
      </c>
      <c r="X1333" t="s">
        <v>8995</v>
      </c>
      <c r="Y1333">
        <v>0.43274156567867722</v>
      </c>
      <c r="Z1333" t="str">
        <f>HYPERLINK("Melting_Curves/meltCurve_sp_P82933_RT09_HUMAN_.pdf", "Melting_Curves/meltCurve_sp_P82933_RT09_HUMAN_.pdf")</f>
        <v>Melting_Curves/meltCurve_sp_P82933_RT09_HUMAN_.pdf</v>
      </c>
      <c r="AA1333" t="s">
        <v>12806</v>
      </c>
      <c r="AB1333" t="s">
        <v>16573</v>
      </c>
    </row>
    <row r="1334" spans="1:28" x14ac:dyDescent="0.25">
      <c r="A1334" t="s">
        <v>1338</v>
      </c>
      <c r="B1334">
        <v>0.98876768158843997</v>
      </c>
      <c r="C1334">
        <v>1.1639039004107701</v>
      </c>
      <c r="D1334">
        <v>0.90103314251612798</v>
      </c>
      <c r="E1334">
        <v>0.74369738868101698</v>
      </c>
      <c r="F1334">
        <v>0.97707139125465903</v>
      </c>
      <c r="G1334">
        <v>0.71518197038416897</v>
      </c>
      <c r="H1334">
        <v>0.53610444332344098</v>
      </c>
      <c r="I1334">
        <v>0.64027158560679598</v>
      </c>
      <c r="J1334">
        <v>0.78718039831352904</v>
      </c>
      <c r="K1334">
        <v>0.92547051032766403</v>
      </c>
      <c r="L1334">
        <v>1021.70542364966</v>
      </c>
      <c r="M1334">
        <v>20.873701249298701</v>
      </c>
      <c r="O1334">
        <v>48.5044298552613</v>
      </c>
      <c r="P1334">
        <v>-2.8160273360514101E-2</v>
      </c>
      <c r="Q1334">
        <v>0.73826199619833799</v>
      </c>
      <c r="R1334">
        <v>0.457671302405318</v>
      </c>
      <c r="S1334" t="s">
        <v>5166</v>
      </c>
      <c r="T1334" t="s">
        <v>7662</v>
      </c>
      <c r="U1334" t="s">
        <v>7662</v>
      </c>
      <c r="V1334" t="s">
        <v>7662</v>
      </c>
      <c r="W1334">
        <v>7</v>
      </c>
      <c r="X1334" t="s">
        <v>8996</v>
      </c>
      <c r="Y1334">
        <v>0.81968255331459872</v>
      </c>
      <c r="Z1334" t="str">
        <f>HYPERLINK("Melting_Curves/meltCurve_sp_P82979_SARNP_HUMAN_.pdf", "Melting_Curves/meltCurve_sp_P82979_SARNP_HUMAN_.pdf")</f>
        <v>Melting_Curves/meltCurve_sp_P82979_SARNP_HUMAN_.pdf</v>
      </c>
      <c r="AA1334" t="s">
        <v>12807</v>
      </c>
      <c r="AB1334" t="s">
        <v>16574</v>
      </c>
    </row>
    <row r="1335" spans="1:28" x14ac:dyDescent="0.25">
      <c r="A1335" t="s">
        <v>1339</v>
      </c>
      <c r="B1335">
        <v>0.98876768158843997</v>
      </c>
      <c r="C1335">
        <v>1.4194044668511101</v>
      </c>
      <c r="D1335">
        <v>0.89253522457766299</v>
      </c>
      <c r="E1335">
        <v>0.77651327944514303</v>
      </c>
      <c r="F1335">
        <v>0.79029495230736502</v>
      </c>
      <c r="G1335">
        <v>0.271681705878283</v>
      </c>
      <c r="H1335">
        <v>7.2626375601086507E-2</v>
      </c>
      <c r="I1335">
        <v>5.7895807421140102E-2</v>
      </c>
      <c r="J1335">
        <v>5.3806910998668599E-2</v>
      </c>
      <c r="K1335">
        <v>4.98515644664103E-2</v>
      </c>
      <c r="L1335">
        <v>1294.8182473311399</v>
      </c>
      <c r="M1335">
        <v>23.636902983195299</v>
      </c>
      <c r="N1335">
        <v>54.8991837183586</v>
      </c>
      <c r="O1335">
        <v>54.391944559119402</v>
      </c>
      <c r="P1335">
        <v>-0.105915572438812</v>
      </c>
      <c r="Q1335">
        <v>2.51078942752253E-2</v>
      </c>
      <c r="R1335">
        <v>0.90289008420274297</v>
      </c>
      <c r="S1335" t="s">
        <v>5167</v>
      </c>
      <c r="T1335" t="s">
        <v>7662</v>
      </c>
      <c r="U1335" t="s">
        <v>7662</v>
      </c>
      <c r="V1335" t="s">
        <v>7662</v>
      </c>
      <c r="W1335">
        <v>6</v>
      </c>
      <c r="X1335" t="s">
        <v>8997</v>
      </c>
      <c r="Y1335">
        <v>0.51534004206476303</v>
      </c>
      <c r="Z1335" t="str">
        <f>HYPERLINK("Melting_Curves/meltCurve_sp_P82980_RET5_HUMAN_.pdf", "Melting_Curves/meltCurve_sp_P82980_RET5_HUMAN_.pdf")</f>
        <v>Melting_Curves/meltCurve_sp_P82980_RET5_HUMAN_.pdf</v>
      </c>
      <c r="AA1335" t="s">
        <v>12808</v>
      </c>
      <c r="AB1335" t="s">
        <v>16575</v>
      </c>
    </row>
    <row r="1336" spans="1:28" x14ac:dyDescent="0.25">
      <c r="A1336" t="s">
        <v>1340</v>
      </c>
      <c r="B1336">
        <v>0.98876768158843997</v>
      </c>
      <c r="C1336">
        <v>0.95173845636233301</v>
      </c>
      <c r="D1336">
        <v>0.92285586720188495</v>
      </c>
      <c r="E1336">
        <v>0.53896288671359405</v>
      </c>
      <c r="F1336">
        <v>0.36727654726312597</v>
      </c>
      <c r="G1336">
        <v>0.24295189131671699</v>
      </c>
      <c r="H1336">
        <v>0.184961702708104</v>
      </c>
      <c r="I1336">
        <v>0.18105894648158499</v>
      </c>
      <c r="J1336">
        <v>0.244487861571203</v>
      </c>
      <c r="K1336">
        <v>0.198435581956379</v>
      </c>
      <c r="L1336">
        <v>1189.2456205194401</v>
      </c>
      <c r="M1336">
        <v>23.976479816905499</v>
      </c>
      <c r="N1336">
        <v>50.698376087136097</v>
      </c>
      <c r="O1336">
        <v>49.259335490854099</v>
      </c>
      <c r="P1336">
        <v>-9.7044803810194605E-2</v>
      </c>
      <c r="Q1336">
        <v>0.202504006562684</v>
      </c>
      <c r="R1336">
        <v>0.99437418058045401</v>
      </c>
      <c r="S1336" t="s">
        <v>5168</v>
      </c>
      <c r="T1336" t="s">
        <v>7662</v>
      </c>
      <c r="U1336" t="s">
        <v>7662</v>
      </c>
      <c r="V1336" t="s">
        <v>7662</v>
      </c>
      <c r="W1336">
        <v>6</v>
      </c>
      <c r="X1336" t="s">
        <v>8998</v>
      </c>
      <c r="Y1336">
        <v>0.46544472372414619</v>
      </c>
      <c r="Z1336" t="str">
        <f>HYPERLINK("Melting_Curves/meltCurve_sp_P83436_COG7_HUMAN_.pdf", "Melting_Curves/meltCurve_sp_P83436_COG7_HUMAN_.pdf")</f>
        <v>Melting_Curves/meltCurve_sp_P83436_COG7_HUMAN_.pdf</v>
      </c>
      <c r="AA1336" t="s">
        <v>12809</v>
      </c>
      <c r="AB1336" t="s">
        <v>16576</v>
      </c>
    </row>
    <row r="1337" spans="1:28" x14ac:dyDescent="0.25">
      <c r="A1337" t="s">
        <v>1341</v>
      </c>
      <c r="B1337">
        <v>0.98876768158843997</v>
      </c>
      <c r="C1337">
        <v>0.87159555634491703</v>
      </c>
      <c r="D1337">
        <v>0.95897077774478801</v>
      </c>
      <c r="E1337">
        <v>0.773233647564045</v>
      </c>
      <c r="F1337">
        <v>0.55661422435829699</v>
      </c>
      <c r="G1337">
        <v>0.31780716190554398</v>
      </c>
      <c r="H1337">
        <v>0.17219712751334201</v>
      </c>
      <c r="I1337">
        <v>0.14876453617865101</v>
      </c>
      <c r="J1337">
        <v>0.15944058592770199</v>
      </c>
      <c r="K1337">
        <v>0.15033363311646999</v>
      </c>
      <c r="L1337">
        <v>935.31137369015198</v>
      </c>
      <c r="M1337">
        <v>17.688846958764</v>
      </c>
      <c r="N1337">
        <v>53.734450824756301</v>
      </c>
      <c r="O1337">
        <v>52.2138712666789</v>
      </c>
      <c r="P1337">
        <v>-7.4270972374818597E-2</v>
      </c>
      <c r="Q1337">
        <v>0.123115248107798</v>
      </c>
      <c r="R1337">
        <v>0.98724210497912201</v>
      </c>
      <c r="S1337" t="s">
        <v>5169</v>
      </c>
      <c r="T1337" t="s">
        <v>7662</v>
      </c>
      <c r="U1337" t="s">
        <v>7662</v>
      </c>
      <c r="V1337" t="s">
        <v>7662</v>
      </c>
      <c r="W1337">
        <v>1</v>
      </c>
      <c r="X1337" t="s">
        <v>8999</v>
      </c>
      <c r="Y1337">
        <v>0.51426736894245695</v>
      </c>
      <c r="Z1337" t="str">
        <f>HYPERLINK("Melting_Curves/meltCurve_sp_P83876_TXN4A_HUMAN_.pdf", "Melting_Curves/meltCurve_sp_P83876_TXN4A_HUMAN_.pdf")</f>
        <v>Melting_Curves/meltCurve_sp_P83876_TXN4A_HUMAN_.pdf</v>
      </c>
      <c r="AA1337" t="s">
        <v>12810</v>
      </c>
      <c r="AB1337" t="s">
        <v>16577</v>
      </c>
    </row>
    <row r="1338" spans="1:28" x14ac:dyDescent="0.25">
      <c r="A1338" t="s">
        <v>1342</v>
      </c>
      <c r="B1338">
        <v>0.98876768158843997</v>
      </c>
      <c r="C1338">
        <v>1.00372791917608</v>
      </c>
      <c r="D1338">
        <v>0.79367369424118495</v>
      </c>
      <c r="E1338">
        <v>0.37458200483427201</v>
      </c>
      <c r="F1338">
        <v>0.27439117740785501</v>
      </c>
      <c r="G1338">
        <v>0.119126452111165</v>
      </c>
      <c r="H1338">
        <v>6.2455723358356897E-2</v>
      </c>
      <c r="I1338">
        <v>6.1038487482023097E-2</v>
      </c>
      <c r="J1338">
        <v>7.4134469485855198E-2</v>
      </c>
      <c r="K1338">
        <v>5.3272382293164902E-2</v>
      </c>
      <c r="L1338">
        <v>1013.01111237036</v>
      </c>
      <c r="M1338">
        <v>20.7518201280661</v>
      </c>
      <c r="N1338">
        <v>49.141515061530903</v>
      </c>
      <c r="O1338">
        <v>48.369002135299297</v>
      </c>
      <c r="P1338">
        <v>-0.10036377266441</v>
      </c>
      <c r="Q1338">
        <v>6.4302033449257695E-2</v>
      </c>
      <c r="R1338">
        <v>0.993641547091625</v>
      </c>
      <c r="S1338" t="s">
        <v>5170</v>
      </c>
      <c r="T1338" t="s">
        <v>7662</v>
      </c>
      <c r="U1338" t="s">
        <v>7662</v>
      </c>
      <c r="V1338" t="s">
        <v>7662</v>
      </c>
      <c r="W1338">
        <v>6</v>
      </c>
      <c r="X1338" t="s">
        <v>9000</v>
      </c>
      <c r="Y1338">
        <v>0.35143120862169341</v>
      </c>
      <c r="Z1338" t="str">
        <f>HYPERLINK("Melting_Curves/meltCurve_sp_P84077_ARF1_HUMAN_.pdf", "Melting_Curves/meltCurve_sp_P84077_ARF1_HUMAN_.pdf")</f>
        <v>Melting_Curves/meltCurve_sp_P84077_ARF1_HUMAN_.pdf</v>
      </c>
      <c r="AA1338" t="s">
        <v>12811</v>
      </c>
      <c r="AB1338" t="s">
        <v>16578</v>
      </c>
    </row>
    <row r="1339" spans="1:28" x14ac:dyDescent="0.25">
      <c r="A1339" t="s">
        <v>1343</v>
      </c>
      <c r="B1339">
        <v>0.98876768158843997</v>
      </c>
      <c r="C1339">
        <v>1.0801152971051</v>
      </c>
      <c r="D1339">
        <v>0.89944516414279996</v>
      </c>
      <c r="E1339">
        <v>0.81942485489204997</v>
      </c>
      <c r="F1339">
        <v>0.86338203367026201</v>
      </c>
      <c r="G1339">
        <v>0.57813522700842401</v>
      </c>
      <c r="H1339">
        <v>0.35300454249670599</v>
      </c>
      <c r="I1339">
        <v>0.33278882162720702</v>
      </c>
      <c r="J1339">
        <v>0.28177752483962998</v>
      </c>
      <c r="K1339">
        <v>0.37749300096326599</v>
      </c>
      <c r="L1339">
        <v>990.74538093036404</v>
      </c>
      <c r="M1339">
        <v>17.841596528392198</v>
      </c>
      <c r="N1339">
        <v>58.302113191556501</v>
      </c>
      <c r="O1339">
        <v>54.846589968361599</v>
      </c>
      <c r="P1339">
        <v>-5.8074903797115197E-2</v>
      </c>
      <c r="Q1339">
        <v>0.28592788283290699</v>
      </c>
      <c r="R1339">
        <v>0.95378140051476001</v>
      </c>
      <c r="S1339" t="s">
        <v>5171</v>
      </c>
      <c r="T1339" t="s">
        <v>7662</v>
      </c>
      <c r="U1339" t="s">
        <v>7662</v>
      </c>
      <c r="V1339" t="s">
        <v>7662</v>
      </c>
      <c r="W1339">
        <v>6</v>
      </c>
      <c r="X1339" t="s">
        <v>9001</v>
      </c>
      <c r="Y1339">
        <v>0.66649029719230579</v>
      </c>
      <c r="Z1339" t="str">
        <f>HYPERLINK("Melting_Curves/meltCurve_sp_P84090_ERH_HUMAN_.pdf", "Melting_Curves/meltCurve_sp_P84090_ERH_HUMAN_.pdf")</f>
        <v>Melting_Curves/meltCurve_sp_P84090_ERH_HUMAN_.pdf</v>
      </c>
      <c r="AA1339" t="s">
        <v>12812</v>
      </c>
      <c r="AB1339" t="s">
        <v>16579</v>
      </c>
    </row>
    <row r="1340" spans="1:28" x14ac:dyDescent="0.25">
      <c r="A1340" t="s">
        <v>1344</v>
      </c>
      <c r="B1340">
        <v>0.98876768158843997</v>
      </c>
      <c r="C1340">
        <v>1.0894676769962599</v>
      </c>
      <c r="D1340">
        <v>1.0243111440919701</v>
      </c>
      <c r="E1340">
        <v>0.98370675254601703</v>
      </c>
      <c r="F1340">
        <v>1.2150531114000001</v>
      </c>
      <c r="G1340">
        <v>0.71888109392930899</v>
      </c>
      <c r="H1340">
        <v>0.71682137467117701</v>
      </c>
      <c r="I1340">
        <v>0.52880111280122899</v>
      </c>
      <c r="J1340">
        <v>0.98723374742247705</v>
      </c>
      <c r="K1340">
        <v>1.2790053986702801</v>
      </c>
      <c r="L1340">
        <v>2485.5441656813</v>
      </c>
      <c r="M1340">
        <v>45.055478850668102</v>
      </c>
      <c r="O1340">
        <v>55.057971549635397</v>
      </c>
      <c r="P1340">
        <v>-3.0075899685404601E-2</v>
      </c>
      <c r="Q1340">
        <v>0.85298876317654204</v>
      </c>
      <c r="R1340">
        <v>0.158803092582605</v>
      </c>
      <c r="S1340" t="s">
        <v>5172</v>
      </c>
      <c r="T1340" t="s">
        <v>7662</v>
      </c>
      <c r="U1340" t="s">
        <v>7662</v>
      </c>
      <c r="V1340" t="s">
        <v>7662</v>
      </c>
      <c r="W1340">
        <v>2</v>
      </c>
      <c r="X1340" t="s">
        <v>9002</v>
      </c>
      <c r="Y1340">
        <v>0.92774973578865327</v>
      </c>
      <c r="Z1340" t="str">
        <f>HYPERLINK("Melting_Curves/meltCurve_sp_P84101_4_SERF2_HUMAN_.pdf", "Melting_Curves/meltCurve_sp_P84101_4_SERF2_HUMAN_.pdf")</f>
        <v>Melting_Curves/meltCurve_sp_P84101_4_SERF2_HUMAN_.pdf</v>
      </c>
      <c r="AA1340" t="s">
        <v>12813</v>
      </c>
      <c r="AB1340" t="s">
        <v>16580</v>
      </c>
    </row>
    <row r="1341" spans="1:28" x14ac:dyDescent="0.25">
      <c r="A1341" t="s">
        <v>1345</v>
      </c>
      <c r="B1341">
        <v>0.98876768158843997</v>
      </c>
      <c r="C1341">
        <v>0.79095933812057895</v>
      </c>
      <c r="D1341">
        <v>0.81092049154382795</v>
      </c>
      <c r="E1341">
        <v>0.51448440839353304</v>
      </c>
      <c r="F1341">
        <v>0.168967265390739</v>
      </c>
      <c r="G1341">
        <v>6.4512521298741396E-2</v>
      </c>
      <c r="H1341">
        <v>2.72940070930217E-2</v>
      </c>
      <c r="I1341">
        <v>0</v>
      </c>
      <c r="J1341">
        <v>3.9599984689886097E-2</v>
      </c>
      <c r="K1341">
        <v>2.80068670281369E-2</v>
      </c>
      <c r="L1341">
        <v>845.78875460929601</v>
      </c>
      <c r="M1341">
        <v>17.139555781333801</v>
      </c>
      <c r="N1341">
        <v>49.347175948665402</v>
      </c>
      <c r="O1341">
        <v>48.6901127654994</v>
      </c>
      <c r="P1341">
        <v>-8.8008532364948294E-2</v>
      </c>
      <c r="Q1341">
        <v>0</v>
      </c>
      <c r="R1341">
        <v>0.97680337373503001</v>
      </c>
      <c r="S1341" t="s">
        <v>5173</v>
      </c>
      <c r="T1341" t="s">
        <v>7662</v>
      </c>
      <c r="U1341" t="s">
        <v>7662</v>
      </c>
      <c r="V1341" t="s">
        <v>7662</v>
      </c>
      <c r="W1341">
        <v>3</v>
      </c>
      <c r="X1341" t="s">
        <v>9003</v>
      </c>
      <c r="Y1341">
        <v>0.33051225454790761</v>
      </c>
      <c r="Z1341" t="str">
        <f>HYPERLINK("Melting_Curves/meltCurve_sp_P86791_CCZ1_HUMAN_.pdf", "Melting_Curves/meltCurve_sp_P86791_CCZ1_HUMAN_.pdf")</f>
        <v>Melting_Curves/meltCurve_sp_P86791_CCZ1_HUMAN_.pdf</v>
      </c>
      <c r="AA1341" t="s">
        <v>12814</v>
      </c>
      <c r="AB1341" t="s">
        <v>16581</v>
      </c>
    </row>
    <row r="1342" spans="1:28" x14ac:dyDescent="0.25">
      <c r="A1342" t="s">
        <v>1346</v>
      </c>
      <c r="B1342">
        <v>0.98876768158843997</v>
      </c>
      <c r="C1342">
        <v>0.93161291077534103</v>
      </c>
      <c r="D1342">
        <v>0.92088337597089698</v>
      </c>
      <c r="E1342">
        <v>0.81877310073377496</v>
      </c>
      <c r="F1342">
        <v>0.54686167283912201</v>
      </c>
      <c r="G1342">
        <v>0.42053754612989402</v>
      </c>
      <c r="H1342">
        <v>0.18688247712674899</v>
      </c>
      <c r="I1342">
        <v>0.166962047954482</v>
      </c>
      <c r="J1342">
        <v>0.15503219778379199</v>
      </c>
      <c r="K1342">
        <v>0.16434876212809099</v>
      </c>
      <c r="L1342">
        <v>819.47734434822496</v>
      </c>
      <c r="M1342">
        <v>15.3008449012637</v>
      </c>
      <c r="N1342">
        <v>54.481826324782602</v>
      </c>
      <c r="O1342">
        <v>52.667822200520803</v>
      </c>
      <c r="P1342">
        <v>-6.4333534899094796E-2</v>
      </c>
      <c r="Q1342">
        <v>0.114299754682103</v>
      </c>
      <c r="R1342">
        <v>0.98909762393629097</v>
      </c>
      <c r="S1342" t="s">
        <v>5174</v>
      </c>
      <c r="T1342" t="s">
        <v>7662</v>
      </c>
      <c r="U1342" t="s">
        <v>7662</v>
      </c>
      <c r="V1342" t="s">
        <v>7662</v>
      </c>
      <c r="W1342">
        <v>3</v>
      </c>
      <c r="X1342" t="s">
        <v>9004</v>
      </c>
      <c r="Y1342">
        <v>0.53267175877827011</v>
      </c>
      <c r="Z1342" t="str">
        <f>HYPERLINK("Melting_Curves/meltCurve_sp_P98160_PGBM_HUMAN_.pdf", "Melting_Curves/meltCurve_sp_P98160_PGBM_HUMAN_.pdf")</f>
        <v>Melting_Curves/meltCurve_sp_P98160_PGBM_HUMAN_.pdf</v>
      </c>
      <c r="AA1342" t="s">
        <v>12815</v>
      </c>
      <c r="AB1342" t="s">
        <v>16582</v>
      </c>
    </row>
    <row r="1343" spans="1:28" x14ac:dyDescent="0.25">
      <c r="A1343" t="s">
        <v>1347</v>
      </c>
      <c r="B1343">
        <v>0.98876768158843997</v>
      </c>
      <c r="C1343">
        <v>0.89210281607163799</v>
      </c>
      <c r="D1343">
        <v>0.95377599543642699</v>
      </c>
      <c r="E1343">
        <v>0.80308340000725797</v>
      </c>
      <c r="F1343">
        <v>0.61540970808616602</v>
      </c>
      <c r="G1343">
        <v>0.303970252346286</v>
      </c>
      <c r="H1343">
        <v>0.18505754454835399</v>
      </c>
      <c r="I1343">
        <v>0.19406386226474601</v>
      </c>
      <c r="J1343">
        <v>0.12404849003483701</v>
      </c>
      <c r="K1343">
        <v>0.19932574302864001</v>
      </c>
      <c r="L1343">
        <v>1062.78897733041</v>
      </c>
      <c r="M1343">
        <v>19.991689061582601</v>
      </c>
      <c r="N1343">
        <v>54.107401302386698</v>
      </c>
      <c r="O1343">
        <v>52.638191550231497</v>
      </c>
      <c r="P1343">
        <v>-8.0949122832727205E-2</v>
      </c>
      <c r="Q1343">
        <v>0.14747045115864399</v>
      </c>
      <c r="R1343">
        <v>0.98627799094678403</v>
      </c>
      <c r="S1343" t="s">
        <v>5175</v>
      </c>
      <c r="T1343" t="s">
        <v>7662</v>
      </c>
      <c r="U1343" t="s">
        <v>7662</v>
      </c>
      <c r="V1343" t="s">
        <v>7662</v>
      </c>
      <c r="W1343">
        <v>4</v>
      </c>
      <c r="X1343" t="s">
        <v>9005</v>
      </c>
      <c r="Y1343">
        <v>0.53320718598647765</v>
      </c>
      <c r="Z1343" t="str">
        <f>HYPERLINK("Melting_Curves/meltCurve_sp_P98170_XIAP_HUMAN_.pdf", "Melting_Curves/meltCurve_sp_P98170_XIAP_HUMAN_.pdf")</f>
        <v>Melting_Curves/meltCurve_sp_P98170_XIAP_HUMAN_.pdf</v>
      </c>
      <c r="AA1343" t="s">
        <v>12816</v>
      </c>
      <c r="AB1343" t="s">
        <v>16583</v>
      </c>
    </row>
    <row r="1344" spans="1:28" x14ac:dyDescent="0.25">
      <c r="A1344" t="s">
        <v>1348</v>
      </c>
      <c r="B1344">
        <v>0.98876768158843997</v>
      </c>
      <c r="C1344">
        <v>0.99412846669105903</v>
      </c>
      <c r="D1344">
        <v>0.84992170285689606</v>
      </c>
      <c r="E1344">
        <v>0.744504132999806</v>
      </c>
      <c r="F1344">
        <v>0.641832051701969</v>
      </c>
      <c r="G1344">
        <v>0.47514119823290102</v>
      </c>
      <c r="H1344">
        <v>0.35903398351917598</v>
      </c>
      <c r="I1344">
        <v>0.38828748508233801</v>
      </c>
      <c r="J1344">
        <v>0.51201865562705895</v>
      </c>
      <c r="K1344">
        <v>0.47565931585745602</v>
      </c>
      <c r="L1344">
        <v>839.23007341622599</v>
      </c>
      <c r="M1344">
        <v>16.656011812040301</v>
      </c>
      <c r="N1344">
        <v>56.735934376778701</v>
      </c>
      <c r="O1344">
        <v>49.676533869720998</v>
      </c>
      <c r="P1344">
        <v>-4.8411835282928903E-2</v>
      </c>
      <c r="Q1344">
        <v>0.42248592692937198</v>
      </c>
      <c r="R1344">
        <v>0.94980730185195394</v>
      </c>
      <c r="S1344" t="s">
        <v>5176</v>
      </c>
      <c r="T1344" t="s">
        <v>7662</v>
      </c>
      <c r="U1344" t="s">
        <v>7662</v>
      </c>
      <c r="V1344" t="s">
        <v>7662</v>
      </c>
      <c r="W1344">
        <v>3</v>
      </c>
      <c r="X1344" t="s">
        <v>9006</v>
      </c>
      <c r="Y1344">
        <v>0.63372415208671173</v>
      </c>
      <c r="Z1344" t="str">
        <f>HYPERLINK("Melting_Curves/meltCurve_sp_P98175_4_RBM10_HUMAN_.pdf", "Melting_Curves/meltCurve_sp_P98175_4_RBM10_HUMAN_.pdf")</f>
        <v>Melting_Curves/meltCurve_sp_P98175_4_RBM10_HUMAN_.pdf</v>
      </c>
      <c r="AA1344" t="s">
        <v>12817</v>
      </c>
      <c r="AB1344" t="s">
        <v>16584</v>
      </c>
    </row>
    <row r="1345" spans="1:28" x14ac:dyDescent="0.25">
      <c r="A1345" t="s">
        <v>1349</v>
      </c>
      <c r="B1345">
        <v>0.98876768158843997</v>
      </c>
      <c r="C1345">
        <v>1.1218596293053</v>
      </c>
      <c r="D1345">
        <v>0.87323757642022504</v>
      </c>
      <c r="E1345">
        <v>0.72586302678168901</v>
      </c>
      <c r="F1345">
        <v>0.751323663819494</v>
      </c>
      <c r="G1345">
        <v>0.58126316765875397</v>
      </c>
      <c r="H1345">
        <v>0.41655858186672201</v>
      </c>
      <c r="I1345">
        <v>0.51479986544349099</v>
      </c>
      <c r="J1345">
        <v>0.74454675946897397</v>
      </c>
      <c r="K1345">
        <v>0.75066544211890096</v>
      </c>
      <c r="L1345">
        <v>1165.4206563361499</v>
      </c>
      <c r="M1345">
        <v>23.951993248005799</v>
      </c>
      <c r="O1345">
        <v>48.321140771211702</v>
      </c>
      <c r="P1345">
        <v>-4.8142852411964601E-2</v>
      </c>
      <c r="Q1345">
        <v>0.61150932173591099</v>
      </c>
      <c r="R1345">
        <v>0.71080489709570205</v>
      </c>
      <c r="S1345" t="s">
        <v>5177</v>
      </c>
      <c r="T1345" t="s">
        <v>7662</v>
      </c>
      <c r="U1345" t="s">
        <v>7662</v>
      </c>
      <c r="V1345" t="s">
        <v>7662</v>
      </c>
      <c r="W1345">
        <v>1</v>
      </c>
      <c r="X1345" t="s">
        <v>9007</v>
      </c>
      <c r="Y1345">
        <v>0.72736520798532267</v>
      </c>
      <c r="Z1345" t="str">
        <f>HYPERLINK("Melting_Curves/meltCurve_sp_P98179_RBM3_HUMAN_.pdf", "Melting_Curves/meltCurve_sp_P98179_RBM3_HUMAN_.pdf")</f>
        <v>Melting_Curves/meltCurve_sp_P98179_RBM3_HUMAN_.pdf</v>
      </c>
      <c r="AA1345" t="s">
        <v>12818</v>
      </c>
      <c r="AB1345" t="s">
        <v>16585</v>
      </c>
    </row>
    <row r="1346" spans="1:28" x14ac:dyDescent="0.25">
      <c r="A1346" t="s">
        <v>1350</v>
      </c>
      <c r="B1346">
        <v>0.98876768158843997</v>
      </c>
      <c r="C1346">
        <v>1.06863463736776</v>
      </c>
      <c r="D1346">
        <v>0.89091887079826004</v>
      </c>
      <c r="E1346">
        <v>0.79039129955030096</v>
      </c>
      <c r="F1346">
        <v>0.72998659284240797</v>
      </c>
      <c r="G1346">
        <v>0.45331753908300498</v>
      </c>
      <c r="H1346">
        <v>0.32940041553481397</v>
      </c>
      <c r="I1346">
        <v>0.33079361374548499</v>
      </c>
      <c r="J1346">
        <v>0.36554183083693897</v>
      </c>
      <c r="K1346">
        <v>0.403333389295982</v>
      </c>
      <c r="L1346">
        <v>968.00163222180697</v>
      </c>
      <c r="M1346">
        <v>18.317156355167299</v>
      </c>
      <c r="N1346">
        <v>56.258758966416202</v>
      </c>
      <c r="O1346">
        <v>52.228927817838098</v>
      </c>
      <c r="P1346">
        <v>-5.8275474130054898E-2</v>
      </c>
      <c r="Q1346">
        <v>0.33537164908119599</v>
      </c>
      <c r="R1346">
        <v>0.96566766434780904</v>
      </c>
      <c r="S1346" t="s">
        <v>5178</v>
      </c>
      <c r="T1346" t="s">
        <v>7662</v>
      </c>
      <c r="U1346" t="s">
        <v>7662</v>
      </c>
      <c r="V1346" t="s">
        <v>7662</v>
      </c>
      <c r="W1346">
        <v>10</v>
      </c>
      <c r="X1346" t="s">
        <v>9008</v>
      </c>
      <c r="Y1346">
        <v>0.63058933166467668</v>
      </c>
      <c r="Z1346" t="str">
        <f>HYPERLINK("Melting_Curves/meltCurve_sp_Q00059_TFAM_HUMAN_.pdf", "Melting_Curves/meltCurve_sp_Q00059_TFAM_HUMAN_.pdf")</f>
        <v>Melting_Curves/meltCurve_sp_Q00059_TFAM_HUMAN_.pdf</v>
      </c>
      <c r="AA1346" t="s">
        <v>12819</v>
      </c>
      <c r="AB1346" t="s">
        <v>16586</v>
      </c>
    </row>
    <row r="1347" spans="1:28" x14ac:dyDescent="0.25">
      <c r="A1347" t="s">
        <v>1351</v>
      </c>
      <c r="B1347">
        <v>0.98876768158843997</v>
      </c>
      <c r="C1347">
        <v>0.89601994960810005</v>
      </c>
      <c r="D1347">
        <v>0.87894413428281704</v>
      </c>
      <c r="E1347">
        <v>0.69013479582787596</v>
      </c>
      <c r="F1347">
        <v>0.69458186270951106</v>
      </c>
      <c r="G1347">
        <v>0.46636916949326601</v>
      </c>
      <c r="H1347">
        <v>0.28567612273309501</v>
      </c>
      <c r="I1347">
        <v>0.154677117824391</v>
      </c>
      <c r="J1347">
        <v>6.8617405464598893E-2</v>
      </c>
      <c r="K1347">
        <v>7.0373137104175296E-2</v>
      </c>
      <c r="L1347">
        <v>601.86907000582903</v>
      </c>
      <c r="M1347">
        <v>10.8696345810687</v>
      </c>
      <c r="N1347">
        <v>55.371601086059798</v>
      </c>
      <c r="O1347">
        <v>53.596312107850501</v>
      </c>
      <c r="P1347">
        <v>-5.0719320284355898E-2</v>
      </c>
      <c r="Q1347">
        <v>0</v>
      </c>
      <c r="R1347">
        <v>0.97972096764030703</v>
      </c>
      <c r="S1347" t="s">
        <v>5179</v>
      </c>
      <c r="T1347" t="s">
        <v>7662</v>
      </c>
      <c r="U1347" t="s">
        <v>7662</v>
      </c>
      <c r="V1347" t="s">
        <v>7662</v>
      </c>
      <c r="W1347">
        <v>11</v>
      </c>
      <c r="X1347" t="s">
        <v>9009</v>
      </c>
      <c r="Y1347">
        <v>0.53587917012991104</v>
      </c>
      <c r="Z1347" t="str">
        <f>HYPERLINK("Melting_Curves/meltCurve_sp_Q00169_PIPNA_HUMAN_.pdf", "Melting_Curves/meltCurve_sp_Q00169_PIPNA_HUMAN_.pdf")</f>
        <v>Melting_Curves/meltCurve_sp_Q00169_PIPNA_HUMAN_.pdf</v>
      </c>
      <c r="AA1347" t="s">
        <v>12820</v>
      </c>
      <c r="AB1347" t="s">
        <v>16587</v>
      </c>
    </row>
    <row r="1348" spans="1:28" x14ac:dyDescent="0.25">
      <c r="A1348" t="s">
        <v>1352</v>
      </c>
      <c r="B1348">
        <v>0.98876768158843997</v>
      </c>
      <c r="C1348">
        <v>1.0345979833958101</v>
      </c>
      <c r="D1348">
        <v>0.88764338924786901</v>
      </c>
      <c r="E1348">
        <v>0.69259122016143504</v>
      </c>
      <c r="F1348">
        <v>0.15807915816984799</v>
      </c>
      <c r="G1348">
        <v>8.4349724887265401E-2</v>
      </c>
      <c r="H1348">
        <v>4.70223629848497E-2</v>
      </c>
      <c r="I1348">
        <v>3.8336150263579401E-2</v>
      </c>
      <c r="J1348">
        <v>3.8836840057416999E-2</v>
      </c>
      <c r="K1348">
        <v>3.31793616245512E-2</v>
      </c>
      <c r="L1348">
        <v>2217.5651145076199</v>
      </c>
      <c r="M1348">
        <v>43.668174141638303</v>
      </c>
      <c r="N1348">
        <v>50.889604115762403</v>
      </c>
      <c r="O1348">
        <v>50.6760437643321</v>
      </c>
      <c r="P1348">
        <v>-0.20594345041703899</v>
      </c>
      <c r="Q1348">
        <v>4.4028628214682002E-2</v>
      </c>
      <c r="R1348">
        <v>0.99226720946865299</v>
      </c>
      <c r="S1348" t="s">
        <v>5180</v>
      </c>
      <c r="T1348" t="s">
        <v>7662</v>
      </c>
      <c r="U1348" t="s">
        <v>7662</v>
      </c>
      <c r="V1348" t="s">
        <v>7662</v>
      </c>
      <c r="W1348">
        <v>19</v>
      </c>
      <c r="X1348" t="s">
        <v>9010</v>
      </c>
      <c r="Y1348">
        <v>0.39042256899882849</v>
      </c>
      <c r="Z1348" t="str">
        <f>HYPERLINK("Melting_Curves/meltCurve_sp_Q00266_METK1_HUMAN_.pdf", "Melting_Curves/meltCurve_sp_Q00266_METK1_HUMAN_.pdf")</f>
        <v>Melting_Curves/meltCurve_sp_Q00266_METK1_HUMAN_.pdf</v>
      </c>
      <c r="AA1348" t="s">
        <v>12821</v>
      </c>
      <c r="AB1348" t="s">
        <v>16588</v>
      </c>
    </row>
    <row r="1349" spans="1:28" x14ac:dyDescent="0.25">
      <c r="A1349" t="s">
        <v>1353</v>
      </c>
      <c r="B1349">
        <v>0.98876768158843997</v>
      </c>
      <c r="C1349">
        <v>1.04389075764231</v>
      </c>
      <c r="D1349">
        <v>0.85509103289264798</v>
      </c>
      <c r="E1349">
        <v>0.42834554925820501</v>
      </c>
      <c r="F1349">
        <v>0.25013678027990399</v>
      </c>
      <c r="G1349">
        <v>0.13866665944134099</v>
      </c>
      <c r="H1349">
        <v>9.5645714191276404E-2</v>
      </c>
      <c r="I1349">
        <v>0.100663947107797</v>
      </c>
      <c r="J1349">
        <v>0.12449427650769899</v>
      </c>
      <c r="K1349">
        <v>9.07883084978309E-2</v>
      </c>
      <c r="L1349">
        <v>1256.36133682945</v>
      </c>
      <c r="M1349">
        <v>25.617574581319801</v>
      </c>
      <c r="N1349">
        <v>49.5047437093205</v>
      </c>
      <c r="O1349">
        <v>48.747040508445998</v>
      </c>
      <c r="P1349">
        <v>-0.117418604364532</v>
      </c>
      <c r="Q1349">
        <v>0.106279532886404</v>
      </c>
      <c r="R1349">
        <v>0.99534842935268497</v>
      </c>
      <c r="S1349" t="s">
        <v>5181</v>
      </c>
      <c r="T1349" t="s">
        <v>7662</v>
      </c>
      <c r="U1349" t="s">
        <v>7662</v>
      </c>
      <c r="V1349" t="s">
        <v>7662</v>
      </c>
      <c r="W1349">
        <v>34</v>
      </c>
      <c r="X1349" t="s">
        <v>9011</v>
      </c>
      <c r="Y1349">
        <v>0.38320887537197951</v>
      </c>
      <c r="Z1349" t="str">
        <f>HYPERLINK("Melting_Curves/meltCurve_sp_Q00341_VIGLN_HUMAN_.pdf", "Melting_Curves/meltCurve_sp_Q00341_VIGLN_HUMAN_.pdf")</f>
        <v>Melting_Curves/meltCurve_sp_Q00341_VIGLN_HUMAN_.pdf</v>
      </c>
      <c r="AA1349" t="s">
        <v>12822</v>
      </c>
      <c r="AB1349" t="s">
        <v>16589</v>
      </c>
    </row>
    <row r="1350" spans="1:28" x14ac:dyDescent="0.25">
      <c r="A1350" t="s">
        <v>1354</v>
      </c>
      <c r="B1350">
        <v>0.98876768158843997</v>
      </c>
      <c r="C1350">
        <v>0.95911961974873505</v>
      </c>
      <c r="D1350">
        <v>0.806064719396828</v>
      </c>
      <c r="E1350">
        <v>0.48775440695536898</v>
      </c>
      <c r="F1350">
        <v>0.43307116817271502</v>
      </c>
      <c r="G1350">
        <v>0.29893046147139901</v>
      </c>
      <c r="H1350">
        <v>0.251060283254738</v>
      </c>
      <c r="I1350">
        <v>0.26712654182121598</v>
      </c>
      <c r="J1350">
        <v>0.35435174296211602</v>
      </c>
      <c r="K1350">
        <v>0.37017815748032501</v>
      </c>
      <c r="L1350">
        <v>1063.7755484776501</v>
      </c>
      <c r="M1350">
        <v>22.188494868477001</v>
      </c>
      <c r="N1350">
        <v>50.114820763617097</v>
      </c>
      <c r="O1350">
        <v>47.558340282410398</v>
      </c>
      <c r="P1350">
        <v>-8.0612140891805198E-2</v>
      </c>
      <c r="Q1350">
        <v>0.30888563486360399</v>
      </c>
      <c r="R1350">
        <v>0.97905014779638599</v>
      </c>
      <c r="S1350" t="s">
        <v>5182</v>
      </c>
      <c r="T1350" t="s">
        <v>7662</v>
      </c>
      <c r="U1350" t="s">
        <v>7662</v>
      </c>
      <c r="V1350" t="s">
        <v>7662</v>
      </c>
      <c r="W1350">
        <v>3</v>
      </c>
      <c r="X1350" t="s">
        <v>9012</v>
      </c>
      <c r="Y1350">
        <v>0.49974220611631048</v>
      </c>
      <c r="Z1350" t="str">
        <f>HYPERLINK("Melting_Curves/meltCurve_sp_Q00403_TF2B_HUMAN_.pdf", "Melting_Curves/meltCurve_sp_Q00403_TF2B_HUMAN_.pdf")</f>
        <v>Melting_Curves/meltCurve_sp_Q00403_TF2B_HUMAN_.pdf</v>
      </c>
      <c r="AA1350" t="s">
        <v>12823</v>
      </c>
      <c r="AB1350" t="s">
        <v>16590</v>
      </c>
    </row>
    <row r="1351" spans="1:28" x14ac:dyDescent="0.25">
      <c r="A1351" t="s">
        <v>1355</v>
      </c>
      <c r="B1351">
        <v>0.98876768158843997</v>
      </c>
      <c r="C1351">
        <v>0.96659628654833196</v>
      </c>
      <c r="D1351">
        <v>0.67851188620688296</v>
      </c>
      <c r="E1351">
        <v>0.286348475896125</v>
      </c>
      <c r="F1351">
        <v>0.11765467803705</v>
      </c>
      <c r="G1351">
        <v>5.2405421719843998E-2</v>
      </c>
      <c r="H1351">
        <v>3.4858538513896302E-2</v>
      </c>
      <c r="I1351">
        <v>2.9706379682193199E-2</v>
      </c>
      <c r="J1351">
        <v>3.7571026040206901E-2</v>
      </c>
      <c r="K1351">
        <v>3.69251151634905E-2</v>
      </c>
      <c r="L1351">
        <v>1101.1491028149301</v>
      </c>
      <c r="M1351">
        <v>23.130786324245602</v>
      </c>
      <c r="N1351">
        <v>47.747379694820303</v>
      </c>
      <c r="O1351">
        <v>47.253830285742801</v>
      </c>
      <c r="P1351">
        <v>-0.118308876583111</v>
      </c>
      <c r="Q1351">
        <v>3.3246317475751998E-2</v>
      </c>
      <c r="R1351">
        <v>0.99846812215924596</v>
      </c>
      <c r="S1351" t="s">
        <v>5183</v>
      </c>
      <c r="T1351" t="s">
        <v>7662</v>
      </c>
      <c r="U1351" t="s">
        <v>7662</v>
      </c>
      <c r="V1351" t="s">
        <v>7662</v>
      </c>
      <c r="W1351">
        <v>6</v>
      </c>
      <c r="X1351" t="s">
        <v>9013</v>
      </c>
      <c r="Y1351">
        <v>0.28845527632963158</v>
      </c>
      <c r="Z1351" t="str">
        <f>HYPERLINK("Melting_Curves/meltCurve_sp_Q00535_CDK5_HUMAN_.pdf", "Melting_Curves/meltCurve_sp_Q00535_CDK5_HUMAN_.pdf")</f>
        <v>Melting_Curves/meltCurve_sp_Q00535_CDK5_HUMAN_.pdf</v>
      </c>
      <c r="AA1351" t="s">
        <v>12824</v>
      </c>
      <c r="AB1351" t="s">
        <v>16591</v>
      </c>
    </row>
    <row r="1352" spans="1:28" x14ac:dyDescent="0.25">
      <c r="A1352" t="s">
        <v>1356</v>
      </c>
      <c r="B1352">
        <v>0.98876768158843997</v>
      </c>
      <c r="C1352">
        <v>1.0294510516537001</v>
      </c>
      <c r="D1352">
        <v>1.0628703396131001</v>
      </c>
      <c r="E1352">
        <v>1.0533337567921699</v>
      </c>
      <c r="F1352">
        <v>0.91485590005013295</v>
      </c>
      <c r="G1352">
        <v>0.76217622349831005</v>
      </c>
      <c r="H1352">
        <v>0.76368081233436802</v>
      </c>
      <c r="I1352">
        <v>0.95781192625929301</v>
      </c>
      <c r="J1352">
        <v>0.90475285590269305</v>
      </c>
      <c r="K1352">
        <v>0.86650680530775603</v>
      </c>
      <c r="L1352">
        <v>13234.7630272968</v>
      </c>
      <c r="M1352">
        <v>250</v>
      </c>
      <c r="O1352">
        <v>52.935664468878798</v>
      </c>
      <c r="P1352">
        <v>-0.17593795624126801</v>
      </c>
      <c r="Q1352">
        <v>0.85098571857551897</v>
      </c>
      <c r="R1352">
        <v>0.64864174712491696</v>
      </c>
      <c r="S1352" t="s">
        <v>5184</v>
      </c>
      <c r="T1352" t="s">
        <v>7662</v>
      </c>
      <c r="U1352" t="s">
        <v>7662</v>
      </c>
      <c r="V1352" t="s">
        <v>7662</v>
      </c>
      <c r="W1352">
        <v>4</v>
      </c>
      <c r="X1352" t="s">
        <v>9014</v>
      </c>
      <c r="Y1352">
        <v>0.91526968148918308</v>
      </c>
      <c r="Z1352" t="str">
        <f>HYPERLINK("Melting_Curves/meltCurve_sp_Q00577_PURA_HUMAN_.pdf", "Melting_Curves/meltCurve_sp_Q00577_PURA_HUMAN_.pdf")</f>
        <v>Melting_Curves/meltCurve_sp_Q00577_PURA_HUMAN_.pdf</v>
      </c>
      <c r="AA1352" t="s">
        <v>12825</v>
      </c>
      <c r="AB1352" t="s">
        <v>16592</v>
      </c>
    </row>
    <row r="1353" spans="1:28" x14ac:dyDescent="0.25">
      <c r="A1353" t="s">
        <v>1357</v>
      </c>
      <c r="B1353">
        <v>0.98876768158843997</v>
      </c>
      <c r="C1353">
        <v>0.87958479393943301</v>
      </c>
      <c r="D1353">
        <v>1.16116573271859</v>
      </c>
      <c r="E1353">
        <v>0.638094749767951</v>
      </c>
      <c r="F1353">
        <v>0.16153445853375301</v>
      </c>
      <c r="G1353">
        <v>0.10036569733925201</v>
      </c>
      <c r="H1353">
        <v>6.2212486905334402E-2</v>
      </c>
      <c r="I1353">
        <v>5.6229764576212898E-2</v>
      </c>
      <c r="J1353">
        <v>7.0495759666013402E-2</v>
      </c>
      <c r="K1353">
        <v>6.0244709965424803E-2</v>
      </c>
      <c r="L1353">
        <v>2657.11250349272</v>
      </c>
      <c r="M1353">
        <v>52.649306396150699</v>
      </c>
      <c r="N1353">
        <v>50.618725640397201</v>
      </c>
      <c r="O1353">
        <v>50.395486725756697</v>
      </c>
      <c r="P1353">
        <v>-0.242247419210946</v>
      </c>
      <c r="Q1353">
        <v>7.2491628191298702E-2</v>
      </c>
      <c r="R1353">
        <v>0.97568353373869399</v>
      </c>
      <c r="S1353" t="s">
        <v>5185</v>
      </c>
      <c r="T1353" t="s">
        <v>7662</v>
      </c>
      <c r="U1353" t="s">
        <v>7662</v>
      </c>
      <c r="V1353" t="s">
        <v>7662</v>
      </c>
      <c r="W1353">
        <v>53</v>
      </c>
      <c r="X1353" t="s">
        <v>9015</v>
      </c>
      <c r="Y1353">
        <v>0.39799569380535821</v>
      </c>
      <c r="Z1353" t="str">
        <f>HYPERLINK("Melting_Curves/meltCurve_sp_Q00610_2_CLH1_HUMAN_.pdf", "Melting_Curves/meltCurve_sp_Q00610_2_CLH1_HUMAN_.pdf")</f>
        <v>Melting_Curves/meltCurve_sp_Q00610_2_CLH1_HUMAN_.pdf</v>
      </c>
      <c r="AA1353" t="s">
        <v>12826</v>
      </c>
      <c r="AB1353" t="s">
        <v>16593</v>
      </c>
    </row>
    <row r="1354" spans="1:28" x14ac:dyDescent="0.25">
      <c r="A1354" t="s">
        <v>1358</v>
      </c>
      <c r="B1354">
        <v>0.98876768158843997</v>
      </c>
      <c r="C1354">
        <v>0.85276561259352601</v>
      </c>
      <c r="D1354">
        <v>0.90586231703338804</v>
      </c>
      <c r="E1354">
        <v>0.70132735556814096</v>
      </c>
      <c r="F1354">
        <v>0.413276891168392</v>
      </c>
      <c r="G1354">
        <v>0.249059063186859</v>
      </c>
      <c r="H1354">
        <v>0.123685584331246</v>
      </c>
      <c r="I1354">
        <v>0.10152679486397601</v>
      </c>
      <c r="J1354">
        <v>0.18566687887083699</v>
      </c>
      <c r="K1354">
        <v>0.12072528468204601</v>
      </c>
      <c r="L1354">
        <v>906.90214988200205</v>
      </c>
      <c r="M1354">
        <v>17.651500363218901</v>
      </c>
      <c r="N1354">
        <v>52.104856291730798</v>
      </c>
      <c r="O1354">
        <v>50.732372431331001</v>
      </c>
      <c r="P1354">
        <v>-7.7497403816744401E-2</v>
      </c>
      <c r="Q1354">
        <v>0.109102896378932</v>
      </c>
      <c r="R1354">
        <v>0.98001643042128095</v>
      </c>
      <c r="S1354" t="s">
        <v>5186</v>
      </c>
      <c r="T1354" t="s">
        <v>7662</v>
      </c>
      <c r="U1354" t="s">
        <v>7662</v>
      </c>
      <c r="V1354" t="s">
        <v>7662</v>
      </c>
      <c r="W1354">
        <v>2</v>
      </c>
      <c r="X1354" t="s">
        <v>9016</v>
      </c>
      <c r="Y1354">
        <v>0.46246316794884967</v>
      </c>
      <c r="Z1354" t="str">
        <f>HYPERLINK("Melting_Curves/meltCurve_sp_Q00653_NFKB2_HUMAN_.pdf", "Melting_Curves/meltCurve_sp_Q00653_NFKB2_HUMAN_.pdf")</f>
        <v>Melting_Curves/meltCurve_sp_Q00653_NFKB2_HUMAN_.pdf</v>
      </c>
      <c r="AA1354" t="s">
        <v>12827</v>
      </c>
      <c r="AB1354" t="s">
        <v>16594</v>
      </c>
    </row>
    <row r="1355" spans="1:28" x14ac:dyDescent="0.25">
      <c r="A1355" t="s">
        <v>1359</v>
      </c>
      <c r="B1355">
        <v>0.98876768158843997</v>
      </c>
      <c r="C1355">
        <v>1.1467673328572701</v>
      </c>
      <c r="D1355">
        <v>0.86097887678712304</v>
      </c>
      <c r="E1355">
        <v>0.73242659752219097</v>
      </c>
      <c r="F1355">
        <v>0.94725518240326501</v>
      </c>
      <c r="G1355">
        <v>0.59377569585777001</v>
      </c>
      <c r="H1355">
        <v>0.42862793499320601</v>
      </c>
      <c r="I1355">
        <v>0.491000755524095</v>
      </c>
      <c r="J1355">
        <v>0.50707972306967697</v>
      </c>
      <c r="K1355">
        <v>0.67806557806962897</v>
      </c>
      <c r="L1355">
        <v>862.69160500034002</v>
      </c>
      <c r="M1355">
        <v>16.3207277798139</v>
      </c>
      <c r="O1355">
        <v>52.084186332597497</v>
      </c>
      <c r="P1355">
        <v>-3.8152019704328202E-2</v>
      </c>
      <c r="Q1355">
        <v>0.51301860578601199</v>
      </c>
      <c r="R1355">
        <v>0.73920435831337705</v>
      </c>
      <c r="S1355" t="s">
        <v>5187</v>
      </c>
      <c r="T1355" t="s">
        <v>7662</v>
      </c>
      <c r="U1355" t="s">
        <v>7662</v>
      </c>
      <c r="V1355" t="s">
        <v>7662</v>
      </c>
      <c r="W1355">
        <v>14</v>
      </c>
      <c r="X1355" t="s">
        <v>9017</v>
      </c>
      <c r="Y1355">
        <v>0.73106740773708645</v>
      </c>
      <c r="Z1355" t="str">
        <f>HYPERLINK("Melting_Curves/meltCurve_sp_Q00688_FKBP3_HUMAN_.pdf", "Melting_Curves/meltCurve_sp_Q00688_FKBP3_HUMAN_.pdf")</f>
        <v>Melting_Curves/meltCurve_sp_Q00688_FKBP3_HUMAN_.pdf</v>
      </c>
      <c r="AA1355" t="s">
        <v>12828</v>
      </c>
      <c r="AB1355" t="s">
        <v>16595</v>
      </c>
    </row>
    <row r="1356" spans="1:28" x14ac:dyDescent="0.25">
      <c r="A1356" t="s">
        <v>1360</v>
      </c>
      <c r="B1356">
        <v>0.98876768158843997</v>
      </c>
      <c r="C1356">
        <v>1.04680103411807</v>
      </c>
      <c r="D1356">
        <v>1.05876514060702</v>
      </c>
      <c r="E1356">
        <v>0.83108250448036403</v>
      </c>
      <c r="F1356">
        <v>0.60210886126229601</v>
      </c>
      <c r="G1356">
        <v>0.35858125704076999</v>
      </c>
      <c r="H1356">
        <v>0.27458410828018098</v>
      </c>
      <c r="I1356">
        <v>0.28217082175014302</v>
      </c>
      <c r="J1356">
        <v>0.46650560064788699</v>
      </c>
      <c r="K1356">
        <v>0.383769472985383</v>
      </c>
      <c r="L1356">
        <v>1714.16921920341</v>
      </c>
      <c r="M1356">
        <v>32.965408035044803</v>
      </c>
      <c r="N1356">
        <v>53.943333090464598</v>
      </c>
      <c r="O1356">
        <v>51.808797029287597</v>
      </c>
      <c r="P1356">
        <v>-0.103777208589989</v>
      </c>
      <c r="Q1356">
        <v>0.34761332318485599</v>
      </c>
      <c r="R1356">
        <v>0.96255590945206904</v>
      </c>
      <c r="S1356" t="s">
        <v>5188</v>
      </c>
      <c r="T1356" t="s">
        <v>7662</v>
      </c>
      <c r="U1356" t="s">
        <v>7662</v>
      </c>
      <c r="V1356" t="s">
        <v>7662</v>
      </c>
      <c r="W1356">
        <v>4</v>
      </c>
      <c r="X1356" t="s">
        <v>9018</v>
      </c>
      <c r="Y1356">
        <v>0.61200183388062379</v>
      </c>
      <c r="Z1356" t="str">
        <f>HYPERLINK("Melting_Curves/meltCurve_sp_Q00765_REEP5_HUMAN_.pdf", "Melting_Curves/meltCurve_sp_Q00765_REEP5_HUMAN_.pdf")</f>
        <v>Melting_Curves/meltCurve_sp_Q00765_REEP5_HUMAN_.pdf</v>
      </c>
      <c r="AA1356" t="s">
        <v>12829</v>
      </c>
      <c r="AB1356" t="s">
        <v>16596</v>
      </c>
    </row>
    <row r="1357" spans="1:28" x14ac:dyDescent="0.25">
      <c r="A1357" t="s">
        <v>1361</v>
      </c>
      <c r="B1357">
        <v>0.98876768158843997</v>
      </c>
      <c r="C1357">
        <v>0.66839448555274705</v>
      </c>
      <c r="D1357">
        <v>1.0251215283100501</v>
      </c>
      <c r="E1357">
        <v>1.0671177416714801</v>
      </c>
      <c r="F1357">
        <v>0.62427859118163598</v>
      </c>
      <c r="G1357">
        <v>0.65838842793865504</v>
      </c>
      <c r="H1357">
        <v>0.37061213449209301</v>
      </c>
      <c r="I1357">
        <v>7.1359081289152998E-2</v>
      </c>
      <c r="J1357">
        <v>3.3770753080808097E-2</v>
      </c>
      <c r="K1357">
        <v>3.9644365938778202E-2</v>
      </c>
      <c r="L1357">
        <v>972.79650045295102</v>
      </c>
      <c r="M1357">
        <v>16.8174228555635</v>
      </c>
      <c r="N1357">
        <v>57.844565064482303</v>
      </c>
      <c r="O1357">
        <v>57.045243680886898</v>
      </c>
      <c r="P1357">
        <v>-7.3706876882158698E-2</v>
      </c>
      <c r="Q1357">
        <v>0</v>
      </c>
      <c r="R1357">
        <v>0.87085639860000397</v>
      </c>
      <c r="S1357" t="s">
        <v>5189</v>
      </c>
      <c r="T1357" t="s">
        <v>7662</v>
      </c>
      <c r="U1357" t="s">
        <v>7662</v>
      </c>
      <c r="V1357" t="s">
        <v>7662</v>
      </c>
      <c r="W1357">
        <v>21</v>
      </c>
      <c r="X1357" t="s">
        <v>9019</v>
      </c>
      <c r="Y1357">
        <v>0.60800950343459614</v>
      </c>
      <c r="Z1357" t="str">
        <f>HYPERLINK("Melting_Curves/meltCurve_sp_Q00796_DHSO_HUMAN_.pdf", "Melting_Curves/meltCurve_sp_Q00796_DHSO_HUMAN_.pdf")</f>
        <v>Melting_Curves/meltCurve_sp_Q00796_DHSO_HUMAN_.pdf</v>
      </c>
      <c r="AA1357" t="s">
        <v>12830</v>
      </c>
      <c r="AB1357" t="s">
        <v>16597</v>
      </c>
    </row>
    <row r="1358" spans="1:28" x14ac:dyDescent="0.25">
      <c r="A1358" t="s">
        <v>1362</v>
      </c>
      <c r="B1358">
        <v>0.98876768158843997</v>
      </c>
      <c r="C1358">
        <v>0.98769219782635798</v>
      </c>
      <c r="D1358">
        <v>0.82876299294850697</v>
      </c>
      <c r="E1358">
        <v>0.63313742993239697</v>
      </c>
      <c r="F1358">
        <v>0.58116631420060405</v>
      </c>
      <c r="G1358">
        <v>0.33053819115947602</v>
      </c>
      <c r="H1358">
        <v>0.177258496516075</v>
      </c>
      <c r="I1358">
        <v>0.173579117608198</v>
      </c>
      <c r="J1358">
        <v>0.19046803263748999</v>
      </c>
      <c r="K1358">
        <v>0.22303359563292899</v>
      </c>
      <c r="L1358">
        <v>701.461248604047</v>
      </c>
      <c r="M1358">
        <v>13.5609025589076</v>
      </c>
      <c r="N1358">
        <v>53.063634063348097</v>
      </c>
      <c r="O1358">
        <v>50.640776599245797</v>
      </c>
      <c r="P1358">
        <v>-5.72677902821307E-2</v>
      </c>
      <c r="Q1358">
        <v>0.14470269074632999</v>
      </c>
      <c r="R1358">
        <v>0.98201134486818797</v>
      </c>
      <c r="S1358" t="s">
        <v>5190</v>
      </c>
      <c r="T1358" t="s">
        <v>7662</v>
      </c>
      <c r="U1358" t="s">
        <v>7662</v>
      </c>
      <c r="V1358" t="s">
        <v>7662</v>
      </c>
      <c r="W1358">
        <v>24</v>
      </c>
      <c r="X1358" t="s">
        <v>9020</v>
      </c>
      <c r="Y1358">
        <v>0.50151025004352423</v>
      </c>
      <c r="Z1358" t="str">
        <f>HYPERLINK("Melting_Curves/meltCurve_sp_Q00839_HNRPU_HUMAN_.pdf", "Melting_Curves/meltCurve_sp_Q00839_HNRPU_HUMAN_.pdf")</f>
        <v>Melting_Curves/meltCurve_sp_Q00839_HNRPU_HUMAN_.pdf</v>
      </c>
      <c r="AA1358" t="s">
        <v>12831</v>
      </c>
      <c r="AB1358" t="s">
        <v>16598</v>
      </c>
    </row>
    <row r="1359" spans="1:28" x14ac:dyDescent="0.25">
      <c r="A1359" t="s">
        <v>1363</v>
      </c>
      <c r="B1359">
        <v>0.98876768158843997</v>
      </c>
      <c r="C1359">
        <v>0.93048321964147396</v>
      </c>
      <c r="D1359">
        <v>0.85750361882919102</v>
      </c>
      <c r="E1359">
        <v>0.54133321052315597</v>
      </c>
      <c r="F1359">
        <v>0.28164026423389699</v>
      </c>
      <c r="G1359">
        <v>0.18362912043509899</v>
      </c>
      <c r="H1359">
        <v>0.13651215420198101</v>
      </c>
      <c r="I1359">
        <v>0.13856506515637301</v>
      </c>
      <c r="J1359">
        <v>0.168124707270843</v>
      </c>
      <c r="K1359">
        <v>0.17691314634680799</v>
      </c>
      <c r="L1359">
        <v>1089.7756066116799</v>
      </c>
      <c r="M1359">
        <v>22.054425815188299</v>
      </c>
      <c r="N1359">
        <v>50.202372432888303</v>
      </c>
      <c r="O1359">
        <v>49.012160559250198</v>
      </c>
      <c r="P1359">
        <v>-9.6014627768816904E-2</v>
      </c>
      <c r="Q1359">
        <v>0.14651543885119001</v>
      </c>
      <c r="R1359">
        <v>0.99594745993456502</v>
      </c>
      <c r="S1359" t="s">
        <v>5191</v>
      </c>
      <c r="T1359" t="s">
        <v>7662</v>
      </c>
      <c r="U1359" t="s">
        <v>7662</v>
      </c>
      <c r="V1359" t="s">
        <v>7662</v>
      </c>
      <c r="W1359">
        <v>2</v>
      </c>
      <c r="X1359" t="s">
        <v>9021</v>
      </c>
      <c r="Y1359">
        <v>0.42409911866296562</v>
      </c>
      <c r="Z1359" t="str">
        <f>HYPERLINK("Melting_Curves/meltCurve_sp_Q00G26_PLIN5_HUMAN_.pdf", "Melting_Curves/meltCurve_sp_Q00G26_PLIN5_HUMAN_.pdf")</f>
        <v>Melting_Curves/meltCurve_sp_Q00G26_PLIN5_HUMAN_.pdf</v>
      </c>
      <c r="AA1359" t="s">
        <v>12832</v>
      </c>
      <c r="AB1359" t="s">
        <v>16599</v>
      </c>
    </row>
    <row r="1360" spans="1:28" x14ac:dyDescent="0.25">
      <c r="A1360" t="s">
        <v>1364</v>
      </c>
      <c r="B1360">
        <v>0.98876768158843997</v>
      </c>
      <c r="C1360">
        <v>0.89460043686902702</v>
      </c>
      <c r="D1360">
        <v>0.76779159505189498</v>
      </c>
      <c r="E1360">
        <v>0.32599743248193003</v>
      </c>
      <c r="F1360">
        <v>0.25068035716765102</v>
      </c>
      <c r="G1360">
        <v>8.2120847504042693E-2</v>
      </c>
      <c r="H1360">
        <v>7.3554717815286094E-2</v>
      </c>
      <c r="I1360">
        <v>7.1476019391275805E-2</v>
      </c>
      <c r="J1360">
        <v>0.102431439731382</v>
      </c>
      <c r="K1360">
        <v>0.14945212880469899</v>
      </c>
      <c r="L1360">
        <v>1020.79881037703</v>
      </c>
      <c r="M1360">
        <v>21.284758319448301</v>
      </c>
      <c r="N1360">
        <v>48.423117557722897</v>
      </c>
      <c r="O1360">
        <v>47.541809681428298</v>
      </c>
      <c r="P1360">
        <v>-0.10160388533917</v>
      </c>
      <c r="Q1360">
        <v>9.2249638082425603E-2</v>
      </c>
      <c r="R1360">
        <v>0.98975696981127903</v>
      </c>
      <c r="S1360" t="s">
        <v>5192</v>
      </c>
      <c r="T1360" t="s">
        <v>7662</v>
      </c>
      <c r="U1360" t="s">
        <v>7662</v>
      </c>
      <c r="V1360" t="s">
        <v>7662</v>
      </c>
      <c r="W1360">
        <v>2</v>
      </c>
      <c r="X1360" t="s">
        <v>9022</v>
      </c>
      <c r="Y1360">
        <v>0.34438875845756262</v>
      </c>
      <c r="Z1360" t="str">
        <f>HYPERLINK("Melting_Curves/meltCurve_sp_Q01081_U2AF1_HUMAN_.pdf", "Melting_Curves/meltCurve_sp_Q01081_U2AF1_HUMAN_.pdf")</f>
        <v>Melting_Curves/meltCurve_sp_Q01081_U2AF1_HUMAN_.pdf</v>
      </c>
      <c r="AA1360" t="s">
        <v>12833</v>
      </c>
      <c r="AB1360" t="s">
        <v>16600</v>
      </c>
    </row>
    <row r="1361" spans="1:28" x14ac:dyDescent="0.25">
      <c r="A1361" t="s">
        <v>1365</v>
      </c>
      <c r="B1361">
        <v>0.98876768158843997</v>
      </c>
      <c r="C1361">
        <v>0.95964239654723904</v>
      </c>
      <c r="D1361">
        <v>1.25231279828751</v>
      </c>
      <c r="E1361">
        <v>1.0498634797791999</v>
      </c>
      <c r="F1361">
        <v>0.71578422399014296</v>
      </c>
      <c r="G1361">
        <v>0.40179150880599002</v>
      </c>
      <c r="H1361">
        <v>7.5625859385733907E-2</v>
      </c>
      <c r="I1361">
        <v>5.9312475974839803E-2</v>
      </c>
      <c r="J1361">
        <v>5.7343904042460002E-2</v>
      </c>
      <c r="K1361">
        <v>5.8091500251241698E-2</v>
      </c>
      <c r="L1361">
        <v>1524.4371438765099</v>
      </c>
      <c r="M1361">
        <v>27.476597343098099</v>
      </c>
      <c r="N1361">
        <v>55.656662203579103</v>
      </c>
      <c r="O1361">
        <v>55.189903557336997</v>
      </c>
      <c r="P1361">
        <v>-0.119303794243662</v>
      </c>
      <c r="Q1361">
        <v>4.1467258340235097E-2</v>
      </c>
      <c r="R1361">
        <v>0.95899476972476505</v>
      </c>
      <c r="S1361" t="s">
        <v>5193</v>
      </c>
      <c r="T1361" t="s">
        <v>7662</v>
      </c>
      <c r="U1361" t="s">
        <v>7662</v>
      </c>
      <c r="V1361" t="s">
        <v>7662</v>
      </c>
      <c r="W1361">
        <v>90</v>
      </c>
      <c r="X1361" t="s">
        <v>9023</v>
      </c>
      <c r="Y1361">
        <v>0.54360431264575138</v>
      </c>
      <c r="Z1361" t="str">
        <f>HYPERLINK("Melting_Curves/meltCurve_sp_Q01082_3_SPTB2_HUMAN_.pdf", "Melting_Curves/meltCurve_sp_Q01082_3_SPTB2_HUMAN_.pdf")</f>
        <v>Melting_Curves/meltCurve_sp_Q01082_3_SPTB2_HUMAN_.pdf</v>
      </c>
      <c r="AA1361" t="s">
        <v>12834</v>
      </c>
      <c r="AB1361" t="s">
        <v>16601</v>
      </c>
    </row>
    <row r="1362" spans="1:28" x14ac:dyDescent="0.25">
      <c r="A1362" t="s">
        <v>1366</v>
      </c>
      <c r="B1362">
        <v>0.98876768158843997</v>
      </c>
      <c r="C1362">
        <v>0.90131248487890003</v>
      </c>
      <c r="D1362">
        <v>1.2299249728589501</v>
      </c>
      <c r="E1362">
        <v>0.98915283413269794</v>
      </c>
      <c r="F1362">
        <v>0.621439572679376</v>
      </c>
      <c r="G1362">
        <v>0.384225916975103</v>
      </c>
      <c r="H1362">
        <v>0.12528060867497401</v>
      </c>
      <c r="I1362">
        <v>0.118187439707377</v>
      </c>
      <c r="J1362">
        <v>0.13375600996782899</v>
      </c>
      <c r="K1362">
        <v>0.127039466410894</v>
      </c>
      <c r="L1362">
        <v>1458.5733603113799</v>
      </c>
      <c r="M1362">
        <v>26.859260685994599</v>
      </c>
      <c r="N1362">
        <v>54.861337615097398</v>
      </c>
      <c r="O1362">
        <v>54.005976150476599</v>
      </c>
      <c r="P1362">
        <v>-0.109496987141605</v>
      </c>
      <c r="Q1362">
        <v>0.119345864290993</v>
      </c>
      <c r="R1362">
        <v>0.95140800716650897</v>
      </c>
      <c r="S1362" t="s">
        <v>5194</v>
      </c>
      <c r="T1362" t="s">
        <v>7662</v>
      </c>
      <c r="U1362" t="s">
        <v>7662</v>
      </c>
      <c r="V1362" t="s">
        <v>7662</v>
      </c>
      <c r="W1362">
        <v>99</v>
      </c>
      <c r="X1362" t="s">
        <v>9024</v>
      </c>
      <c r="Y1362">
        <v>0.5464022069773774</v>
      </c>
      <c r="Z1362" t="str">
        <f>HYPERLINK("Melting_Curves/meltCurve_sp_Q01082_SPTB2_HUMAN_.pdf", "Melting_Curves/meltCurve_sp_Q01082_SPTB2_HUMAN_.pdf")</f>
        <v>Melting_Curves/meltCurve_sp_Q01082_SPTB2_HUMAN_.pdf</v>
      </c>
      <c r="AA1362" t="s">
        <v>12834</v>
      </c>
      <c r="AB1362" t="s">
        <v>16602</v>
      </c>
    </row>
    <row r="1363" spans="1:28" x14ac:dyDescent="0.25">
      <c r="A1363" t="s">
        <v>1367</v>
      </c>
      <c r="B1363">
        <v>0.98876768158843997</v>
      </c>
      <c r="C1363">
        <v>1.08391285678112</v>
      </c>
      <c r="D1363">
        <v>0.75887280650532196</v>
      </c>
      <c r="E1363">
        <v>0.49390387077452302</v>
      </c>
      <c r="F1363">
        <v>0.579399012306274</v>
      </c>
      <c r="G1363">
        <v>0.42940436229043699</v>
      </c>
      <c r="H1363">
        <v>0.25248662616589801</v>
      </c>
      <c r="I1363">
        <v>0.105610726750444</v>
      </c>
      <c r="J1363">
        <v>0.494784464293548</v>
      </c>
      <c r="K1363">
        <v>7.4326085015060203E-2</v>
      </c>
      <c r="L1363">
        <v>631.533110921088</v>
      </c>
      <c r="M1363">
        <v>12.5089666642609</v>
      </c>
      <c r="N1363">
        <v>52.640952023683298</v>
      </c>
      <c r="O1363">
        <v>49.248269926925303</v>
      </c>
      <c r="P1363">
        <v>-5.0788257377970998E-2</v>
      </c>
      <c r="Q1363">
        <v>0.20034324669678999</v>
      </c>
      <c r="R1363">
        <v>0.83382910788744802</v>
      </c>
      <c r="S1363" t="s">
        <v>5195</v>
      </c>
      <c r="T1363" t="s">
        <v>7662</v>
      </c>
      <c r="U1363" t="s">
        <v>7662</v>
      </c>
      <c r="V1363" t="s">
        <v>7662</v>
      </c>
      <c r="W1363">
        <v>4</v>
      </c>
      <c r="X1363" t="s">
        <v>9025</v>
      </c>
      <c r="Y1363">
        <v>0.50511160865429239</v>
      </c>
      <c r="Z1363" t="str">
        <f>HYPERLINK("Melting_Curves/meltCurve_sp_Q01085_2_TIAR_HUMAN_.pdf", "Melting_Curves/meltCurve_sp_Q01085_2_TIAR_HUMAN_.pdf")</f>
        <v>Melting_Curves/meltCurve_sp_Q01085_2_TIAR_HUMAN_.pdf</v>
      </c>
      <c r="AA1363" t="s">
        <v>12835</v>
      </c>
      <c r="AB1363" t="s">
        <v>16603</v>
      </c>
    </row>
    <row r="1364" spans="1:28" x14ac:dyDescent="0.25">
      <c r="A1364" t="s">
        <v>1368</v>
      </c>
      <c r="B1364">
        <v>0.98876768158843997</v>
      </c>
      <c r="C1364">
        <v>1.15050079082941</v>
      </c>
      <c r="D1364">
        <v>0.93304321700635895</v>
      </c>
      <c r="E1364">
        <v>0.90490810572471903</v>
      </c>
      <c r="F1364">
        <v>0.99817150772622298</v>
      </c>
      <c r="G1364">
        <v>0.72451285014864497</v>
      </c>
      <c r="H1364">
        <v>0.57223596334356497</v>
      </c>
      <c r="I1364">
        <v>0.67990006093670996</v>
      </c>
      <c r="J1364">
        <v>0.81495268391749198</v>
      </c>
      <c r="K1364">
        <v>1.01517913391203</v>
      </c>
      <c r="L1364">
        <v>13507.4927191755</v>
      </c>
      <c r="M1364">
        <v>250</v>
      </c>
      <c r="O1364">
        <v>54.026519868029503</v>
      </c>
      <c r="P1364">
        <v>-0.27607271033091102</v>
      </c>
      <c r="Q1364">
        <v>0.76135606484688301</v>
      </c>
      <c r="R1364">
        <v>0.48077432857734298</v>
      </c>
      <c r="S1364" t="s">
        <v>5196</v>
      </c>
      <c r="T1364" t="s">
        <v>7662</v>
      </c>
      <c r="U1364" t="s">
        <v>7662</v>
      </c>
      <c r="V1364" t="s">
        <v>7662</v>
      </c>
      <c r="W1364">
        <v>8</v>
      </c>
      <c r="X1364" t="s">
        <v>9026</v>
      </c>
      <c r="Y1364">
        <v>0.87298427548767599</v>
      </c>
      <c r="Z1364" t="str">
        <f>HYPERLINK("Melting_Curves/meltCurve_sp_Q01105_SET_HUMAN_.pdf", "Melting_Curves/meltCurve_sp_Q01105_SET_HUMAN_.pdf")</f>
        <v>Melting_Curves/meltCurve_sp_Q01105_SET_HUMAN_.pdf</v>
      </c>
      <c r="AA1364" t="s">
        <v>12836</v>
      </c>
      <c r="AB1364" t="s">
        <v>16604</v>
      </c>
    </row>
    <row r="1365" spans="1:28" x14ac:dyDescent="0.25">
      <c r="A1365" t="s">
        <v>1369</v>
      </c>
      <c r="B1365">
        <v>0.98876768158843997</v>
      </c>
      <c r="C1365">
        <v>1.0486337861997901</v>
      </c>
      <c r="D1365">
        <v>0.86973217019971305</v>
      </c>
      <c r="E1365">
        <v>0.77038312938406495</v>
      </c>
      <c r="F1365">
        <v>0.91390007523396999</v>
      </c>
      <c r="G1365">
        <v>0.22455206053042101</v>
      </c>
      <c r="H1365">
        <v>7.3030539799911198E-2</v>
      </c>
      <c r="I1365">
        <v>5.7633243909264699E-2</v>
      </c>
      <c r="J1365">
        <v>7.48518986811261E-2</v>
      </c>
      <c r="K1365">
        <v>4.8610613587347098E-2</v>
      </c>
      <c r="L1365">
        <v>2609.0974859590701</v>
      </c>
      <c r="M1365">
        <v>47.2490561565061</v>
      </c>
      <c r="N1365">
        <v>55.367115308250199</v>
      </c>
      <c r="O1365">
        <v>55.121464203453598</v>
      </c>
      <c r="P1365">
        <v>-0.20166095553400101</v>
      </c>
      <c r="Q1365">
        <v>5.89583141739628E-2</v>
      </c>
      <c r="R1365">
        <v>0.95998811502235104</v>
      </c>
      <c r="S1365" t="s">
        <v>5197</v>
      </c>
      <c r="T1365" t="s">
        <v>7662</v>
      </c>
      <c r="U1365" t="s">
        <v>7662</v>
      </c>
      <c r="V1365" t="s">
        <v>7662</v>
      </c>
      <c r="W1365">
        <v>9</v>
      </c>
      <c r="X1365" t="s">
        <v>9027</v>
      </c>
      <c r="Y1365">
        <v>0.53894887932605884</v>
      </c>
      <c r="Z1365" t="str">
        <f>HYPERLINK("Melting_Curves/meltCurve_sp_Q01415_GALK2_HUMAN_.pdf", "Melting_Curves/meltCurve_sp_Q01415_GALK2_HUMAN_.pdf")</f>
        <v>Melting_Curves/meltCurve_sp_Q01415_GALK2_HUMAN_.pdf</v>
      </c>
      <c r="AA1365" t="s">
        <v>12837</v>
      </c>
      <c r="AB1365" t="s">
        <v>16605</v>
      </c>
    </row>
    <row r="1366" spans="1:28" x14ac:dyDescent="0.25">
      <c r="A1366" t="s">
        <v>1370</v>
      </c>
      <c r="B1366">
        <v>0.98876768158843997</v>
      </c>
      <c r="C1366">
        <v>0.96435098618438697</v>
      </c>
      <c r="D1366">
        <v>1.13689070266845</v>
      </c>
      <c r="E1366">
        <v>1.0430968546591699</v>
      </c>
      <c r="F1366">
        <v>0.65768474360465701</v>
      </c>
      <c r="G1366">
        <v>0.59149249202846799</v>
      </c>
      <c r="H1366">
        <v>0.48901811154834401</v>
      </c>
      <c r="I1366">
        <v>0.154692694031622</v>
      </c>
      <c r="J1366">
        <v>7.8838896788275395E-2</v>
      </c>
      <c r="K1366">
        <v>7.1780672016628896E-2</v>
      </c>
      <c r="L1366">
        <v>868.82856987556295</v>
      </c>
      <c r="M1366">
        <v>14.858019778627</v>
      </c>
      <c r="N1366">
        <v>58.475394887547999</v>
      </c>
      <c r="O1366">
        <v>57.446792705733301</v>
      </c>
      <c r="P1366">
        <v>-6.4666699511138195E-2</v>
      </c>
      <c r="Q1366">
        <v>0</v>
      </c>
      <c r="R1366">
        <v>0.94002250134367904</v>
      </c>
      <c r="S1366" t="s">
        <v>5198</v>
      </c>
      <c r="T1366" t="s">
        <v>7662</v>
      </c>
      <c r="U1366" t="s">
        <v>7662</v>
      </c>
      <c r="V1366" t="s">
        <v>7662</v>
      </c>
      <c r="W1366">
        <v>18</v>
      </c>
      <c r="X1366" t="s">
        <v>9028</v>
      </c>
      <c r="Y1366">
        <v>0.6279405543270159</v>
      </c>
      <c r="Z1366" t="str">
        <f>HYPERLINK("Melting_Curves/meltCurve_sp_Q01433_2_AMPD2_HUMAN_.pdf", "Melting_Curves/meltCurve_sp_Q01433_2_AMPD2_HUMAN_.pdf")</f>
        <v>Melting_Curves/meltCurve_sp_Q01433_2_AMPD2_HUMAN_.pdf</v>
      </c>
      <c r="AA1366" t="s">
        <v>12838</v>
      </c>
      <c r="AB1366" t="s">
        <v>16606</v>
      </c>
    </row>
    <row r="1367" spans="1:28" x14ac:dyDescent="0.25">
      <c r="A1367" t="s">
        <v>1371</v>
      </c>
      <c r="B1367">
        <v>0.98876768158843997</v>
      </c>
      <c r="C1367">
        <v>0.99690931476338795</v>
      </c>
      <c r="D1367">
        <v>0.90514849621876903</v>
      </c>
      <c r="E1367">
        <v>0.68710586142053998</v>
      </c>
      <c r="F1367">
        <v>0.29269300349094202</v>
      </c>
      <c r="G1367">
        <v>0.14826450989485199</v>
      </c>
      <c r="H1367">
        <v>7.64693001364493E-2</v>
      </c>
      <c r="I1367">
        <v>6.3121191052367201E-2</v>
      </c>
      <c r="J1367">
        <v>8.9215772299734999E-2</v>
      </c>
      <c r="K1367">
        <v>5.3554642980027302E-2</v>
      </c>
      <c r="L1367">
        <v>1334.5997909156899</v>
      </c>
      <c r="M1367">
        <v>26.1534797737229</v>
      </c>
      <c r="N1367">
        <v>51.315560295199802</v>
      </c>
      <c r="O1367">
        <v>50.733991656461598</v>
      </c>
      <c r="P1367">
        <v>-0.120135935033023</v>
      </c>
      <c r="Q1367">
        <v>6.7824717808452506E-2</v>
      </c>
      <c r="R1367">
        <v>0.99658180142492303</v>
      </c>
      <c r="S1367" t="s">
        <v>5199</v>
      </c>
      <c r="T1367" t="s">
        <v>7662</v>
      </c>
      <c r="U1367" t="s">
        <v>7662</v>
      </c>
      <c r="V1367" t="s">
        <v>7662</v>
      </c>
      <c r="W1367">
        <v>3</v>
      </c>
      <c r="X1367" t="s">
        <v>9029</v>
      </c>
      <c r="Y1367">
        <v>0.41824672701335358</v>
      </c>
      <c r="Z1367" t="str">
        <f>HYPERLINK("Melting_Curves/meltCurve_sp_Q01459_DIAC_HUMAN_.pdf", "Melting_Curves/meltCurve_sp_Q01459_DIAC_HUMAN_.pdf")</f>
        <v>Melting_Curves/meltCurve_sp_Q01459_DIAC_HUMAN_.pdf</v>
      </c>
      <c r="AA1367" t="s">
        <v>12839</v>
      </c>
      <c r="AB1367" t="s">
        <v>16607</v>
      </c>
    </row>
    <row r="1368" spans="1:28" x14ac:dyDescent="0.25">
      <c r="A1368" t="s">
        <v>1372</v>
      </c>
      <c r="B1368">
        <v>0.98876768158843997</v>
      </c>
      <c r="C1368">
        <v>1.1450095603764701</v>
      </c>
      <c r="D1368">
        <v>1.02106509051866</v>
      </c>
      <c r="E1368">
        <v>0.81711643433939996</v>
      </c>
      <c r="F1368">
        <v>0.821254832650121</v>
      </c>
      <c r="G1368">
        <v>0.58472145221767802</v>
      </c>
      <c r="H1368">
        <v>0.423943272699423</v>
      </c>
      <c r="I1368">
        <v>0.46869493439127402</v>
      </c>
      <c r="J1368">
        <v>0.446915621450173</v>
      </c>
      <c r="K1368">
        <v>0.54363187870144603</v>
      </c>
      <c r="L1368">
        <v>1164.58178898357</v>
      </c>
      <c r="M1368">
        <v>21.7331179496096</v>
      </c>
      <c r="N1368">
        <v>60.735441868812202</v>
      </c>
      <c r="O1368">
        <v>53.1381074517044</v>
      </c>
      <c r="P1368">
        <v>-5.5083719969308297E-2</v>
      </c>
      <c r="Q1368">
        <v>0.46128762856872202</v>
      </c>
      <c r="R1368">
        <v>0.92679745402249403</v>
      </c>
      <c r="S1368" t="s">
        <v>5200</v>
      </c>
      <c r="T1368" t="s">
        <v>7662</v>
      </c>
      <c r="U1368" t="s">
        <v>7662</v>
      </c>
      <c r="V1368" t="s">
        <v>7662</v>
      </c>
      <c r="W1368">
        <v>6</v>
      </c>
      <c r="X1368" t="s">
        <v>9030</v>
      </c>
      <c r="Y1368">
        <v>0.71164252349599288</v>
      </c>
      <c r="Z1368" t="str">
        <f>HYPERLINK("Melting_Curves/meltCurve_sp_Q01469_FABP5_HUMAN_.pdf", "Melting_Curves/meltCurve_sp_Q01469_FABP5_HUMAN_.pdf")</f>
        <v>Melting_Curves/meltCurve_sp_Q01469_FABP5_HUMAN_.pdf</v>
      </c>
      <c r="AA1368" t="s">
        <v>12840</v>
      </c>
      <c r="AB1368" t="s">
        <v>16608</v>
      </c>
    </row>
    <row r="1369" spans="1:28" x14ac:dyDescent="0.25">
      <c r="A1369" t="s">
        <v>1373</v>
      </c>
      <c r="B1369">
        <v>0.98876768158843997</v>
      </c>
      <c r="C1369">
        <v>0.879094889443367</v>
      </c>
      <c r="D1369">
        <v>1.0821394573549299</v>
      </c>
      <c r="E1369">
        <v>0.97478763120011702</v>
      </c>
      <c r="F1369">
        <v>0.62313125889887999</v>
      </c>
      <c r="G1369">
        <v>0.144292964094002</v>
      </c>
      <c r="H1369">
        <v>5.7652863264343102E-2</v>
      </c>
      <c r="I1369">
        <v>5.3893730610459503E-2</v>
      </c>
      <c r="J1369">
        <v>5.4254152546422699E-2</v>
      </c>
      <c r="K1369">
        <v>6.02872235064911E-2</v>
      </c>
      <c r="L1369">
        <v>2230.4964973467299</v>
      </c>
      <c r="M1369">
        <v>41.640215620835498</v>
      </c>
      <c r="N1369">
        <v>53.724299991105902</v>
      </c>
      <c r="O1369">
        <v>53.4428227463372</v>
      </c>
      <c r="P1369">
        <v>-0.18353732767532699</v>
      </c>
      <c r="Q1369">
        <v>5.7763256891567902E-2</v>
      </c>
      <c r="R1369">
        <v>0.98800735476324097</v>
      </c>
      <c r="S1369" t="s">
        <v>5201</v>
      </c>
      <c r="T1369" t="s">
        <v>7662</v>
      </c>
      <c r="U1369" t="s">
        <v>7662</v>
      </c>
      <c r="V1369" t="s">
        <v>7662</v>
      </c>
      <c r="W1369">
        <v>21</v>
      </c>
      <c r="X1369" t="s">
        <v>9031</v>
      </c>
      <c r="Y1369">
        <v>0.48705408999123251</v>
      </c>
      <c r="Z1369" t="str">
        <f>HYPERLINK("Melting_Curves/meltCurve_sp_Q01518_2_CAP1_HUMAN_.pdf", "Melting_Curves/meltCurve_sp_Q01518_2_CAP1_HUMAN_.pdf")</f>
        <v>Melting_Curves/meltCurve_sp_Q01518_2_CAP1_HUMAN_.pdf</v>
      </c>
      <c r="AA1369" t="s">
        <v>12841</v>
      </c>
      <c r="AB1369" t="s">
        <v>16609</v>
      </c>
    </row>
    <row r="1370" spans="1:28" x14ac:dyDescent="0.25">
      <c r="A1370" t="s">
        <v>1374</v>
      </c>
      <c r="B1370">
        <v>0.98876768158843997</v>
      </c>
      <c r="C1370">
        <v>0.92402559825668296</v>
      </c>
      <c r="D1370">
        <v>0.93432190468810195</v>
      </c>
      <c r="E1370">
        <v>0.75208982931215995</v>
      </c>
      <c r="F1370">
        <v>0.35915417480315998</v>
      </c>
      <c r="G1370">
        <v>0.11262370754782899</v>
      </c>
      <c r="H1370">
        <v>6.3970680177483405E-2</v>
      </c>
      <c r="I1370">
        <v>5.4115823436687298E-2</v>
      </c>
      <c r="J1370">
        <v>8.0806397799545099E-2</v>
      </c>
      <c r="K1370">
        <v>5.0159279266029498E-2</v>
      </c>
      <c r="L1370">
        <v>1470.2548301050199</v>
      </c>
      <c r="M1370">
        <v>28.4571841033118</v>
      </c>
      <c r="N1370">
        <v>51.883080232798399</v>
      </c>
      <c r="O1370">
        <v>51.412390317163997</v>
      </c>
      <c r="P1370">
        <v>-0.130595360330891</v>
      </c>
      <c r="Q1370">
        <v>5.6243147996677102E-2</v>
      </c>
      <c r="R1370">
        <v>0.99495197777654498</v>
      </c>
      <c r="S1370" t="s">
        <v>5202</v>
      </c>
      <c r="T1370" t="s">
        <v>7662</v>
      </c>
      <c r="U1370" t="s">
        <v>7662</v>
      </c>
      <c r="V1370" t="s">
        <v>7662</v>
      </c>
      <c r="W1370">
        <v>15</v>
      </c>
      <c r="X1370" t="s">
        <v>9032</v>
      </c>
      <c r="Y1370">
        <v>0.42988398293793151</v>
      </c>
      <c r="Z1370" t="str">
        <f>HYPERLINK("Melting_Curves/meltCurve_sp_Q01581_HMCS1_HUMAN_.pdf", "Melting_Curves/meltCurve_sp_Q01581_HMCS1_HUMAN_.pdf")</f>
        <v>Melting_Curves/meltCurve_sp_Q01581_HMCS1_HUMAN_.pdf</v>
      </c>
      <c r="AA1370" t="s">
        <v>12842</v>
      </c>
      <c r="AB1370" t="s">
        <v>16610</v>
      </c>
    </row>
    <row r="1371" spans="1:28" x14ac:dyDescent="0.25">
      <c r="A1371" t="s">
        <v>1375</v>
      </c>
      <c r="B1371">
        <v>0.98876768158843997</v>
      </c>
      <c r="C1371">
        <v>1.0674846254597199</v>
      </c>
      <c r="D1371">
        <v>0.88842788905200298</v>
      </c>
      <c r="E1371">
        <v>0.78173270439973797</v>
      </c>
      <c r="F1371">
        <v>0.85488306420904303</v>
      </c>
      <c r="G1371">
        <v>0.55977008914198501</v>
      </c>
      <c r="H1371">
        <v>0.46486786971145999</v>
      </c>
      <c r="I1371">
        <v>0.48938630828968999</v>
      </c>
      <c r="J1371">
        <v>0.61796404452463405</v>
      </c>
      <c r="K1371">
        <v>0.55983637088759197</v>
      </c>
      <c r="L1371">
        <v>881.961584668196</v>
      </c>
      <c r="M1371">
        <v>16.901715051760402</v>
      </c>
      <c r="O1371">
        <v>51.467728123930698</v>
      </c>
      <c r="P1371">
        <v>-3.9637433438634101E-2</v>
      </c>
      <c r="Q1371">
        <v>0.51722781603921397</v>
      </c>
      <c r="R1371">
        <v>0.873586752343534</v>
      </c>
      <c r="S1371" t="s">
        <v>5203</v>
      </c>
      <c r="T1371" t="s">
        <v>7662</v>
      </c>
      <c r="U1371" t="s">
        <v>7662</v>
      </c>
      <c r="V1371" t="s">
        <v>7662</v>
      </c>
      <c r="W1371">
        <v>3</v>
      </c>
      <c r="X1371" t="s">
        <v>9033</v>
      </c>
      <c r="Y1371">
        <v>0.72215663063053603</v>
      </c>
      <c r="Z1371" t="str">
        <f>HYPERLINK("Melting_Curves/meltCurve_sp_Q01658_NC2B_HUMAN_.pdf", "Melting_Curves/meltCurve_sp_Q01658_NC2B_HUMAN_.pdf")</f>
        <v>Melting_Curves/meltCurve_sp_Q01658_NC2B_HUMAN_.pdf</v>
      </c>
      <c r="AA1371" t="s">
        <v>12843</v>
      </c>
      <c r="AB1371" t="s">
        <v>16611</v>
      </c>
    </row>
    <row r="1372" spans="1:28" x14ac:dyDescent="0.25">
      <c r="A1372" t="s">
        <v>1376</v>
      </c>
      <c r="B1372">
        <v>0.98876768158843997</v>
      </c>
      <c r="C1372">
        <v>0.85228515561510898</v>
      </c>
      <c r="D1372">
        <v>0.91086413995776305</v>
      </c>
      <c r="E1372">
        <v>0.81500862759933101</v>
      </c>
      <c r="F1372">
        <v>0.55520399918951502</v>
      </c>
      <c r="G1372">
        <v>0.40783021413931603</v>
      </c>
      <c r="H1372">
        <v>0.33632742435674801</v>
      </c>
      <c r="I1372">
        <v>0.28404789172498002</v>
      </c>
      <c r="J1372">
        <v>0.23683467009138401</v>
      </c>
      <c r="K1372">
        <v>0.30716450160403902</v>
      </c>
      <c r="L1372">
        <v>764.19435173315298</v>
      </c>
      <c r="M1372">
        <v>14.590182682015501</v>
      </c>
      <c r="N1372">
        <v>54.8732970058701</v>
      </c>
      <c r="O1372">
        <v>51.422854109618903</v>
      </c>
      <c r="P1372">
        <v>-5.3736068684846698E-2</v>
      </c>
      <c r="Q1372">
        <v>0.24251780423425501</v>
      </c>
      <c r="R1372">
        <v>0.96970244994367105</v>
      </c>
      <c r="S1372" t="s">
        <v>5204</v>
      </c>
      <c r="T1372" t="s">
        <v>7662</v>
      </c>
      <c r="U1372" t="s">
        <v>7662</v>
      </c>
      <c r="V1372" t="s">
        <v>7662</v>
      </c>
      <c r="W1372">
        <v>1</v>
      </c>
      <c r="X1372" t="s">
        <v>9034</v>
      </c>
      <c r="Y1372">
        <v>0.5724344465352611</v>
      </c>
      <c r="Z1372" t="str">
        <f>HYPERLINK("Melting_Curves/meltCurve_sp_Q01804_OTUD4_HUMAN_.pdf", "Melting_Curves/meltCurve_sp_Q01804_OTUD4_HUMAN_.pdf")</f>
        <v>Melting_Curves/meltCurve_sp_Q01804_OTUD4_HUMAN_.pdf</v>
      </c>
      <c r="AA1372" t="s">
        <v>12844</v>
      </c>
      <c r="AB1372" t="s">
        <v>16612</v>
      </c>
    </row>
    <row r="1373" spans="1:28" x14ac:dyDescent="0.25">
      <c r="A1373" t="s">
        <v>1377</v>
      </c>
      <c r="B1373">
        <v>0.98876768158843997</v>
      </c>
      <c r="C1373">
        <v>1.0842049071508599</v>
      </c>
      <c r="D1373">
        <v>0.84000723221429496</v>
      </c>
      <c r="E1373">
        <v>0.76375843531627297</v>
      </c>
      <c r="F1373">
        <v>0.85027992962496801</v>
      </c>
      <c r="G1373">
        <v>0.62121112763945896</v>
      </c>
      <c r="H1373">
        <v>0.487705753142883</v>
      </c>
      <c r="I1373">
        <v>0.58572096274089602</v>
      </c>
      <c r="J1373">
        <v>0.66248210870912105</v>
      </c>
      <c r="K1373">
        <v>0.82676414841387902</v>
      </c>
      <c r="L1373">
        <v>874.96945893072598</v>
      </c>
      <c r="M1373">
        <v>17.839334146049001</v>
      </c>
      <c r="O1373">
        <v>48.443345290205997</v>
      </c>
      <c r="P1373">
        <v>-3.2737735685123399E-2</v>
      </c>
      <c r="Q1373">
        <v>0.64441630095903102</v>
      </c>
      <c r="R1373">
        <v>0.66447611555809805</v>
      </c>
      <c r="S1373" t="s">
        <v>5205</v>
      </c>
      <c r="T1373" t="s">
        <v>7662</v>
      </c>
      <c r="U1373" t="s">
        <v>7662</v>
      </c>
      <c r="V1373" t="s">
        <v>7662</v>
      </c>
      <c r="W1373">
        <v>7</v>
      </c>
      <c r="X1373" t="s">
        <v>9035</v>
      </c>
      <c r="Y1373">
        <v>0.75791510958638342</v>
      </c>
      <c r="Z1373" t="str">
        <f>HYPERLINK("Melting_Curves/meltCurve_sp_Q01844_6_EWS_HUMAN_.pdf", "Melting_Curves/meltCurve_sp_Q01844_6_EWS_HUMAN_.pdf")</f>
        <v>Melting_Curves/meltCurve_sp_Q01844_6_EWS_HUMAN_.pdf</v>
      </c>
      <c r="AA1373" t="s">
        <v>12845</v>
      </c>
      <c r="AB1373" t="s">
        <v>16613</v>
      </c>
    </row>
    <row r="1374" spans="1:28" x14ac:dyDescent="0.25">
      <c r="A1374" t="s">
        <v>1378</v>
      </c>
      <c r="B1374">
        <v>0.98876768158843997</v>
      </c>
      <c r="C1374">
        <v>1.1095051571289201</v>
      </c>
      <c r="D1374">
        <v>0.91323935855126304</v>
      </c>
      <c r="E1374">
        <v>0.646949710582432</v>
      </c>
      <c r="F1374">
        <v>0.64092695687010803</v>
      </c>
      <c r="G1374">
        <v>0.44580194816966701</v>
      </c>
      <c r="H1374">
        <v>0.31350597397749802</v>
      </c>
      <c r="I1374">
        <v>0.32822768694458299</v>
      </c>
      <c r="J1374">
        <v>0.409089530190136</v>
      </c>
      <c r="K1374">
        <v>0.424001782032976</v>
      </c>
      <c r="L1374">
        <v>967.07195311645603</v>
      </c>
      <c r="M1374">
        <v>19.0979584840202</v>
      </c>
      <c r="N1374">
        <v>54.434359351587901</v>
      </c>
      <c r="O1374">
        <v>50.092054697174902</v>
      </c>
      <c r="P1374">
        <v>-6.0237029584504699E-2</v>
      </c>
      <c r="Q1374">
        <v>0.36804162073269098</v>
      </c>
      <c r="R1374">
        <v>0.94391464684386905</v>
      </c>
      <c r="S1374" t="s">
        <v>5206</v>
      </c>
      <c r="T1374" t="s">
        <v>7662</v>
      </c>
      <c r="U1374" t="s">
        <v>7662</v>
      </c>
      <c r="V1374" t="s">
        <v>7662</v>
      </c>
      <c r="W1374">
        <v>3</v>
      </c>
      <c r="X1374" t="s">
        <v>9036</v>
      </c>
      <c r="Y1374">
        <v>0.60170229072481762</v>
      </c>
      <c r="Z1374" t="str">
        <f>HYPERLINK("Melting_Curves/meltCurve_sp_Q01968_2_OCRL_HUMAN_.pdf", "Melting_Curves/meltCurve_sp_Q01968_2_OCRL_HUMAN_.pdf")</f>
        <v>Melting_Curves/meltCurve_sp_Q01968_2_OCRL_HUMAN_.pdf</v>
      </c>
      <c r="AA1374" t="s">
        <v>12846</v>
      </c>
      <c r="AB1374" t="s">
        <v>16614</v>
      </c>
    </row>
    <row r="1375" spans="1:28" x14ac:dyDescent="0.25">
      <c r="A1375" t="s">
        <v>1379</v>
      </c>
      <c r="B1375">
        <v>0.98876768158843997</v>
      </c>
      <c r="C1375">
        <v>0.97871928728995405</v>
      </c>
      <c r="D1375">
        <v>1.18470140052565</v>
      </c>
      <c r="E1375">
        <v>0.83782041252989503</v>
      </c>
      <c r="F1375">
        <v>0.41443262010291299</v>
      </c>
      <c r="G1375">
        <v>0.11025384132348399</v>
      </c>
      <c r="H1375">
        <v>2.4615404719476701E-2</v>
      </c>
      <c r="I1375">
        <v>3.1179229028008799E-2</v>
      </c>
      <c r="J1375">
        <v>0</v>
      </c>
      <c r="K1375">
        <v>3.36494960532581E-2</v>
      </c>
      <c r="L1375">
        <v>1856.5136914913501</v>
      </c>
      <c r="M1375">
        <v>35.419811225188603</v>
      </c>
      <c r="N1375">
        <v>52.495286346991001</v>
      </c>
      <c r="O1375">
        <v>52.248334513234902</v>
      </c>
      <c r="P1375">
        <v>-0.16498639204115001</v>
      </c>
      <c r="Q1375">
        <v>2.6507152081301999E-2</v>
      </c>
      <c r="R1375">
        <v>0.98137245148805796</v>
      </c>
      <c r="S1375" t="s">
        <v>5207</v>
      </c>
      <c r="T1375" t="s">
        <v>7662</v>
      </c>
      <c r="U1375" t="s">
        <v>7662</v>
      </c>
      <c r="V1375" t="s">
        <v>7662</v>
      </c>
      <c r="W1375">
        <v>2</v>
      </c>
      <c r="X1375" t="s">
        <v>9037</v>
      </c>
      <c r="Y1375">
        <v>0.43385484938301638</v>
      </c>
      <c r="Z1375" t="str">
        <f>HYPERLINK("Melting_Curves/meltCurve_sp_Q01970_2_PLCB3_HUMAN_.pdf", "Melting_Curves/meltCurve_sp_Q01970_2_PLCB3_HUMAN_.pdf")</f>
        <v>Melting_Curves/meltCurve_sp_Q01970_2_PLCB3_HUMAN_.pdf</v>
      </c>
      <c r="AA1375" t="s">
        <v>12847</v>
      </c>
      <c r="AB1375" t="s">
        <v>16615</v>
      </c>
    </row>
    <row r="1376" spans="1:28" x14ac:dyDescent="0.25">
      <c r="A1376" t="s">
        <v>1380</v>
      </c>
      <c r="B1376">
        <v>0.98876768158843997</v>
      </c>
      <c r="C1376">
        <v>0.92811016472985997</v>
      </c>
      <c r="D1376">
        <v>0.84548279704317897</v>
      </c>
      <c r="E1376">
        <v>0.56480614286435804</v>
      </c>
      <c r="F1376">
        <v>0.56175759685912396</v>
      </c>
      <c r="G1376">
        <v>0.31241335302926299</v>
      </c>
      <c r="H1376">
        <v>0.101957250774727</v>
      </c>
      <c r="I1376">
        <v>8.8920036626209203E-2</v>
      </c>
      <c r="J1376">
        <v>9.0079199809774496E-2</v>
      </c>
      <c r="K1376">
        <v>0.117417054193975</v>
      </c>
      <c r="L1376">
        <v>614.88525817003904</v>
      </c>
      <c r="M1376">
        <v>11.7451799198023</v>
      </c>
      <c r="N1376">
        <v>52.509612471223697</v>
      </c>
      <c r="O1376">
        <v>50.903630284925597</v>
      </c>
      <c r="P1376">
        <v>-5.6699919051229702E-2</v>
      </c>
      <c r="Q1376">
        <v>1.7307229813351602E-2</v>
      </c>
      <c r="R1376">
        <v>0.98080071565403404</v>
      </c>
      <c r="S1376" t="s">
        <v>5208</v>
      </c>
      <c r="T1376" t="s">
        <v>7662</v>
      </c>
      <c r="U1376" t="s">
        <v>7662</v>
      </c>
      <c r="V1376" t="s">
        <v>7662</v>
      </c>
      <c r="W1376">
        <v>1</v>
      </c>
      <c r="X1376" t="s">
        <v>9038</v>
      </c>
      <c r="Y1376">
        <v>0.45204932668709552</v>
      </c>
      <c r="Z1376" t="str">
        <f>HYPERLINK("Melting_Curves/meltCurve_sp_Q01995_TAGL_HUMAN_.pdf", "Melting_Curves/meltCurve_sp_Q01995_TAGL_HUMAN_.pdf")</f>
        <v>Melting_Curves/meltCurve_sp_Q01995_TAGL_HUMAN_.pdf</v>
      </c>
      <c r="AA1376" t="s">
        <v>12848</v>
      </c>
      <c r="AB1376" t="s">
        <v>16616</v>
      </c>
    </row>
    <row r="1377" spans="1:28" x14ac:dyDescent="0.25">
      <c r="A1377" t="s">
        <v>1381</v>
      </c>
      <c r="B1377">
        <v>0.98876768158843997</v>
      </c>
      <c r="C1377">
        <v>0.83451974877470803</v>
      </c>
      <c r="D1377">
        <v>0.86333725000717298</v>
      </c>
      <c r="E1377">
        <v>0.62590196866078396</v>
      </c>
      <c r="F1377">
        <v>0.54328333893830905</v>
      </c>
      <c r="G1377">
        <v>0.28824632850686899</v>
      </c>
      <c r="H1377">
        <v>0.154225751400838</v>
      </c>
      <c r="I1377">
        <v>0.109919097231005</v>
      </c>
      <c r="J1377">
        <v>9.0777313446372507E-2</v>
      </c>
      <c r="K1377">
        <v>6.5582951902590406E-2</v>
      </c>
      <c r="L1377">
        <v>581.516333892597</v>
      </c>
      <c r="M1377">
        <v>11.032330373112799</v>
      </c>
      <c r="N1377">
        <v>52.7101958645802</v>
      </c>
      <c r="O1377">
        <v>51.067185874073701</v>
      </c>
      <c r="P1377">
        <v>-5.4026918045832401E-2</v>
      </c>
      <c r="Q1377">
        <v>0</v>
      </c>
      <c r="R1377">
        <v>0.98733918423136302</v>
      </c>
      <c r="S1377" t="s">
        <v>5209</v>
      </c>
      <c r="T1377" t="s">
        <v>7662</v>
      </c>
      <c r="U1377" t="s">
        <v>7662</v>
      </c>
      <c r="V1377" t="s">
        <v>7662</v>
      </c>
      <c r="W1377">
        <v>7</v>
      </c>
      <c r="X1377" t="s">
        <v>9039</v>
      </c>
      <c r="Y1377">
        <v>0.45564879148491472</v>
      </c>
      <c r="Z1377" t="str">
        <f>HYPERLINK("Melting_Curves/meltCurve_sp_Q02083_2_NAAA_HUMAN_.pdf", "Melting_Curves/meltCurve_sp_Q02083_2_NAAA_HUMAN_.pdf")</f>
        <v>Melting_Curves/meltCurve_sp_Q02083_2_NAAA_HUMAN_.pdf</v>
      </c>
      <c r="AA1377" t="s">
        <v>12849</v>
      </c>
      <c r="AB1377" t="s">
        <v>16617</v>
      </c>
    </row>
    <row r="1378" spans="1:28" x14ac:dyDescent="0.25">
      <c r="A1378" t="s">
        <v>1382</v>
      </c>
      <c r="B1378">
        <v>0.98876768158843997</v>
      </c>
      <c r="C1378">
        <v>0.85418748196030703</v>
      </c>
      <c r="D1378">
        <v>0.632029695070082</v>
      </c>
      <c r="E1378">
        <v>0.22141443668074001</v>
      </c>
      <c r="F1378">
        <v>9.4644803548993794E-2</v>
      </c>
      <c r="G1378">
        <v>4.3472891370828201E-2</v>
      </c>
      <c r="H1378">
        <v>2.5045716851051E-2</v>
      </c>
      <c r="I1378">
        <v>2.1718319244543201E-2</v>
      </c>
      <c r="J1378">
        <v>2.6242577630703499E-2</v>
      </c>
      <c r="K1378">
        <v>2.2841548053583401E-2</v>
      </c>
      <c r="L1378">
        <v>991.05429984059697</v>
      </c>
      <c r="M1378">
        <v>21.114374331615</v>
      </c>
      <c r="N1378">
        <v>47.024111818133498</v>
      </c>
      <c r="O1378">
        <v>46.522476580893503</v>
      </c>
      <c r="P1378">
        <v>-0.111300382891138</v>
      </c>
      <c r="Q1378">
        <v>1.9088440348033898E-2</v>
      </c>
      <c r="R1378">
        <v>0.99891167350824905</v>
      </c>
      <c r="S1378" t="s">
        <v>5210</v>
      </c>
      <c r="T1378" t="s">
        <v>7662</v>
      </c>
      <c r="U1378" t="s">
        <v>7662</v>
      </c>
      <c r="V1378" t="s">
        <v>7662</v>
      </c>
      <c r="W1378">
        <v>36</v>
      </c>
      <c r="X1378" t="s">
        <v>9040</v>
      </c>
      <c r="Y1378">
        <v>0.25868544928044812</v>
      </c>
      <c r="Z1378" t="str">
        <f>HYPERLINK("Melting_Curves/meltCurve_sp_Q02252_MMSA_HUMAN_.pdf", "Melting_Curves/meltCurve_sp_Q02252_MMSA_HUMAN_.pdf")</f>
        <v>Melting_Curves/meltCurve_sp_Q02252_MMSA_HUMAN_.pdf</v>
      </c>
      <c r="AA1378" t="s">
        <v>12850</v>
      </c>
      <c r="AB1378" t="s">
        <v>16618</v>
      </c>
    </row>
    <row r="1379" spans="1:28" x14ac:dyDescent="0.25">
      <c r="A1379" t="s">
        <v>1383</v>
      </c>
      <c r="B1379">
        <v>0.98876768158843997</v>
      </c>
      <c r="C1379">
        <v>0.87000589235123504</v>
      </c>
      <c r="D1379">
        <v>0.87155032981975999</v>
      </c>
      <c r="E1379">
        <v>0.36163947647019101</v>
      </c>
      <c r="F1379">
        <v>0.190200378268676</v>
      </c>
      <c r="G1379">
        <v>0.10718736066536499</v>
      </c>
      <c r="H1379">
        <v>6.3089128849518103E-2</v>
      </c>
      <c r="I1379">
        <v>4.0691314262983003E-2</v>
      </c>
      <c r="J1379">
        <v>3.9251997213943603E-2</v>
      </c>
      <c r="K1379">
        <v>2.87406684626429E-2</v>
      </c>
      <c r="L1379">
        <v>1127.1420423556201</v>
      </c>
      <c r="M1379">
        <v>23.085483034584598</v>
      </c>
      <c r="N1379">
        <v>49.024428957112498</v>
      </c>
      <c r="O1379">
        <v>48.462795022631603</v>
      </c>
      <c r="P1379">
        <v>-0.113746163143989</v>
      </c>
      <c r="Q1379">
        <v>4.4879771444012798E-2</v>
      </c>
      <c r="R1379">
        <v>0.98973319395171999</v>
      </c>
      <c r="S1379" t="s">
        <v>5211</v>
      </c>
      <c r="T1379" t="s">
        <v>7662</v>
      </c>
      <c r="U1379" t="s">
        <v>7662</v>
      </c>
      <c r="V1379" t="s">
        <v>7662</v>
      </c>
      <c r="W1379">
        <v>5</v>
      </c>
      <c r="X1379" t="s">
        <v>9041</v>
      </c>
      <c r="Y1379">
        <v>0.33580658391362073</v>
      </c>
      <c r="Z1379" t="str">
        <f>HYPERLINK("Melting_Curves/meltCurve_sp_Q02318_CP27A_HUMAN_.pdf", "Melting_Curves/meltCurve_sp_Q02318_CP27A_HUMAN_.pdf")</f>
        <v>Melting_Curves/meltCurve_sp_Q02318_CP27A_HUMAN_.pdf</v>
      </c>
      <c r="AA1379" t="s">
        <v>12851</v>
      </c>
      <c r="AB1379" t="s">
        <v>16619</v>
      </c>
    </row>
    <row r="1380" spans="1:28" x14ac:dyDescent="0.25">
      <c r="A1380" t="s">
        <v>1384</v>
      </c>
      <c r="B1380">
        <v>0.98876768158843997</v>
      </c>
      <c r="C1380">
        <v>1.38134156692999</v>
      </c>
      <c r="D1380">
        <v>0.90777436429355496</v>
      </c>
      <c r="E1380">
        <v>0.62647007153750001</v>
      </c>
      <c r="F1380">
        <v>1.05796340230823</v>
      </c>
      <c r="G1380">
        <v>0.62640804380189197</v>
      </c>
      <c r="H1380">
        <v>0.58863740411972398</v>
      </c>
      <c r="I1380">
        <v>0.69591928620509602</v>
      </c>
      <c r="J1380">
        <v>0.74342157935949904</v>
      </c>
      <c r="K1380">
        <v>0.96861895354571204</v>
      </c>
      <c r="L1380">
        <v>11522.2421507896</v>
      </c>
      <c r="M1380">
        <v>250</v>
      </c>
      <c r="O1380">
        <v>46.086014905711998</v>
      </c>
      <c r="P1380">
        <v>-0.32791192495177102</v>
      </c>
      <c r="Q1380">
        <v>0.75820551586445195</v>
      </c>
      <c r="R1380">
        <v>0.38526189226892898</v>
      </c>
      <c r="S1380" t="s">
        <v>5212</v>
      </c>
      <c r="T1380" t="s">
        <v>7662</v>
      </c>
      <c r="U1380" t="s">
        <v>7662</v>
      </c>
      <c r="V1380" t="s">
        <v>7662</v>
      </c>
      <c r="W1380">
        <v>3</v>
      </c>
      <c r="X1380" t="s">
        <v>9042</v>
      </c>
      <c r="Y1380">
        <v>0.80730104092409027</v>
      </c>
      <c r="Z1380" t="str">
        <f>HYPERLINK("Melting_Curves/meltCurve_sp_Q02325_PLGB_HUMAN_.pdf", "Melting_Curves/meltCurve_sp_Q02325_PLGB_HUMAN_.pdf")</f>
        <v>Melting_Curves/meltCurve_sp_Q02325_PLGB_HUMAN_.pdf</v>
      </c>
      <c r="AA1380" t="s">
        <v>12852</v>
      </c>
      <c r="AB1380" t="s">
        <v>16620</v>
      </c>
    </row>
    <row r="1381" spans="1:28" x14ac:dyDescent="0.25">
      <c r="A1381" t="s">
        <v>1385</v>
      </c>
      <c r="B1381">
        <v>0.98876768158843997</v>
      </c>
      <c r="C1381">
        <v>1.0752734288200501</v>
      </c>
      <c r="D1381">
        <v>0.88761926298712601</v>
      </c>
      <c r="E1381">
        <v>0.85349627126518401</v>
      </c>
      <c r="F1381">
        <v>0.67898712308447795</v>
      </c>
      <c r="G1381">
        <v>0.50011355954980297</v>
      </c>
      <c r="H1381">
        <v>0.251685962431206</v>
      </c>
      <c r="I1381">
        <v>0.24518479046970601</v>
      </c>
      <c r="J1381">
        <v>0.252636601900189</v>
      </c>
      <c r="K1381">
        <v>0.27060399212726499</v>
      </c>
      <c r="L1381">
        <v>922.098962600135</v>
      </c>
      <c r="M1381">
        <v>17.0115537572905</v>
      </c>
      <c r="N1381">
        <v>56.047479019382003</v>
      </c>
      <c r="O1381">
        <v>53.471876971207301</v>
      </c>
      <c r="P1381">
        <v>-6.2499345845293097E-2</v>
      </c>
      <c r="Q1381">
        <v>0.21423958953506</v>
      </c>
      <c r="R1381">
        <v>0.97858071098488497</v>
      </c>
      <c r="S1381" t="s">
        <v>5213</v>
      </c>
      <c r="T1381" t="s">
        <v>7662</v>
      </c>
      <c r="U1381" t="s">
        <v>7662</v>
      </c>
      <c r="V1381" t="s">
        <v>7662</v>
      </c>
      <c r="W1381">
        <v>6</v>
      </c>
      <c r="X1381" t="s">
        <v>9043</v>
      </c>
      <c r="Y1381">
        <v>0.59982088028182434</v>
      </c>
      <c r="Z1381" t="str">
        <f>HYPERLINK("Melting_Curves/meltCurve_sp_Q02410_APBA1_HUMAN_.pdf", "Melting_Curves/meltCurve_sp_Q02410_APBA1_HUMAN_.pdf")</f>
        <v>Melting_Curves/meltCurve_sp_Q02410_APBA1_HUMAN_.pdf</v>
      </c>
      <c r="AA1381" t="s">
        <v>12853</v>
      </c>
      <c r="AB1381" t="s">
        <v>16621</v>
      </c>
    </row>
    <row r="1382" spans="1:28" x14ac:dyDescent="0.25">
      <c r="A1382" t="s">
        <v>1386</v>
      </c>
      <c r="B1382">
        <v>0.98876768158843997</v>
      </c>
      <c r="C1382">
        <v>1.0997962539283901</v>
      </c>
      <c r="D1382">
        <v>1.0402709521579501</v>
      </c>
      <c r="E1382">
        <v>0.80242519327087003</v>
      </c>
      <c r="F1382">
        <v>0.58665221660088296</v>
      </c>
      <c r="G1382">
        <v>0.42395263948291301</v>
      </c>
      <c r="H1382">
        <v>0.36405920207736198</v>
      </c>
      <c r="I1382">
        <v>0.39941281327765998</v>
      </c>
      <c r="J1382">
        <v>0.48622550439847101</v>
      </c>
      <c r="K1382">
        <v>0.59149009064789204</v>
      </c>
      <c r="L1382">
        <v>1882.92732904474</v>
      </c>
      <c r="M1382">
        <v>36.941657724355501</v>
      </c>
      <c r="N1382">
        <v>54.4870925022988</v>
      </c>
      <c r="O1382">
        <v>50.821627853434698</v>
      </c>
      <c r="P1382">
        <v>-9.9234154658940296E-2</v>
      </c>
      <c r="Q1382">
        <v>0.45392523004970198</v>
      </c>
      <c r="R1382">
        <v>0.93472285670813404</v>
      </c>
      <c r="S1382" t="s">
        <v>5214</v>
      </c>
      <c r="T1382" t="s">
        <v>7662</v>
      </c>
      <c r="U1382" t="s">
        <v>7662</v>
      </c>
      <c r="V1382" t="s">
        <v>7662</v>
      </c>
      <c r="W1382">
        <v>3</v>
      </c>
      <c r="X1382" t="s">
        <v>9044</v>
      </c>
      <c r="Y1382">
        <v>0.65587018020798915</v>
      </c>
      <c r="Z1382" t="str">
        <f>HYPERLINK("Melting_Curves/meltCurve_sp_Q02487_DSC2_HUMAN_.pdf", "Melting_Curves/meltCurve_sp_Q02487_DSC2_HUMAN_.pdf")</f>
        <v>Melting_Curves/meltCurve_sp_Q02487_DSC2_HUMAN_.pdf</v>
      </c>
      <c r="AA1382" t="s">
        <v>12854</v>
      </c>
      <c r="AB1382" t="s">
        <v>16622</v>
      </c>
    </row>
    <row r="1383" spans="1:28" x14ac:dyDescent="0.25">
      <c r="A1383" t="s">
        <v>1387</v>
      </c>
      <c r="B1383">
        <v>0.98876768158843997</v>
      </c>
      <c r="C1383">
        <v>1.02344282308428</v>
      </c>
      <c r="D1383">
        <v>0.83478470708756602</v>
      </c>
      <c r="E1383">
        <v>0.59606080491660896</v>
      </c>
      <c r="F1383">
        <v>0.19574894800561701</v>
      </c>
      <c r="G1383">
        <v>8.5368675390705404E-2</v>
      </c>
      <c r="H1383">
        <v>4.91128066208045E-2</v>
      </c>
      <c r="I1383">
        <v>3.7279497135560703E-2</v>
      </c>
      <c r="J1383">
        <v>4.63774946896705E-2</v>
      </c>
      <c r="K1383">
        <v>4.1881423685875198E-2</v>
      </c>
      <c r="L1383">
        <v>1219.7152345536099</v>
      </c>
      <c r="M1383">
        <v>24.295458404862298</v>
      </c>
      <c r="N1383">
        <v>50.349726160475598</v>
      </c>
      <c r="O1383">
        <v>49.867010521751602</v>
      </c>
      <c r="P1383">
        <v>-0.117651993387536</v>
      </c>
      <c r="Q1383">
        <v>3.4080385865804003E-2</v>
      </c>
      <c r="R1383">
        <v>0.99249833245861496</v>
      </c>
      <c r="S1383" t="s">
        <v>5215</v>
      </c>
      <c r="T1383" t="s">
        <v>7662</v>
      </c>
      <c r="U1383" t="s">
        <v>7662</v>
      </c>
      <c r="V1383" t="s">
        <v>7662</v>
      </c>
      <c r="W1383">
        <v>12</v>
      </c>
      <c r="X1383" t="s">
        <v>9045</v>
      </c>
      <c r="Y1383">
        <v>0.37176341565494891</v>
      </c>
      <c r="Z1383" t="str">
        <f>HYPERLINK("Melting_Curves/meltCurve_sp_Q02750_MP2K1_HUMAN_.pdf", "Melting_Curves/meltCurve_sp_Q02750_MP2K1_HUMAN_.pdf")</f>
        <v>Melting_Curves/meltCurve_sp_Q02750_MP2K1_HUMAN_.pdf</v>
      </c>
      <c r="AA1383" t="s">
        <v>12855</v>
      </c>
      <c r="AB1383" t="s">
        <v>16623</v>
      </c>
    </row>
    <row r="1384" spans="1:28" x14ac:dyDescent="0.25">
      <c r="A1384" t="s">
        <v>1388</v>
      </c>
      <c r="B1384">
        <v>0.98876768158843997</v>
      </c>
      <c r="C1384">
        <v>0.86261432980522401</v>
      </c>
      <c r="D1384">
        <v>0.86656561629126705</v>
      </c>
      <c r="E1384">
        <v>0.73919035728993598</v>
      </c>
      <c r="F1384">
        <v>0.28055475931826102</v>
      </c>
      <c r="G1384">
        <v>8.4135925532901196E-2</v>
      </c>
      <c r="H1384">
        <v>4.7675281391210501E-2</v>
      </c>
      <c r="I1384">
        <v>4.3172797128016298E-2</v>
      </c>
      <c r="J1384">
        <v>6.0187423111122997E-2</v>
      </c>
      <c r="K1384">
        <v>4.6439188404240203E-2</v>
      </c>
      <c r="L1384">
        <v>1521.54640151731</v>
      </c>
      <c r="M1384">
        <v>29.6660284879705</v>
      </c>
      <c r="N1384">
        <v>51.443640421162698</v>
      </c>
      <c r="O1384">
        <v>51.057821650106902</v>
      </c>
      <c r="P1384">
        <v>-0.139069273142751</v>
      </c>
      <c r="Q1384">
        <v>4.2605143272613E-2</v>
      </c>
      <c r="R1384">
        <v>0.97882306605832403</v>
      </c>
      <c r="S1384" t="s">
        <v>5216</v>
      </c>
      <c r="T1384" t="s">
        <v>7662</v>
      </c>
      <c r="U1384" t="s">
        <v>7662</v>
      </c>
      <c r="V1384" t="s">
        <v>7662</v>
      </c>
      <c r="W1384">
        <v>24</v>
      </c>
      <c r="X1384" t="s">
        <v>9046</v>
      </c>
      <c r="Y1384">
        <v>0.40906347841647722</v>
      </c>
      <c r="Z1384" t="str">
        <f>HYPERLINK("Melting_Curves/meltCurve_sp_Q02790_FKBP4_HUMAN_.pdf", "Melting_Curves/meltCurve_sp_Q02790_FKBP4_HUMAN_.pdf")</f>
        <v>Melting_Curves/meltCurve_sp_Q02790_FKBP4_HUMAN_.pdf</v>
      </c>
      <c r="AA1384" t="s">
        <v>12856</v>
      </c>
      <c r="AB1384" t="s">
        <v>16624</v>
      </c>
    </row>
    <row r="1385" spans="1:28" x14ac:dyDescent="0.25">
      <c r="A1385" t="s">
        <v>1389</v>
      </c>
      <c r="B1385">
        <v>0.98876768158843997</v>
      </c>
      <c r="C1385">
        <v>1.09556108575555</v>
      </c>
      <c r="D1385">
        <v>0.91064668082070799</v>
      </c>
      <c r="E1385">
        <v>0.79176740361014197</v>
      </c>
      <c r="F1385">
        <v>0.81992493128143096</v>
      </c>
      <c r="G1385">
        <v>0.59947195399991504</v>
      </c>
      <c r="H1385">
        <v>0.48761635256916702</v>
      </c>
      <c r="I1385">
        <v>0.56327150148405003</v>
      </c>
      <c r="J1385">
        <v>0.63185403159983899</v>
      </c>
      <c r="K1385">
        <v>0.77637748761950298</v>
      </c>
      <c r="L1385">
        <v>1050.37905738414</v>
      </c>
      <c r="M1385">
        <v>20.742526626296801</v>
      </c>
      <c r="O1385">
        <v>50.175299263060403</v>
      </c>
      <c r="P1385">
        <v>-4.0063441927256603E-2</v>
      </c>
      <c r="Q1385">
        <v>0.61236380162997694</v>
      </c>
      <c r="R1385">
        <v>0.78469295795831895</v>
      </c>
      <c r="S1385" t="s">
        <v>5217</v>
      </c>
      <c r="T1385" t="s">
        <v>7662</v>
      </c>
      <c r="U1385" t="s">
        <v>7662</v>
      </c>
      <c r="V1385" t="s">
        <v>7662</v>
      </c>
      <c r="W1385">
        <v>23</v>
      </c>
      <c r="X1385" t="s">
        <v>9047</v>
      </c>
      <c r="Y1385">
        <v>0.75485513103752189</v>
      </c>
      <c r="Z1385" t="str">
        <f>HYPERLINK("Melting_Curves/meltCurve_sp_Q02818_NUCB1_HUMAN_.pdf", "Melting_Curves/meltCurve_sp_Q02818_NUCB1_HUMAN_.pdf")</f>
        <v>Melting_Curves/meltCurve_sp_Q02818_NUCB1_HUMAN_.pdf</v>
      </c>
      <c r="AA1385" t="s">
        <v>12857</v>
      </c>
      <c r="AB1385" t="s">
        <v>16625</v>
      </c>
    </row>
    <row r="1386" spans="1:28" x14ac:dyDescent="0.25">
      <c r="A1386" t="s">
        <v>1390</v>
      </c>
      <c r="B1386">
        <v>0.98876768158843997</v>
      </c>
      <c r="C1386">
        <v>0.93138762383725604</v>
      </c>
      <c r="D1386">
        <v>1.0299084692257301</v>
      </c>
      <c r="E1386">
        <v>0.36732217345660401</v>
      </c>
      <c r="F1386">
        <v>0.20163239484182599</v>
      </c>
      <c r="G1386">
        <v>0.104720168713518</v>
      </c>
      <c r="H1386">
        <v>7.1936220214898497E-2</v>
      </c>
      <c r="I1386">
        <v>1.9649330585895401E-2</v>
      </c>
      <c r="J1386">
        <v>5.3378852633036503E-2</v>
      </c>
      <c r="K1386">
        <v>0</v>
      </c>
      <c r="L1386">
        <v>2052.3484599319199</v>
      </c>
      <c r="M1386">
        <v>41.616383328853601</v>
      </c>
      <c r="N1386">
        <v>49.474667510059497</v>
      </c>
      <c r="O1386">
        <v>49.202418985187101</v>
      </c>
      <c r="P1386">
        <v>-0.198235948013436</v>
      </c>
      <c r="Q1386">
        <v>6.2516303663367495E-2</v>
      </c>
      <c r="R1386">
        <v>0.98406998029124804</v>
      </c>
      <c r="S1386" t="s">
        <v>5218</v>
      </c>
      <c r="T1386" t="s">
        <v>7662</v>
      </c>
      <c r="U1386" t="s">
        <v>7662</v>
      </c>
      <c r="V1386" t="s">
        <v>7662</v>
      </c>
      <c r="W1386">
        <v>2</v>
      </c>
      <c r="X1386" t="s">
        <v>9048</v>
      </c>
      <c r="Y1386">
        <v>0.35658466356675361</v>
      </c>
      <c r="Z1386" t="str">
        <f>HYPERLINK("Melting_Curves/meltCurve_sp_Q02928_CP4AB_HUMAN_.pdf", "Melting_Curves/meltCurve_sp_Q02928_CP4AB_HUMAN_.pdf")</f>
        <v>Melting_Curves/meltCurve_sp_Q02928_CP4AB_HUMAN_.pdf</v>
      </c>
      <c r="AA1386" t="s">
        <v>12858</v>
      </c>
      <c r="AB1386" t="s">
        <v>16626</v>
      </c>
    </row>
    <row r="1387" spans="1:28" x14ac:dyDescent="0.25">
      <c r="A1387" t="s">
        <v>1391</v>
      </c>
      <c r="B1387">
        <v>0.98876768158843997</v>
      </c>
      <c r="C1387">
        <v>0.960972599648513</v>
      </c>
      <c r="D1387">
        <v>1.03487263362807</v>
      </c>
      <c r="E1387">
        <v>0.81545133542873605</v>
      </c>
      <c r="F1387">
        <v>0.41092462267982099</v>
      </c>
      <c r="G1387">
        <v>0.155986175173078</v>
      </c>
      <c r="H1387">
        <v>0.105184712528038</v>
      </c>
      <c r="I1387">
        <v>0.104212201975404</v>
      </c>
      <c r="J1387">
        <v>0.110427068937984</v>
      </c>
      <c r="K1387">
        <v>9.7003449020928306E-2</v>
      </c>
      <c r="L1387">
        <v>1791.4192385475101</v>
      </c>
      <c r="M1387">
        <v>34.449976196515898</v>
      </c>
      <c r="N1387">
        <v>52.356852155075799</v>
      </c>
      <c r="O1387">
        <v>51.826309486478699</v>
      </c>
      <c r="P1387">
        <v>-0.148817689743168</v>
      </c>
      <c r="Q1387">
        <v>0.104482089497277</v>
      </c>
      <c r="R1387">
        <v>0.99757872524797397</v>
      </c>
      <c r="S1387" t="s">
        <v>5219</v>
      </c>
      <c r="T1387" t="s">
        <v>7662</v>
      </c>
      <c r="U1387" t="s">
        <v>7662</v>
      </c>
      <c r="V1387" t="s">
        <v>7662</v>
      </c>
      <c r="W1387">
        <v>14</v>
      </c>
      <c r="X1387" t="s">
        <v>9049</v>
      </c>
      <c r="Y1387">
        <v>0.46704957124549679</v>
      </c>
      <c r="Z1387" t="str">
        <f>HYPERLINK("Melting_Curves/meltCurve_sp_Q03001_8_DYST_HUMAN_.pdf", "Melting_Curves/meltCurve_sp_Q03001_8_DYST_HUMAN_.pdf")</f>
        <v>Melting_Curves/meltCurve_sp_Q03001_8_DYST_HUMAN_.pdf</v>
      </c>
      <c r="AA1387" t="s">
        <v>12859</v>
      </c>
      <c r="AB1387" t="s">
        <v>16627</v>
      </c>
    </row>
    <row r="1388" spans="1:28" x14ac:dyDescent="0.25">
      <c r="A1388" t="s">
        <v>1392</v>
      </c>
      <c r="B1388">
        <v>0.98876768158843997</v>
      </c>
      <c r="C1388">
        <v>0.99847583081625602</v>
      </c>
      <c r="D1388">
        <v>0.77026652936826201</v>
      </c>
      <c r="E1388">
        <v>0.58457446805272895</v>
      </c>
      <c r="F1388">
        <v>0.281677957911949</v>
      </c>
      <c r="G1388">
        <v>0.122175915877286</v>
      </c>
      <c r="H1388">
        <v>7.7676013546203904E-2</v>
      </c>
      <c r="I1388">
        <v>7.13346294719545E-2</v>
      </c>
      <c r="J1388">
        <v>9.3731465738911598E-2</v>
      </c>
      <c r="K1388">
        <v>7.2714999956870696E-2</v>
      </c>
      <c r="L1388">
        <v>911.516959664512</v>
      </c>
      <c r="M1388">
        <v>18.2393292647054</v>
      </c>
      <c r="N1388">
        <v>50.313768099436103</v>
      </c>
      <c r="O1388">
        <v>49.386227939127103</v>
      </c>
      <c r="P1388">
        <v>-8.7004261799472293E-2</v>
      </c>
      <c r="Q1388">
        <v>5.7726017285766998E-2</v>
      </c>
      <c r="R1388">
        <v>0.99129967751014103</v>
      </c>
      <c r="S1388" t="s">
        <v>5220</v>
      </c>
      <c r="T1388" t="s">
        <v>7662</v>
      </c>
      <c r="U1388" t="s">
        <v>7662</v>
      </c>
      <c r="V1388" t="s">
        <v>7662</v>
      </c>
      <c r="W1388">
        <v>7</v>
      </c>
      <c r="X1388" t="s">
        <v>9050</v>
      </c>
      <c r="Y1388">
        <v>0.38671819390307388</v>
      </c>
      <c r="Z1388" t="str">
        <f>HYPERLINK("Melting_Curves/meltCurve_sp_Q03013_2_GSTM4_HUMAN_.pdf", "Melting_Curves/meltCurve_sp_Q03013_2_GSTM4_HUMAN_.pdf")</f>
        <v>Melting_Curves/meltCurve_sp_Q03013_2_GSTM4_HUMAN_.pdf</v>
      </c>
      <c r="AA1388" t="s">
        <v>12860</v>
      </c>
      <c r="AB1388" t="s">
        <v>16628</v>
      </c>
    </row>
    <row r="1389" spans="1:28" x14ac:dyDescent="0.25">
      <c r="A1389" t="s">
        <v>1393</v>
      </c>
      <c r="B1389">
        <v>0.98876768158843997</v>
      </c>
      <c r="C1389">
        <v>0.93410850154583303</v>
      </c>
      <c r="D1389">
        <v>0.91773137443885999</v>
      </c>
      <c r="E1389">
        <v>0.84857130756397903</v>
      </c>
      <c r="F1389">
        <v>0.83765452834530496</v>
      </c>
      <c r="G1389">
        <v>0.62283878366431999</v>
      </c>
      <c r="H1389">
        <v>0.51295331681112399</v>
      </c>
      <c r="I1389">
        <v>0.52983652764826195</v>
      </c>
      <c r="J1389">
        <v>0.51698208860319605</v>
      </c>
      <c r="K1389">
        <v>0.50781172276432496</v>
      </c>
      <c r="L1389">
        <v>685.71290564822402</v>
      </c>
      <c r="M1389">
        <v>12.6655939913346</v>
      </c>
      <c r="N1389">
        <v>67.541990717408893</v>
      </c>
      <c r="O1389">
        <v>52.843387732332097</v>
      </c>
      <c r="P1389">
        <v>-3.2393585109304998E-2</v>
      </c>
      <c r="Q1389">
        <v>0.45949565695752498</v>
      </c>
      <c r="R1389">
        <v>0.96646446599884295</v>
      </c>
      <c r="S1389" t="s">
        <v>5221</v>
      </c>
      <c r="T1389" t="s">
        <v>7662</v>
      </c>
      <c r="U1389" t="s">
        <v>7662</v>
      </c>
      <c r="V1389" t="s">
        <v>7662</v>
      </c>
      <c r="W1389">
        <v>27</v>
      </c>
      <c r="X1389" t="s">
        <v>9051</v>
      </c>
      <c r="Y1389">
        <v>0.72749280254453452</v>
      </c>
      <c r="Z1389" t="str">
        <f>HYPERLINK("Melting_Curves/meltCurve_sp_Q03154_ACY1_HUMAN_.pdf", "Melting_Curves/meltCurve_sp_Q03154_ACY1_HUMAN_.pdf")</f>
        <v>Melting_Curves/meltCurve_sp_Q03154_ACY1_HUMAN_.pdf</v>
      </c>
      <c r="AA1389" t="s">
        <v>12861</v>
      </c>
      <c r="AB1389" t="s">
        <v>16629</v>
      </c>
    </row>
    <row r="1390" spans="1:28" x14ac:dyDescent="0.25">
      <c r="A1390" t="s">
        <v>1394</v>
      </c>
      <c r="B1390">
        <v>0.98876768158843997</v>
      </c>
      <c r="C1390">
        <v>1.0052740676330401</v>
      </c>
      <c r="D1390">
        <v>0.67600214058877905</v>
      </c>
      <c r="E1390">
        <v>0.35311894462952198</v>
      </c>
      <c r="F1390">
        <v>0.20027052682831001</v>
      </c>
      <c r="G1390">
        <v>8.8303559753326197E-2</v>
      </c>
      <c r="H1390">
        <v>8.1846897273168698E-2</v>
      </c>
      <c r="I1390">
        <v>8.2412687565321496E-2</v>
      </c>
      <c r="J1390">
        <v>4.5179894806883197E-2</v>
      </c>
      <c r="K1390">
        <v>4.5038740622518197E-2</v>
      </c>
      <c r="L1390">
        <v>988.07013750196597</v>
      </c>
      <c r="M1390">
        <v>20.5982603006895</v>
      </c>
      <c r="N1390">
        <v>48.274022907186001</v>
      </c>
      <c r="O1390">
        <v>47.523373706569501</v>
      </c>
      <c r="P1390">
        <v>-0.101741733142916</v>
      </c>
      <c r="Q1390">
        <v>6.1091517609641099E-2</v>
      </c>
      <c r="R1390">
        <v>0.99221472436534497</v>
      </c>
      <c r="S1390" t="s">
        <v>5222</v>
      </c>
      <c r="T1390" t="s">
        <v>7662</v>
      </c>
      <c r="U1390" t="s">
        <v>7662</v>
      </c>
      <c r="V1390" t="s">
        <v>7662</v>
      </c>
      <c r="W1390">
        <v>1</v>
      </c>
      <c r="X1390" t="s">
        <v>9052</v>
      </c>
      <c r="Y1390">
        <v>0.32302600214302363</v>
      </c>
      <c r="Z1390" t="str">
        <f>HYPERLINK("Melting_Curves/meltCurve_sp_Q03169_TNAP2_HUMAN_.pdf", "Melting_Curves/meltCurve_sp_Q03169_TNAP2_HUMAN_.pdf")</f>
        <v>Melting_Curves/meltCurve_sp_Q03169_TNAP2_HUMAN_.pdf</v>
      </c>
      <c r="AA1390" t="s">
        <v>12862</v>
      </c>
      <c r="AB1390" t="s">
        <v>16630</v>
      </c>
    </row>
    <row r="1391" spans="1:28" x14ac:dyDescent="0.25">
      <c r="A1391" t="s">
        <v>1395</v>
      </c>
      <c r="B1391">
        <v>0.98876768158843997</v>
      </c>
      <c r="C1391">
        <v>1.0171885152373901</v>
      </c>
      <c r="D1391">
        <v>0.84492493399415802</v>
      </c>
      <c r="E1391">
        <v>0.76962350600725005</v>
      </c>
      <c r="F1391">
        <v>0.65523959780552798</v>
      </c>
      <c r="G1391">
        <v>0.45215249496079901</v>
      </c>
      <c r="H1391">
        <v>0.28940033883574001</v>
      </c>
      <c r="I1391">
        <v>0.22842270871262299</v>
      </c>
      <c r="J1391">
        <v>0.137746846009656</v>
      </c>
      <c r="K1391">
        <v>0.197128529821158</v>
      </c>
      <c r="L1391">
        <v>623.21618842705902</v>
      </c>
      <c r="M1391">
        <v>11.354881175097701</v>
      </c>
      <c r="N1391">
        <v>55.723475246298001</v>
      </c>
      <c r="O1391">
        <v>53.265673178927003</v>
      </c>
      <c r="P1391">
        <v>-4.9124589424036198E-2</v>
      </c>
      <c r="Q1391">
        <v>7.8502565614535502E-2</v>
      </c>
      <c r="R1391">
        <v>0.98851902825514903</v>
      </c>
      <c r="S1391" t="s">
        <v>5223</v>
      </c>
      <c r="T1391" t="s">
        <v>7662</v>
      </c>
      <c r="U1391" t="s">
        <v>7662</v>
      </c>
      <c r="V1391" t="s">
        <v>7662</v>
      </c>
      <c r="W1391">
        <v>2</v>
      </c>
      <c r="X1391" t="s">
        <v>9053</v>
      </c>
      <c r="Y1391">
        <v>0.55846945409863935</v>
      </c>
      <c r="Z1391" t="str">
        <f>HYPERLINK("Melting_Curves/meltCurve_sp_Q03393_PTPS_HUMAN_.pdf", "Melting_Curves/meltCurve_sp_Q03393_PTPS_HUMAN_.pdf")</f>
        <v>Melting_Curves/meltCurve_sp_Q03393_PTPS_HUMAN_.pdf</v>
      </c>
      <c r="AA1391" t="s">
        <v>12863</v>
      </c>
      <c r="AB1391" t="s">
        <v>16631</v>
      </c>
    </row>
    <row r="1392" spans="1:28" x14ac:dyDescent="0.25">
      <c r="A1392" t="s">
        <v>1396</v>
      </c>
      <c r="B1392">
        <v>0.98876768158843997</v>
      </c>
      <c r="C1392">
        <v>0.99849368058917798</v>
      </c>
      <c r="D1392">
        <v>0.91316159111920403</v>
      </c>
      <c r="E1392">
        <v>0.77917286719648804</v>
      </c>
      <c r="F1392">
        <v>0.13676732718721801</v>
      </c>
      <c r="G1392">
        <v>9.0039375164509897E-2</v>
      </c>
      <c r="H1392">
        <v>5.3663546554491098E-2</v>
      </c>
      <c r="I1392">
        <v>4.7265107470839299E-2</v>
      </c>
      <c r="J1392">
        <v>6.4049922000712703E-2</v>
      </c>
      <c r="K1392">
        <v>4.2650231248270797E-2</v>
      </c>
      <c r="L1392">
        <v>3114.0486005253902</v>
      </c>
      <c r="M1392">
        <v>61.109849262045998</v>
      </c>
      <c r="N1392">
        <v>51.062446839494797</v>
      </c>
      <c r="O1392">
        <v>50.9037493665341</v>
      </c>
      <c r="P1392">
        <v>-0.28252222879016498</v>
      </c>
      <c r="Q1392">
        <v>5.8650686547593797E-2</v>
      </c>
      <c r="R1392">
        <v>0.99500329422090406</v>
      </c>
      <c r="S1392" t="s">
        <v>5224</v>
      </c>
      <c r="T1392" t="s">
        <v>7662</v>
      </c>
      <c r="U1392" t="s">
        <v>7662</v>
      </c>
      <c r="V1392" t="s">
        <v>7662</v>
      </c>
      <c r="W1392">
        <v>26</v>
      </c>
      <c r="X1392" t="s">
        <v>9054</v>
      </c>
      <c r="Y1392">
        <v>0.4039147304548853</v>
      </c>
      <c r="Z1392" t="str">
        <f>HYPERLINK("Melting_Curves/meltCurve_sp_Q04446_GLGB_HUMAN_.pdf", "Melting_Curves/meltCurve_sp_Q04446_GLGB_HUMAN_.pdf")</f>
        <v>Melting_Curves/meltCurve_sp_Q04446_GLGB_HUMAN_.pdf</v>
      </c>
      <c r="AA1392" t="s">
        <v>12864</v>
      </c>
      <c r="AB1392" t="s">
        <v>16632</v>
      </c>
    </row>
    <row r="1393" spans="1:28" x14ac:dyDescent="0.25">
      <c r="A1393" t="s">
        <v>1397</v>
      </c>
      <c r="B1393">
        <v>0.98876768158843997</v>
      </c>
      <c r="C1393">
        <v>1.00263811053161</v>
      </c>
      <c r="D1393">
        <v>0.87974313978739105</v>
      </c>
      <c r="E1393">
        <v>0.648823905436823</v>
      </c>
      <c r="F1393">
        <v>0.454029994252861</v>
      </c>
      <c r="G1393">
        <v>0.28621495622973298</v>
      </c>
      <c r="H1393">
        <v>0.20602330806911401</v>
      </c>
      <c r="I1393">
        <v>0.23062917595016799</v>
      </c>
      <c r="J1393">
        <v>0.24858279764430299</v>
      </c>
      <c r="K1393">
        <v>0.31304820252908799</v>
      </c>
      <c r="L1393">
        <v>1051.9349799107099</v>
      </c>
      <c r="M1393">
        <v>20.914953674119101</v>
      </c>
      <c r="N1393">
        <v>51.933013598037803</v>
      </c>
      <c r="O1393">
        <v>49.842803683793903</v>
      </c>
      <c r="P1393">
        <v>-7.9582362087366895E-2</v>
      </c>
      <c r="Q1393">
        <v>0.241404028010267</v>
      </c>
      <c r="R1393">
        <v>0.98954494376606705</v>
      </c>
      <c r="S1393" t="s">
        <v>5225</v>
      </c>
      <c r="T1393" t="s">
        <v>7662</v>
      </c>
      <c r="U1393" t="s">
        <v>7662</v>
      </c>
      <c r="V1393" t="s">
        <v>7662</v>
      </c>
      <c r="W1393">
        <v>43</v>
      </c>
      <c r="X1393" t="s">
        <v>9055</v>
      </c>
      <c r="Y1393">
        <v>0.51142421379175873</v>
      </c>
      <c r="Z1393" t="str">
        <f>HYPERLINK("Melting_Curves/meltCurve_sp_Q04637_5_IF4G1_HUMAN_.pdf", "Melting_Curves/meltCurve_sp_Q04637_5_IF4G1_HUMAN_.pdf")</f>
        <v>Melting_Curves/meltCurve_sp_Q04637_5_IF4G1_HUMAN_.pdf</v>
      </c>
      <c r="AA1393" t="s">
        <v>12865</v>
      </c>
      <c r="AB1393" t="s">
        <v>16633</v>
      </c>
    </row>
    <row r="1394" spans="1:28" x14ac:dyDescent="0.25">
      <c r="A1394" t="s">
        <v>1398</v>
      </c>
      <c r="B1394">
        <v>0.98876768158843997</v>
      </c>
      <c r="C1394">
        <v>0.92692753666685201</v>
      </c>
      <c r="D1394">
        <v>0.78237341292051399</v>
      </c>
      <c r="E1394">
        <v>0.713749210777754</v>
      </c>
      <c r="F1394">
        <v>0.61467263745745304</v>
      </c>
      <c r="G1394">
        <v>0.456075405334603</v>
      </c>
      <c r="H1394">
        <v>0.33521755187635599</v>
      </c>
      <c r="I1394">
        <v>0.30211792371056601</v>
      </c>
      <c r="J1394">
        <v>0.432169671012819</v>
      </c>
      <c r="K1394">
        <v>0.33779285938773801</v>
      </c>
      <c r="L1394">
        <v>572.20596153366603</v>
      </c>
      <c r="M1394">
        <v>11.2401607380346</v>
      </c>
      <c r="N1394">
        <v>55.4448687994729</v>
      </c>
      <c r="O1394">
        <v>49.375741708168903</v>
      </c>
      <c r="P1394">
        <v>-3.9809397310182598E-2</v>
      </c>
      <c r="Q1394">
        <v>0.30071890498200299</v>
      </c>
      <c r="R1394">
        <v>0.96359614337569999</v>
      </c>
      <c r="S1394" t="s">
        <v>5226</v>
      </c>
      <c r="T1394" t="s">
        <v>7662</v>
      </c>
      <c r="U1394" t="s">
        <v>7662</v>
      </c>
      <c r="V1394" t="s">
        <v>7662</v>
      </c>
      <c r="W1394">
        <v>3</v>
      </c>
      <c r="X1394" t="s">
        <v>9056</v>
      </c>
      <c r="Y1394">
        <v>0.58011061705267208</v>
      </c>
      <c r="Z1394" t="str">
        <f>HYPERLINK("Melting_Curves/meltCurve_sp_Q04724_TLE1_HUMAN_.pdf", "Melting_Curves/meltCurve_sp_Q04724_TLE1_HUMAN_.pdf")</f>
        <v>Melting_Curves/meltCurve_sp_Q04724_TLE1_HUMAN_.pdf</v>
      </c>
      <c r="AA1394" t="s">
        <v>12866</v>
      </c>
      <c r="AB1394" t="s">
        <v>16634</v>
      </c>
    </row>
    <row r="1395" spans="1:28" x14ac:dyDescent="0.25">
      <c r="A1395" t="s">
        <v>1399</v>
      </c>
      <c r="B1395">
        <v>0.98876768158843997</v>
      </c>
      <c r="C1395">
        <v>1.1096289512315101</v>
      </c>
      <c r="D1395">
        <v>0.86656364308891698</v>
      </c>
      <c r="E1395">
        <v>0.78167155406100497</v>
      </c>
      <c r="F1395">
        <v>0.85738884234591595</v>
      </c>
      <c r="G1395">
        <v>0.52966840596067</v>
      </c>
      <c r="H1395">
        <v>0.31561567563588799</v>
      </c>
      <c r="I1395">
        <v>0.275137494012065</v>
      </c>
      <c r="J1395">
        <v>0.22411805421290601</v>
      </c>
      <c r="K1395">
        <v>0.16126742261848201</v>
      </c>
      <c r="L1395">
        <v>724.96444847227599</v>
      </c>
      <c r="M1395">
        <v>12.719120491906899</v>
      </c>
      <c r="N1395">
        <v>57.840339915399703</v>
      </c>
      <c r="O1395">
        <v>55.644147295721901</v>
      </c>
      <c r="P1395">
        <v>-5.23238252061849E-2</v>
      </c>
      <c r="Q1395">
        <v>8.4542121384863306E-2</v>
      </c>
      <c r="R1395">
        <v>0.95819107088857103</v>
      </c>
      <c r="S1395" t="s">
        <v>5227</v>
      </c>
      <c r="T1395" t="s">
        <v>7662</v>
      </c>
      <c r="U1395" t="s">
        <v>7662</v>
      </c>
      <c r="V1395" t="s">
        <v>7662</v>
      </c>
      <c r="W1395">
        <v>10</v>
      </c>
      <c r="X1395" t="s">
        <v>9057</v>
      </c>
      <c r="Y1395">
        <v>0.61861049482916675</v>
      </c>
      <c r="Z1395" t="str">
        <f>HYPERLINK("Melting_Curves/meltCurve_sp_Q04760_LGUL_HUMAN_.pdf", "Melting_Curves/meltCurve_sp_Q04760_LGUL_HUMAN_.pdf")</f>
        <v>Melting_Curves/meltCurve_sp_Q04760_LGUL_HUMAN_.pdf</v>
      </c>
      <c r="AA1395" t="s">
        <v>12867</v>
      </c>
      <c r="AB1395" t="s">
        <v>16635</v>
      </c>
    </row>
    <row r="1396" spans="1:28" x14ac:dyDescent="0.25">
      <c r="A1396" t="s">
        <v>1400</v>
      </c>
      <c r="B1396">
        <v>0.98876768158843997</v>
      </c>
      <c r="C1396">
        <v>1.0844250037337799</v>
      </c>
      <c r="D1396">
        <v>0.77865391138814899</v>
      </c>
      <c r="E1396">
        <v>0.39861731870912998</v>
      </c>
      <c r="F1396">
        <v>0.21625034305197399</v>
      </c>
      <c r="G1396">
        <v>0.12794761490630999</v>
      </c>
      <c r="H1396">
        <v>7.5293321279023301E-2</v>
      </c>
      <c r="I1396">
        <v>6.1810660574715001E-2</v>
      </c>
      <c r="J1396">
        <v>6.1081046895772297E-2</v>
      </c>
      <c r="K1396">
        <v>5.7885958731423097E-2</v>
      </c>
      <c r="L1396">
        <v>1136.14127748435</v>
      </c>
      <c r="M1396">
        <v>23.291132206581601</v>
      </c>
      <c r="N1396">
        <v>49.095585672071401</v>
      </c>
      <c r="O1396">
        <v>48.424692939222901</v>
      </c>
      <c r="P1396">
        <v>-0.111886216866576</v>
      </c>
      <c r="Q1396">
        <v>6.9524582528398493E-2</v>
      </c>
      <c r="R1396">
        <v>0.98825717728667795</v>
      </c>
      <c r="S1396" t="s">
        <v>5228</v>
      </c>
      <c r="T1396" t="s">
        <v>7662</v>
      </c>
      <c r="U1396" t="s">
        <v>7662</v>
      </c>
      <c r="V1396" t="s">
        <v>7662</v>
      </c>
      <c r="W1396">
        <v>24</v>
      </c>
      <c r="X1396" t="s">
        <v>9058</v>
      </c>
      <c r="Y1396">
        <v>0.35138070034457941</v>
      </c>
      <c r="Z1396" t="str">
        <f>HYPERLINK("Melting_Curves/meltCurve_sp_Q04828_AK1C1_HUMAN_.pdf", "Melting_Curves/meltCurve_sp_Q04828_AK1C1_HUMAN_.pdf")</f>
        <v>Melting_Curves/meltCurve_sp_Q04828_AK1C1_HUMAN_.pdf</v>
      </c>
      <c r="AA1396" t="s">
        <v>12868</v>
      </c>
      <c r="AB1396" t="s">
        <v>16636</v>
      </c>
    </row>
    <row r="1397" spans="1:28" x14ac:dyDescent="0.25">
      <c r="A1397" t="s">
        <v>1401</v>
      </c>
      <c r="B1397">
        <v>0.98876768158843997</v>
      </c>
      <c r="C1397">
        <v>1.0425688118977401</v>
      </c>
      <c r="D1397">
        <v>0.85036267302106805</v>
      </c>
      <c r="E1397">
        <v>0.78837157085251097</v>
      </c>
      <c r="F1397">
        <v>0.77540968792100995</v>
      </c>
      <c r="G1397">
        <v>0.57107763216715601</v>
      </c>
      <c r="H1397">
        <v>0.461569953762626</v>
      </c>
      <c r="I1397">
        <v>0.55377800534225496</v>
      </c>
      <c r="J1397">
        <v>0.58756686278445702</v>
      </c>
      <c r="K1397">
        <v>0.73513108068871402</v>
      </c>
      <c r="L1397">
        <v>876.83127461950403</v>
      </c>
      <c r="M1397">
        <v>17.569951219134701</v>
      </c>
      <c r="O1397">
        <v>49.272145416058201</v>
      </c>
      <c r="P1397">
        <v>-3.7480361729141098E-2</v>
      </c>
      <c r="Q1397">
        <v>0.57959185649219902</v>
      </c>
      <c r="R1397">
        <v>0.81384228485079602</v>
      </c>
      <c r="S1397" t="s">
        <v>5229</v>
      </c>
      <c r="T1397" t="s">
        <v>7662</v>
      </c>
      <c r="U1397" t="s">
        <v>7662</v>
      </c>
      <c r="V1397" t="s">
        <v>7662</v>
      </c>
      <c r="W1397">
        <v>8</v>
      </c>
      <c r="X1397" t="s">
        <v>9059</v>
      </c>
      <c r="Y1397">
        <v>0.7259150316095393</v>
      </c>
      <c r="Z1397" t="str">
        <f>HYPERLINK("Melting_Curves/meltCurve_sp_Q04837_SSBP_HUMAN_.pdf", "Melting_Curves/meltCurve_sp_Q04837_SSBP_HUMAN_.pdf")</f>
        <v>Melting_Curves/meltCurve_sp_Q04837_SSBP_HUMAN_.pdf</v>
      </c>
      <c r="AA1397" t="s">
        <v>12869</v>
      </c>
      <c r="AB1397" t="s">
        <v>16637</v>
      </c>
    </row>
    <row r="1398" spans="1:28" x14ac:dyDescent="0.25">
      <c r="A1398" t="s">
        <v>1402</v>
      </c>
      <c r="B1398">
        <v>0.98876768158843997</v>
      </c>
      <c r="C1398">
        <v>1.0224651063027099</v>
      </c>
      <c r="D1398">
        <v>0.90847662368661997</v>
      </c>
      <c r="E1398">
        <v>0.85717984062108099</v>
      </c>
      <c r="F1398">
        <v>0.74881929798941405</v>
      </c>
      <c r="G1398">
        <v>0.34518864275627797</v>
      </c>
      <c r="H1398">
        <v>8.5661520784167902E-2</v>
      </c>
      <c r="I1398">
        <v>6.2789380992523999E-2</v>
      </c>
      <c r="J1398">
        <v>5.7147700175003903E-2</v>
      </c>
      <c r="K1398">
        <v>5.62907922016593E-2</v>
      </c>
      <c r="L1398">
        <v>1209.94646198072</v>
      </c>
      <c r="M1398">
        <v>21.966118175481501</v>
      </c>
      <c r="N1398">
        <v>55.211335571030602</v>
      </c>
      <c r="O1398">
        <v>54.631979449823298</v>
      </c>
      <c r="P1398">
        <v>-9.8007396578564707E-2</v>
      </c>
      <c r="Q1398">
        <v>2.5004330879484001E-2</v>
      </c>
      <c r="R1398">
        <v>0.99192152367911202</v>
      </c>
      <c r="S1398" t="s">
        <v>5230</v>
      </c>
      <c r="T1398" t="s">
        <v>7662</v>
      </c>
      <c r="U1398" t="s">
        <v>7662</v>
      </c>
      <c r="V1398" t="s">
        <v>7662</v>
      </c>
      <c r="W1398">
        <v>15</v>
      </c>
      <c r="X1398" t="s">
        <v>9060</v>
      </c>
      <c r="Y1398">
        <v>0.52638374833418844</v>
      </c>
      <c r="Z1398" t="str">
        <f>HYPERLINK("Melting_Curves/meltCurve_sp_Q04917_1433F_HUMAN_.pdf", "Melting_Curves/meltCurve_sp_Q04917_1433F_HUMAN_.pdf")</f>
        <v>Melting_Curves/meltCurve_sp_Q04917_1433F_HUMAN_.pdf</v>
      </c>
      <c r="AA1398" t="s">
        <v>12870</v>
      </c>
      <c r="AB1398" t="s">
        <v>16638</v>
      </c>
    </row>
    <row r="1399" spans="1:28" x14ac:dyDescent="0.25">
      <c r="A1399" t="s">
        <v>1403</v>
      </c>
      <c r="B1399">
        <v>0.98876768158843997</v>
      </c>
      <c r="C1399">
        <v>0.97772044411533798</v>
      </c>
      <c r="D1399">
        <v>0.99941154544367805</v>
      </c>
      <c r="E1399">
        <v>0.80820815999594497</v>
      </c>
      <c r="F1399">
        <v>0.63541345224881296</v>
      </c>
      <c r="G1399">
        <v>0.409238340069419</v>
      </c>
      <c r="H1399">
        <v>0.24727442576520101</v>
      </c>
      <c r="I1399">
        <v>0.13654972836720899</v>
      </c>
      <c r="J1399">
        <v>0.10875530664144099</v>
      </c>
      <c r="K1399">
        <v>0.106643684307482</v>
      </c>
      <c r="L1399">
        <v>829.62644105920594</v>
      </c>
      <c r="M1399">
        <v>15.136821208440001</v>
      </c>
      <c r="N1399">
        <v>55.291548869121101</v>
      </c>
      <c r="O1399">
        <v>53.878599519137303</v>
      </c>
      <c r="P1399">
        <v>-6.58921255684249E-2</v>
      </c>
      <c r="Q1399">
        <v>6.1935313139270302E-2</v>
      </c>
      <c r="R1399">
        <v>0.99696128804448303</v>
      </c>
      <c r="S1399" t="s">
        <v>5231</v>
      </c>
      <c r="T1399" t="s">
        <v>7662</v>
      </c>
      <c r="U1399" t="s">
        <v>7662</v>
      </c>
      <c r="V1399" t="s">
        <v>7662</v>
      </c>
      <c r="W1399">
        <v>2</v>
      </c>
      <c r="X1399" t="s">
        <v>9061</v>
      </c>
      <c r="Y1399">
        <v>0.54312664267746036</v>
      </c>
      <c r="Z1399" t="str">
        <f>HYPERLINK("Melting_Curves/meltCurve_sp_Q05048_CSTF1_HUMAN_.pdf", "Melting_Curves/meltCurve_sp_Q05048_CSTF1_HUMAN_.pdf")</f>
        <v>Melting_Curves/meltCurve_sp_Q05048_CSTF1_HUMAN_.pdf</v>
      </c>
      <c r="AA1399" t="s">
        <v>12871</v>
      </c>
      <c r="AB1399" t="s">
        <v>16639</v>
      </c>
    </row>
    <row r="1400" spans="1:28" x14ac:dyDescent="0.25">
      <c r="A1400" t="s">
        <v>1404</v>
      </c>
      <c r="B1400">
        <v>0.98876768158843997</v>
      </c>
      <c r="C1400">
        <v>0.80179994785628395</v>
      </c>
      <c r="D1400">
        <v>0.65548427451240798</v>
      </c>
      <c r="E1400">
        <v>0.42281532665143401</v>
      </c>
      <c r="F1400">
        <v>0.28801123035938597</v>
      </c>
      <c r="G1400">
        <v>0.13880614486968701</v>
      </c>
      <c r="H1400">
        <v>6.7326374607129202E-2</v>
      </c>
      <c r="I1400">
        <v>5.3918810869911397E-2</v>
      </c>
      <c r="J1400">
        <v>6.6586773636274396E-2</v>
      </c>
      <c r="K1400">
        <v>5.4410205825724499E-2</v>
      </c>
      <c r="L1400">
        <v>607.63139571489103</v>
      </c>
      <c r="M1400">
        <v>12.5585024871447</v>
      </c>
      <c r="N1400">
        <v>48.561163905044403</v>
      </c>
      <c r="O1400">
        <v>47.206418546574</v>
      </c>
      <c r="P1400">
        <v>-6.5032901870492599E-2</v>
      </c>
      <c r="Q1400">
        <v>2.2383458880330099E-2</v>
      </c>
      <c r="R1400">
        <v>0.99459093637160501</v>
      </c>
      <c r="S1400" t="s">
        <v>5232</v>
      </c>
      <c r="T1400" t="s">
        <v>7662</v>
      </c>
      <c r="U1400" t="s">
        <v>7662</v>
      </c>
      <c r="V1400" t="s">
        <v>7662</v>
      </c>
      <c r="W1400">
        <v>8</v>
      </c>
      <c r="X1400" t="s">
        <v>9062</v>
      </c>
      <c r="Y1400">
        <v>0.33004480056740593</v>
      </c>
      <c r="Z1400" t="str">
        <f>HYPERLINK("Melting_Curves/meltCurve_sp_Q05086_2_UBE3A_HUMAN_.pdf", "Melting_Curves/meltCurve_sp_Q05086_2_UBE3A_HUMAN_.pdf")</f>
        <v>Melting_Curves/meltCurve_sp_Q05086_2_UBE3A_HUMAN_.pdf</v>
      </c>
      <c r="AA1400" t="s">
        <v>12872</v>
      </c>
      <c r="AB1400" t="s">
        <v>16640</v>
      </c>
    </row>
    <row r="1401" spans="1:28" x14ac:dyDescent="0.25">
      <c r="A1401" t="s">
        <v>1405</v>
      </c>
      <c r="B1401">
        <v>0.98876768158843997</v>
      </c>
      <c r="C1401">
        <v>1.1442207552699699</v>
      </c>
      <c r="D1401">
        <v>0.88693512432471799</v>
      </c>
      <c r="E1401">
        <v>0.74363429471465803</v>
      </c>
      <c r="F1401">
        <v>0.95653015862579105</v>
      </c>
      <c r="G1401">
        <v>0.69324077695179998</v>
      </c>
      <c r="H1401">
        <v>0.54748820744481497</v>
      </c>
      <c r="I1401">
        <v>0.66170435313994802</v>
      </c>
      <c r="J1401">
        <v>0.738092896933498</v>
      </c>
      <c r="K1401">
        <v>0.97091564721141299</v>
      </c>
      <c r="L1401">
        <v>11505.755366244201</v>
      </c>
      <c r="M1401">
        <v>250</v>
      </c>
      <c r="O1401">
        <v>46.020076091354497</v>
      </c>
      <c r="P1401">
        <v>-0.32757319613845298</v>
      </c>
      <c r="Q1401">
        <v>0.75880090461703398</v>
      </c>
      <c r="R1401">
        <v>0.46334657789824601</v>
      </c>
      <c r="S1401" t="s">
        <v>5233</v>
      </c>
      <c r="T1401" t="s">
        <v>7662</v>
      </c>
      <c r="U1401" t="s">
        <v>7662</v>
      </c>
      <c r="V1401" t="s">
        <v>7662</v>
      </c>
      <c r="W1401">
        <v>42</v>
      </c>
      <c r="X1401" t="s">
        <v>9063</v>
      </c>
      <c r="Y1401">
        <v>0.8072452971531463</v>
      </c>
      <c r="Z1401" t="str">
        <f>HYPERLINK("Melting_Curves/meltCurve_sp_Q05682_5_CALD1_HUMAN_.pdf", "Melting_Curves/meltCurve_sp_Q05682_5_CALD1_HUMAN_.pdf")</f>
        <v>Melting_Curves/meltCurve_sp_Q05682_5_CALD1_HUMAN_.pdf</v>
      </c>
      <c r="AA1401" t="s">
        <v>12873</v>
      </c>
      <c r="AB1401" t="s">
        <v>16641</v>
      </c>
    </row>
    <row r="1402" spans="1:28" x14ac:dyDescent="0.25">
      <c r="A1402" t="s">
        <v>1406</v>
      </c>
      <c r="B1402">
        <v>0.98876768158843997</v>
      </c>
      <c r="C1402">
        <v>0.88216834871287797</v>
      </c>
      <c r="D1402">
        <v>0.97006174702949699</v>
      </c>
      <c r="E1402">
        <v>0.76748855422121198</v>
      </c>
      <c r="F1402">
        <v>0.51479885528417302</v>
      </c>
      <c r="G1402">
        <v>0.270731883602846</v>
      </c>
      <c r="H1402">
        <v>0.16973560972299201</v>
      </c>
      <c r="I1402">
        <v>0.13150724975365999</v>
      </c>
      <c r="J1402">
        <v>0.116484830396927</v>
      </c>
      <c r="K1402">
        <v>9.5578090213700395E-2</v>
      </c>
      <c r="L1402">
        <v>971.97040619884604</v>
      </c>
      <c r="M1402">
        <v>18.4429286857183</v>
      </c>
      <c r="N1402">
        <v>53.3092295532633</v>
      </c>
      <c r="O1402">
        <v>52.093663895762496</v>
      </c>
      <c r="P1402">
        <v>-8.0120957648846705E-2</v>
      </c>
      <c r="Q1402">
        <v>9.4806385940886695E-2</v>
      </c>
      <c r="R1402">
        <v>0.99051951457198895</v>
      </c>
      <c r="S1402" t="s">
        <v>5234</v>
      </c>
      <c r="T1402" t="s">
        <v>7662</v>
      </c>
      <c r="U1402" t="s">
        <v>7662</v>
      </c>
      <c r="V1402" t="s">
        <v>7662</v>
      </c>
      <c r="W1402">
        <v>4</v>
      </c>
      <c r="X1402" t="s">
        <v>9064</v>
      </c>
      <c r="Y1402">
        <v>0.49236850609441019</v>
      </c>
      <c r="Z1402" t="str">
        <f>HYPERLINK("Melting_Curves/meltCurve_sp_Q06033_2_ITIH3_HUMAN_.pdf", "Melting_Curves/meltCurve_sp_Q06033_2_ITIH3_HUMAN_.pdf")</f>
        <v>Melting_Curves/meltCurve_sp_Q06033_2_ITIH3_HUMAN_.pdf</v>
      </c>
      <c r="AA1402" t="s">
        <v>12874</v>
      </c>
      <c r="AB1402" t="s">
        <v>16642</v>
      </c>
    </row>
    <row r="1403" spans="1:28" x14ac:dyDescent="0.25">
      <c r="A1403" t="s">
        <v>1407</v>
      </c>
      <c r="B1403">
        <v>0.98876768158843997</v>
      </c>
      <c r="C1403">
        <v>0.98988375199793299</v>
      </c>
      <c r="D1403">
        <v>0.84183704079736199</v>
      </c>
      <c r="E1403">
        <v>0.665580742190787</v>
      </c>
      <c r="F1403">
        <v>0.44833304987483003</v>
      </c>
      <c r="G1403">
        <v>0.13075759320645799</v>
      </c>
      <c r="H1403">
        <v>8.1446302232387205E-2</v>
      </c>
      <c r="I1403">
        <v>7.5278801036136905E-2</v>
      </c>
      <c r="J1403">
        <v>8.25881336603351E-2</v>
      </c>
      <c r="K1403">
        <v>8.8858465716622898E-2</v>
      </c>
      <c r="L1403">
        <v>936.23373189167398</v>
      </c>
      <c r="M1403">
        <v>18.183086023558001</v>
      </c>
      <c r="N1403">
        <v>51.795556748107501</v>
      </c>
      <c r="O1403">
        <v>50.878607431569399</v>
      </c>
      <c r="P1403">
        <v>-8.4795263900808104E-2</v>
      </c>
      <c r="Q1403">
        <v>5.0972882525929401E-2</v>
      </c>
      <c r="R1403">
        <v>0.99205488071970505</v>
      </c>
      <c r="S1403" t="s">
        <v>5235</v>
      </c>
      <c r="T1403" t="s">
        <v>7662</v>
      </c>
      <c r="U1403" t="s">
        <v>7662</v>
      </c>
      <c r="V1403" t="s">
        <v>7662</v>
      </c>
      <c r="W1403">
        <v>19</v>
      </c>
      <c r="X1403" t="s">
        <v>9065</v>
      </c>
      <c r="Y1403">
        <v>0.43004390618328031</v>
      </c>
      <c r="Z1403" t="str">
        <f>HYPERLINK("Melting_Curves/meltCurve_sp_Q06124_2_PTN11_HUMAN_.pdf", "Melting_Curves/meltCurve_sp_Q06124_2_PTN11_HUMAN_.pdf")</f>
        <v>Melting_Curves/meltCurve_sp_Q06124_2_PTN11_HUMAN_.pdf</v>
      </c>
      <c r="AA1403" t="s">
        <v>12875</v>
      </c>
      <c r="AB1403" t="s">
        <v>16643</v>
      </c>
    </row>
    <row r="1404" spans="1:28" x14ac:dyDescent="0.25">
      <c r="A1404" t="s">
        <v>1408</v>
      </c>
      <c r="B1404">
        <v>0.98876768158843997</v>
      </c>
      <c r="C1404">
        <v>0.93848484806043997</v>
      </c>
      <c r="D1404">
        <v>1.0538229943409001</v>
      </c>
      <c r="E1404">
        <v>0.99461670763158405</v>
      </c>
      <c r="F1404">
        <v>0.68265901887399805</v>
      </c>
      <c r="G1404">
        <v>0.56769496564341504</v>
      </c>
      <c r="H1404">
        <v>0.47627034903715598</v>
      </c>
      <c r="I1404">
        <v>0.39269664399117299</v>
      </c>
      <c r="J1404">
        <v>0.21778310179000299</v>
      </c>
      <c r="K1404">
        <v>0.15077334873407799</v>
      </c>
      <c r="L1404">
        <v>638.16184285023996</v>
      </c>
      <c r="M1404">
        <v>10.737054700261901</v>
      </c>
      <c r="N1404">
        <v>59.595177872883497</v>
      </c>
      <c r="O1404">
        <v>57.485080405095097</v>
      </c>
      <c r="P1404">
        <v>-4.6049847696093098E-2</v>
      </c>
      <c r="Q1404">
        <v>1.4180566652894499E-2</v>
      </c>
      <c r="R1404">
        <v>0.956920844598244</v>
      </c>
      <c r="S1404" t="s">
        <v>5236</v>
      </c>
      <c r="T1404" t="s">
        <v>7662</v>
      </c>
      <c r="U1404" t="s">
        <v>7662</v>
      </c>
      <c r="V1404" t="s">
        <v>7662</v>
      </c>
      <c r="W1404">
        <v>12</v>
      </c>
      <c r="X1404" t="s">
        <v>9066</v>
      </c>
      <c r="Y1404">
        <v>0.65542696531961198</v>
      </c>
      <c r="Z1404" t="str">
        <f>HYPERLINK("Melting_Curves/meltCurve_sp_Q06203_PUR1_HUMAN_.pdf", "Melting_Curves/meltCurve_sp_Q06203_PUR1_HUMAN_.pdf")</f>
        <v>Melting_Curves/meltCurve_sp_Q06203_PUR1_HUMAN_.pdf</v>
      </c>
      <c r="AA1404" t="s">
        <v>12876</v>
      </c>
      <c r="AB1404" t="s">
        <v>16644</v>
      </c>
    </row>
    <row r="1405" spans="1:28" x14ac:dyDescent="0.25">
      <c r="A1405" t="s">
        <v>1409</v>
      </c>
      <c r="B1405">
        <v>0.98876768158843997</v>
      </c>
      <c r="C1405">
        <v>0.786954561990033</v>
      </c>
      <c r="D1405">
        <v>0.92491244774483505</v>
      </c>
      <c r="E1405">
        <v>0.31626288854947399</v>
      </c>
      <c r="F1405">
        <v>0.10917570665094201</v>
      </c>
      <c r="G1405">
        <v>6.2222457523418498E-2</v>
      </c>
      <c r="H1405">
        <v>3.7871858757683702E-2</v>
      </c>
      <c r="I1405">
        <v>3.2521499232780797E-2</v>
      </c>
      <c r="J1405">
        <v>4.13170309085144E-2</v>
      </c>
      <c r="K1405">
        <v>2.7438196841685601E-2</v>
      </c>
      <c r="L1405">
        <v>1600.1954826252299</v>
      </c>
      <c r="M1405">
        <v>32.8310098070111</v>
      </c>
      <c r="N1405">
        <v>48.858438062517202</v>
      </c>
      <c r="O1405">
        <v>48.560583335804601</v>
      </c>
      <c r="P1405">
        <v>-0.16257578675211901</v>
      </c>
      <c r="Q1405">
        <v>3.8135922056432098E-2</v>
      </c>
      <c r="R1405">
        <v>0.97026168915616695</v>
      </c>
      <c r="S1405" t="s">
        <v>5237</v>
      </c>
      <c r="T1405" t="s">
        <v>7662</v>
      </c>
      <c r="U1405" t="s">
        <v>7662</v>
      </c>
      <c r="V1405" t="s">
        <v>7662</v>
      </c>
      <c r="W1405">
        <v>23</v>
      </c>
      <c r="X1405" t="s">
        <v>9067</v>
      </c>
      <c r="Y1405">
        <v>0.32322185088509792</v>
      </c>
      <c r="Z1405" t="str">
        <f>HYPERLINK("Melting_Curves/meltCurve_sp_Q06210_2_GFPT1_HUMAN_.pdf", "Melting_Curves/meltCurve_sp_Q06210_2_GFPT1_HUMAN_.pdf")</f>
        <v>Melting_Curves/meltCurve_sp_Q06210_2_GFPT1_HUMAN_.pdf</v>
      </c>
      <c r="AA1405" t="s">
        <v>12877</v>
      </c>
      <c r="AB1405" t="s">
        <v>16645</v>
      </c>
    </row>
    <row r="1406" spans="1:28" x14ac:dyDescent="0.25">
      <c r="A1406" t="s">
        <v>1410</v>
      </c>
      <c r="B1406">
        <v>0.98876768158843997</v>
      </c>
      <c r="C1406">
        <v>0.82257012129217899</v>
      </c>
      <c r="D1406">
        <v>1.0890170587521599</v>
      </c>
      <c r="E1406">
        <v>0.92807499827321405</v>
      </c>
      <c r="F1406">
        <v>0.58895787897893204</v>
      </c>
      <c r="G1406">
        <v>0.45651645985128902</v>
      </c>
      <c r="H1406">
        <v>0.41633313458354199</v>
      </c>
      <c r="I1406">
        <v>0.48823170393168103</v>
      </c>
      <c r="J1406">
        <v>0.33142455974000001</v>
      </c>
      <c r="K1406">
        <v>0.37707602824056902</v>
      </c>
      <c r="L1406">
        <v>2405.4139928407899</v>
      </c>
      <c r="M1406">
        <v>46.178776816837697</v>
      </c>
      <c r="N1406">
        <v>54.1092952864865</v>
      </c>
      <c r="O1406">
        <v>51.991764808475097</v>
      </c>
      <c r="P1406">
        <v>-0.13082467702417999</v>
      </c>
      <c r="Q1406">
        <v>0.41082910117087501</v>
      </c>
      <c r="R1406">
        <v>0.92357659728203401</v>
      </c>
      <c r="S1406" t="s">
        <v>5238</v>
      </c>
      <c r="T1406" t="s">
        <v>7662</v>
      </c>
      <c r="U1406" t="s">
        <v>7662</v>
      </c>
      <c r="V1406" t="s">
        <v>7662</v>
      </c>
      <c r="W1406">
        <v>73</v>
      </c>
      <c r="X1406" t="s">
        <v>9068</v>
      </c>
      <c r="Y1406">
        <v>0.64983687648663235</v>
      </c>
      <c r="Z1406" t="str">
        <f>HYPERLINK("Melting_Curves/meltCurve_sp_Q06278_ADO_HUMAN_.pdf", "Melting_Curves/meltCurve_sp_Q06278_ADO_HUMAN_.pdf")</f>
        <v>Melting_Curves/meltCurve_sp_Q06278_ADO_HUMAN_.pdf</v>
      </c>
      <c r="AA1406" t="s">
        <v>12878</v>
      </c>
      <c r="AB1406" t="s">
        <v>16646</v>
      </c>
    </row>
    <row r="1407" spans="1:28" x14ac:dyDescent="0.25">
      <c r="A1407" t="s">
        <v>1411</v>
      </c>
      <c r="B1407">
        <v>0.98876768158843997</v>
      </c>
      <c r="C1407">
        <v>1.00466277539603</v>
      </c>
      <c r="D1407">
        <v>0.989165985023573</v>
      </c>
      <c r="E1407">
        <v>0.93411767821175895</v>
      </c>
      <c r="F1407">
        <v>0.80251704305486904</v>
      </c>
      <c r="G1407">
        <v>0.61743310462194101</v>
      </c>
      <c r="H1407">
        <v>0.46466796200374899</v>
      </c>
      <c r="I1407">
        <v>0.43860921126114299</v>
      </c>
      <c r="J1407">
        <v>0.36934335266781698</v>
      </c>
      <c r="K1407">
        <v>0.30944616836851702</v>
      </c>
      <c r="L1407">
        <v>858.45442986235696</v>
      </c>
      <c r="M1407">
        <v>15.194136951756599</v>
      </c>
      <c r="N1407">
        <v>60.164896152637702</v>
      </c>
      <c r="O1407">
        <v>55.547516472995099</v>
      </c>
      <c r="P1407">
        <v>-4.7743878073692798E-2</v>
      </c>
      <c r="Q1407">
        <v>0.30188912387808398</v>
      </c>
      <c r="R1407">
        <v>0.99566614750628502</v>
      </c>
      <c r="S1407" t="s">
        <v>5239</v>
      </c>
      <c r="T1407" t="s">
        <v>7662</v>
      </c>
      <c r="U1407" t="s">
        <v>7662</v>
      </c>
      <c r="V1407" t="s">
        <v>7662</v>
      </c>
      <c r="W1407">
        <v>21</v>
      </c>
      <c r="X1407" t="s">
        <v>9069</v>
      </c>
      <c r="Y1407">
        <v>0.69747096348684567</v>
      </c>
      <c r="Z1407" t="str">
        <f>HYPERLINK("Melting_Curves/meltCurve_sp_Q06323_PSME1_HUMAN_.pdf", "Melting_Curves/meltCurve_sp_Q06323_PSME1_HUMAN_.pdf")</f>
        <v>Melting_Curves/meltCurve_sp_Q06323_PSME1_HUMAN_.pdf</v>
      </c>
      <c r="AA1407" t="s">
        <v>12879</v>
      </c>
      <c r="AB1407" t="s">
        <v>16647</v>
      </c>
    </row>
    <row r="1408" spans="1:28" x14ac:dyDescent="0.25">
      <c r="A1408" t="s">
        <v>1412</v>
      </c>
      <c r="B1408">
        <v>0.98876768158843997</v>
      </c>
      <c r="C1408">
        <v>1.06875785226789</v>
      </c>
      <c r="D1408">
        <v>0.88427286260675297</v>
      </c>
      <c r="E1408">
        <v>0.44463698945934899</v>
      </c>
      <c r="F1408">
        <v>0.12988997851197001</v>
      </c>
      <c r="G1408">
        <v>6.8438434587104899E-2</v>
      </c>
      <c r="H1408">
        <v>3.4061042592508799E-2</v>
      </c>
      <c r="I1408">
        <v>2.5336217415684401E-2</v>
      </c>
      <c r="J1408">
        <v>2.5353446263206798E-2</v>
      </c>
      <c r="K1408">
        <v>2.39445248965824E-2</v>
      </c>
      <c r="L1408">
        <v>1478.5026205330801</v>
      </c>
      <c r="M1408">
        <v>29.8994770083501</v>
      </c>
      <c r="N1408">
        <v>49.548076669308799</v>
      </c>
      <c r="O1408">
        <v>49.229494804694902</v>
      </c>
      <c r="P1408">
        <v>-0.14743713130378999</v>
      </c>
      <c r="Q1408">
        <v>2.8985345230735801E-2</v>
      </c>
      <c r="R1408">
        <v>0.99565999388385795</v>
      </c>
      <c r="S1408" t="s">
        <v>5240</v>
      </c>
      <c r="T1408" t="s">
        <v>7662</v>
      </c>
      <c r="U1408" t="s">
        <v>7662</v>
      </c>
      <c r="V1408" t="s">
        <v>7662</v>
      </c>
      <c r="W1408">
        <v>20</v>
      </c>
      <c r="X1408" t="s">
        <v>9070</v>
      </c>
      <c r="Y1408">
        <v>0.3408207840600167</v>
      </c>
      <c r="Z1408" t="str">
        <f>HYPERLINK("Melting_Curves/meltCurve_sp_Q06520_ST2A1_HUMAN_.pdf", "Melting_Curves/meltCurve_sp_Q06520_ST2A1_HUMAN_.pdf")</f>
        <v>Melting_Curves/meltCurve_sp_Q06520_ST2A1_HUMAN_.pdf</v>
      </c>
      <c r="AA1408" t="s">
        <v>12880</v>
      </c>
      <c r="AB1408" t="s">
        <v>16648</v>
      </c>
    </row>
    <row r="1409" spans="1:28" x14ac:dyDescent="0.25">
      <c r="A1409" t="s">
        <v>1413</v>
      </c>
      <c r="B1409">
        <v>0.98876768158843997</v>
      </c>
      <c r="C1409">
        <v>1.1786896770153199</v>
      </c>
      <c r="D1409">
        <v>0.963752426852586</v>
      </c>
      <c r="E1409">
        <v>0.78894171878863995</v>
      </c>
      <c r="F1409">
        <v>1.0381636441392399</v>
      </c>
      <c r="G1409">
        <v>0.51976821240482696</v>
      </c>
      <c r="H1409">
        <v>0.46544291244834801</v>
      </c>
      <c r="I1409">
        <v>0.52699530363175395</v>
      </c>
      <c r="J1409">
        <v>0.68378237248547402</v>
      </c>
      <c r="K1409">
        <v>0.76151024500001996</v>
      </c>
      <c r="L1409">
        <v>7713.7489483924101</v>
      </c>
      <c r="M1409">
        <v>140.75342186833601</v>
      </c>
      <c r="O1409">
        <v>54.792217115626599</v>
      </c>
      <c r="P1409">
        <v>-0.26258663037393998</v>
      </c>
      <c r="Q1409">
        <v>0.59112316369072004</v>
      </c>
      <c r="R1409">
        <v>0.73703755993377496</v>
      </c>
      <c r="S1409" t="s">
        <v>5241</v>
      </c>
      <c r="T1409" t="s">
        <v>7662</v>
      </c>
      <c r="U1409" t="s">
        <v>7662</v>
      </c>
      <c r="V1409" t="s">
        <v>7662</v>
      </c>
      <c r="W1409">
        <v>6</v>
      </c>
      <c r="X1409" t="s">
        <v>9071</v>
      </c>
      <c r="Y1409">
        <v>0.79300453674047633</v>
      </c>
      <c r="Z1409" t="str">
        <f>HYPERLINK("Melting_Curves/meltCurve_sp_Q06787_8_FMR1_HUMAN_.pdf", "Melting_Curves/meltCurve_sp_Q06787_8_FMR1_HUMAN_.pdf")</f>
        <v>Melting_Curves/meltCurve_sp_Q06787_8_FMR1_HUMAN_.pdf</v>
      </c>
      <c r="AA1409" t="s">
        <v>12881</v>
      </c>
      <c r="AB1409" t="s">
        <v>16649</v>
      </c>
    </row>
    <row r="1410" spans="1:28" x14ac:dyDescent="0.25">
      <c r="A1410" t="s">
        <v>1414</v>
      </c>
      <c r="B1410">
        <v>0.98876768158843997</v>
      </c>
      <c r="C1410">
        <v>0.81531295313452001</v>
      </c>
      <c r="D1410">
        <v>0.961908411290333</v>
      </c>
      <c r="E1410">
        <v>0.78778804937205105</v>
      </c>
      <c r="F1410">
        <v>0.65662212525904096</v>
      </c>
      <c r="G1410">
        <v>0.54070801368477694</v>
      </c>
      <c r="H1410">
        <v>0.47411624951325998</v>
      </c>
      <c r="I1410">
        <v>0.56171173744617797</v>
      </c>
      <c r="J1410">
        <v>0.64379683273877897</v>
      </c>
      <c r="K1410">
        <v>0.76569330232909605</v>
      </c>
      <c r="L1410">
        <v>1215.71978957789</v>
      </c>
      <c r="M1410">
        <v>24.636139066445399</v>
      </c>
      <c r="O1410">
        <v>49.0253040069665</v>
      </c>
      <c r="P1410">
        <v>-5.0775004573883502E-2</v>
      </c>
      <c r="Q1410">
        <v>0.59584165611588302</v>
      </c>
      <c r="R1410">
        <v>0.69207359401795099</v>
      </c>
      <c r="S1410" t="s">
        <v>5242</v>
      </c>
      <c r="T1410" t="s">
        <v>7662</v>
      </c>
      <c r="U1410" t="s">
        <v>7662</v>
      </c>
      <c r="V1410" t="s">
        <v>7662</v>
      </c>
      <c r="W1410">
        <v>5</v>
      </c>
      <c r="X1410" t="s">
        <v>9072</v>
      </c>
      <c r="Y1410">
        <v>0.72546367495273667</v>
      </c>
      <c r="Z1410" t="str">
        <f>HYPERLINK("Melting_Curves/meltCurve_sp_Q07021_C1QBP_HUMAN_.pdf", "Melting_Curves/meltCurve_sp_Q07021_C1QBP_HUMAN_.pdf")</f>
        <v>Melting_Curves/meltCurve_sp_Q07021_C1QBP_HUMAN_.pdf</v>
      </c>
      <c r="AA1410" t="s">
        <v>12882</v>
      </c>
      <c r="AB1410" t="s">
        <v>16650</v>
      </c>
    </row>
    <row r="1411" spans="1:28" x14ac:dyDescent="0.25">
      <c r="A1411" t="s">
        <v>1415</v>
      </c>
      <c r="B1411">
        <v>0.98876768158843997</v>
      </c>
      <c r="C1411">
        <v>0.89201331167268405</v>
      </c>
      <c r="D1411">
        <v>1.39135358783864</v>
      </c>
      <c r="E1411">
        <v>1.4269027690051199</v>
      </c>
      <c r="F1411">
        <v>0.476052752091495</v>
      </c>
      <c r="G1411">
        <v>0.28183129704927501</v>
      </c>
      <c r="H1411">
        <v>0.18841561791348299</v>
      </c>
      <c r="I1411">
        <v>0.23858918456988101</v>
      </c>
      <c r="J1411">
        <v>0.29621203382654998</v>
      </c>
      <c r="K1411">
        <v>0.25454789100873898</v>
      </c>
      <c r="L1411">
        <v>13204.9956943291</v>
      </c>
      <c r="M1411">
        <v>250</v>
      </c>
      <c r="N1411">
        <v>52.968464125739402</v>
      </c>
      <c r="O1411">
        <v>52.8165836743757</v>
      </c>
      <c r="P1411">
        <v>-0.88523414700229996</v>
      </c>
      <c r="Q1411">
        <v>0.25191903627304202</v>
      </c>
      <c r="R1411">
        <v>0.83566599311221901</v>
      </c>
      <c r="S1411" t="s">
        <v>5243</v>
      </c>
      <c r="T1411" t="s">
        <v>7662</v>
      </c>
      <c r="U1411" t="s">
        <v>7662</v>
      </c>
      <c r="V1411" t="s">
        <v>7662</v>
      </c>
      <c r="W1411">
        <v>1</v>
      </c>
      <c r="X1411" t="s">
        <v>9073</v>
      </c>
      <c r="Y1411">
        <v>0.57166788443478933</v>
      </c>
      <c r="Z1411" t="str">
        <f>HYPERLINK("Melting_Curves/meltCurve_sp_Q07065_CKAP4_HUMAN_.pdf", "Melting_Curves/meltCurve_sp_Q07065_CKAP4_HUMAN_.pdf")</f>
        <v>Melting_Curves/meltCurve_sp_Q07065_CKAP4_HUMAN_.pdf</v>
      </c>
      <c r="AA1411" t="s">
        <v>12883</v>
      </c>
      <c r="AB1411" t="s">
        <v>16651</v>
      </c>
    </row>
    <row r="1412" spans="1:28" x14ac:dyDescent="0.25">
      <c r="A1412" t="s">
        <v>1416</v>
      </c>
      <c r="B1412">
        <v>0.98876768158843997</v>
      </c>
      <c r="C1412">
        <v>0.96747319692537403</v>
      </c>
      <c r="D1412">
        <v>0.91455882136961297</v>
      </c>
      <c r="E1412">
        <v>0.69115473465034805</v>
      </c>
      <c r="F1412">
        <v>0.62141555399261905</v>
      </c>
      <c r="G1412">
        <v>0.40066536879335501</v>
      </c>
      <c r="H1412">
        <v>0.287143680251293</v>
      </c>
      <c r="I1412">
        <v>0.29698566479292199</v>
      </c>
      <c r="J1412">
        <v>0.35256129251389901</v>
      </c>
      <c r="K1412">
        <v>0.35585102812663</v>
      </c>
      <c r="L1412">
        <v>862.196575227106</v>
      </c>
      <c r="M1412">
        <v>16.808111198314499</v>
      </c>
      <c r="N1412">
        <v>54.339778755236303</v>
      </c>
      <c r="O1412">
        <v>50.586851348388699</v>
      </c>
      <c r="P1412">
        <v>-5.7738572981075903E-2</v>
      </c>
      <c r="Q1412">
        <v>0.30494888832634798</v>
      </c>
      <c r="R1412">
        <v>0.98220964091532603</v>
      </c>
      <c r="S1412" t="s">
        <v>5244</v>
      </c>
      <c r="T1412" t="s">
        <v>7662</v>
      </c>
      <c r="U1412" t="s">
        <v>7662</v>
      </c>
      <c r="V1412" t="s">
        <v>7662</v>
      </c>
      <c r="W1412">
        <v>27</v>
      </c>
      <c r="X1412" t="s">
        <v>9074</v>
      </c>
      <c r="Y1412">
        <v>0.57982442087156438</v>
      </c>
      <c r="Z1412" t="str">
        <f>HYPERLINK("Melting_Curves/meltCurve_sp_Q07157_ZO1_HUMAN_.pdf", "Melting_Curves/meltCurve_sp_Q07157_ZO1_HUMAN_.pdf")</f>
        <v>Melting_Curves/meltCurve_sp_Q07157_ZO1_HUMAN_.pdf</v>
      </c>
      <c r="AA1412" t="s">
        <v>12884</v>
      </c>
      <c r="AB1412" t="s">
        <v>16652</v>
      </c>
    </row>
    <row r="1413" spans="1:28" x14ac:dyDescent="0.25">
      <c r="A1413" t="s">
        <v>1417</v>
      </c>
      <c r="B1413">
        <v>0.98876768158843997</v>
      </c>
      <c r="C1413">
        <v>0.99770982728325797</v>
      </c>
      <c r="D1413">
        <v>1.17849436579719</v>
      </c>
      <c r="E1413">
        <v>0.98237956281819006</v>
      </c>
      <c r="F1413">
        <v>0.588358542512736</v>
      </c>
      <c r="G1413">
        <v>0.58661280695060003</v>
      </c>
      <c r="H1413">
        <v>0.50319254278667203</v>
      </c>
      <c r="I1413">
        <v>0.62129654226084297</v>
      </c>
      <c r="J1413">
        <v>0.80330113908984402</v>
      </c>
      <c r="K1413">
        <v>0.49664949291021199</v>
      </c>
      <c r="L1413">
        <v>12653.8706449211</v>
      </c>
      <c r="M1413">
        <v>250</v>
      </c>
      <c r="O1413">
        <v>50.612243806993803</v>
      </c>
      <c r="P1413">
        <v>-0.49407384911018298</v>
      </c>
      <c r="Q1413">
        <v>0.59990102494457098</v>
      </c>
      <c r="R1413">
        <v>0.82795822074316405</v>
      </c>
      <c r="S1413" t="s">
        <v>5245</v>
      </c>
      <c r="T1413" t="s">
        <v>7662</v>
      </c>
      <c r="U1413" t="s">
        <v>7662</v>
      </c>
      <c r="V1413" t="s">
        <v>7662</v>
      </c>
      <c r="W1413">
        <v>1</v>
      </c>
      <c r="X1413" t="s">
        <v>9075</v>
      </c>
      <c r="Y1413">
        <v>0.74151135548515112</v>
      </c>
      <c r="Z1413" t="str">
        <f>HYPERLINK("Melting_Curves/meltCurve_sp_Q07283_TRHY_HUMAN_.pdf", "Melting_Curves/meltCurve_sp_Q07283_TRHY_HUMAN_.pdf")</f>
        <v>Melting_Curves/meltCurve_sp_Q07283_TRHY_HUMAN_.pdf</v>
      </c>
      <c r="AA1413" t="s">
        <v>12885</v>
      </c>
      <c r="AB1413" t="s">
        <v>16653</v>
      </c>
    </row>
    <row r="1414" spans="1:28" x14ac:dyDescent="0.25">
      <c r="A1414" t="s">
        <v>1418</v>
      </c>
      <c r="B1414">
        <v>0.98876768158843997</v>
      </c>
      <c r="C1414">
        <v>0.99393112022760299</v>
      </c>
      <c r="D1414">
        <v>0.82800650733431302</v>
      </c>
      <c r="E1414">
        <v>0.50749711657914098</v>
      </c>
      <c r="F1414">
        <v>0.124250142077485</v>
      </c>
      <c r="G1414">
        <v>4.91144062463202E-2</v>
      </c>
      <c r="H1414">
        <v>2.7402250613385099E-2</v>
      </c>
      <c r="I1414">
        <v>2.6040013083223498E-2</v>
      </c>
      <c r="J1414">
        <v>2.8420289466992099E-2</v>
      </c>
      <c r="K1414">
        <v>2.4560011171885499E-2</v>
      </c>
      <c r="L1414">
        <v>1242.00220585496</v>
      </c>
      <c r="M1414">
        <v>25.053252631875299</v>
      </c>
      <c r="N1414">
        <v>49.640420056021497</v>
      </c>
      <c r="O1414">
        <v>49.261875820658403</v>
      </c>
      <c r="P1414">
        <v>-0.125064352354851</v>
      </c>
      <c r="Q1414">
        <v>1.6363672280819599E-2</v>
      </c>
      <c r="R1414">
        <v>0.99477076813267895</v>
      </c>
      <c r="S1414" t="s">
        <v>5246</v>
      </c>
      <c r="T1414" t="s">
        <v>7662</v>
      </c>
      <c r="U1414" t="s">
        <v>7662</v>
      </c>
      <c r="V1414" t="s">
        <v>7662</v>
      </c>
      <c r="W1414">
        <v>5</v>
      </c>
      <c r="X1414" t="s">
        <v>9076</v>
      </c>
      <c r="Y1414">
        <v>0.33900872277966598</v>
      </c>
      <c r="Z1414" t="str">
        <f>HYPERLINK("Melting_Curves/meltCurve_sp_Q07666_KHDR1_HUMAN_.pdf", "Melting_Curves/meltCurve_sp_Q07666_KHDR1_HUMAN_.pdf")</f>
        <v>Melting_Curves/meltCurve_sp_Q07666_KHDR1_HUMAN_.pdf</v>
      </c>
      <c r="AA1414" t="s">
        <v>12886</v>
      </c>
      <c r="AB1414" t="s">
        <v>16654</v>
      </c>
    </row>
    <row r="1415" spans="1:28" x14ac:dyDescent="0.25">
      <c r="A1415" t="s">
        <v>1419</v>
      </c>
      <c r="B1415">
        <v>0.98876768158843997</v>
      </c>
      <c r="C1415">
        <v>1.09506660456986</v>
      </c>
      <c r="D1415">
        <v>0.88451513595272901</v>
      </c>
      <c r="E1415">
        <v>0.71411044975165605</v>
      </c>
      <c r="F1415">
        <v>0.86936425267602802</v>
      </c>
      <c r="G1415">
        <v>0.71799312161644602</v>
      </c>
      <c r="H1415">
        <v>0.57136982113878598</v>
      </c>
      <c r="I1415">
        <v>0.62401158264326495</v>
      </c>
      <c r="J1415">
        <v>0.81496714562783201</v>
      </c>
      <c r="K1415">
        <v>0.82550573165739904</v>
      </c>
      <c r="L1415">
        <v>11512.216102247899</v>
      </c>
      <c r="M1415">
        <v>250</v>
      </c>
      <c r="O1415">
        <v>46.0459174215598</v>
      </c>
      <c r="P1415">
        <v>-0.36118408597032797</v>
      </c>
      <c r="Q1415">
        <v>0.73390315781002602</v>
      </c>
      <c r="R1415">
        <v>0.64784410507919399</v>
      </c>
      <c r="S1415" t="s">
        <v>5247</v>
      </c>
      <c r="T1415" t="s">
        <v>7662</v>
      </c>
      <c r="U1415" t="s">
        <v>7662</v>
      </c>
      <c r="V1415" t="s">
        <v>7662</v>
      </c>
      <c r="W1415">
        <v>5</v>
      </c>
      <c r="X1415" t="s">
        <v>9077</v>
      </c>
      <c r="Y1415">
        <v>0.78757745303933313</v>
      </c>
      <c r="Z1415" t="str">
        <f>HYPERLINK("Melting_Curves/meltCurve_sp_Q07812_5_BAX_HUMAN_.pdf", "Melting_Curves/meltCurve_sp_Q07812_5_BAX_HUMAN_.pdf")</f>
        <v>Melting_Curves/meltCurve_sp_Q07812_5_BAX_HUMAN_.pdf</v>
      </c>
      <c r="AA1415" t="s">
        <v>12887</v>
      </c>
      <c r="AB1415" t="s">
        <v>16655</v>
      </c>
    </row>
    <row r="1416" spans="1:28" x14ac:dyDescent="0.25">
      <c r="A1416" t="s">
        <v>1420</v>
      </c>
      <c r="B1416">
        <v>0.98876768158843997</v>
      </c>
      <c r="C1416">
        <v>0.97463193337116805</v>
      </c>
      <c r="D1416">
        <v>1.0296583563192401</v>
      </c>
      <c r="E1416">
        <v>0.81785488336242596</v>
      </c>
      <c r="F1416">
        <v>0.51462436914232201</v>
      </c>
      <c r="G1416">
        <v>0.31732189023503299</v>
      </c>
      <c r="H1416">
        <v>0.198892007067448</v>
      </c>
      <c r="I1416">
        <v>0.15893937014996001</v>
      </c>
      <c r="J1416">
        <v>0.149996927820196</v>
      </c>
      <c r="K1416">
        <v>0.140426802506389</v>
      </c>
      <c r="L1416">
        <v>1208.3276943466899</v>
      </c>
      <c r="M1416">
        <v>22.9282740764687</v>
      </c>
      <c r="N1416">
        <v>53.543942422848602</v>
      </c>
      <c r="O1416">
        <v>52.304361533610397</v>
      </c>
      <c r="P1416">
        <v>-9.2978912393908403E-2</v>
      </c>
      <c r="Q1416">
        <v>0.15159594363585799</v>
      </c>
      <c r="R1416">
        <v>0.99467079343674103</v>
      </c>
      <c r="S1416" t="s">
        <v>5248</v>
      </c>
      <c r="T1416" t="s">
        <v>7662</v>
      </c>
      <c r="U1416" t="s">
        <v>7662</v>
      </c>
      <c r="V1416" t="s">
        <v>7662</v>
      </c>
      <c r="W1416">
        <v>13</v>
      </c>
      <c r="X1416" t="s">
        <v>9078</v>
      </c>
      <c r="Y1416">
        <v>0.51992296057500975</v>
      </c>
      <c r="Z1416" t="str">
        <f>HYPERLINK("Melting_Curves/meltCurve_sp_Q07954_LRP1_HUMAN_.pdf", "Melting_Curves/meltCurve_sp_Q07954_LRP1_HUMAN_.pdf")</f>
        <v>Melting_Curves/meltCurve_sp_Q07954_LRP1_HUMAN_.pdf</v>
      </c>
      <c r="AA1416" t="s">
        <v>12888</v>
      </c>
      <c r="AB1416" t="s">
        <v>16656</v>
      </c>
    </row>
    <row r="1417" spans="1:28" x14ac:dyDescent="0.25">
      <c r="A1417" t="s">
        <v>1421</v>
      </c>
      <c r="B1417">
        <v>0.98876768158843997</v>
      </c>
      <c r="C1417">
        <v>0.99161100657611101</v>
      </c>
      <c r="D1417">
        <v>0.870196278111803</v>
      </c>
      <c r="E1417">
        <v>0.74156187056226297</v>
      </c>
      <c r="F1417">
        <v>0.69142714014075501</v>
      </c>
      <c r="G1417">
        <v>0.51937375139223596</v>
      </c>
      <c r="H1417">
        <v>0.44145438705585899</v>
      </c>
      <c r="I1417">
        <v>0.53244868884941798</v>
      </c>
      <c r="J1417">
        <v>0.58264230732988498</v>
      </c>
      <c r="K1417">
        <v>0.80878631637595999</v>
      </c>
      <c r="L1417">
        <v>1028.9816114314699</v>
      </c>
      <c r="M1417">
        <v>21.2151103054434</v>
      </c>
      <c r="O1417">
        <v>48.077525269290199</v>
      </c>
      <c r="P1417">
        <v>-4.6118645336178897E-2</v>
      </c>
      <c r="Q1417">
        <v>0.58195587757558997</v>
      </c>
      <c r="R1417">
        <v>0.75567802537559503</v>
      </c>
      <c r="S1417" t="s">
        <v>5249</v>
      </c>
      <c r="T1417" t="s">
        <v>7662</v>
      </c>
      <c r="U1417" t="s">
        <v>7662</v>
      </c>
      <c r="V1417" t="s">
        <v>7662</v>
      </c>
      <c r="W1417">
        <v>10</v>
      </c>
      <c r="X1417" t="s">
        <v>9079</v>
      </c>
      <c r="Y1417">
        <v>0.7056429849009066</v>
      </c>
      <c r="Z1417" t="str">
        <f>HYPERLINK("Melting_Curves/meltCurve_sp_Q07955_SRSF1_HUMAN_.pdf", "Melting_Curves/meltCurve_sp_Q07955_SRSF1_HUMAN_.pdf")</f>
        <v>Melting_Curves/meltCurve_sp_Q07955_SRSF1_HUMAN_.pdf</v>
      </c>
      <c r="AA1417" t="s">
        <v>12889</v>
      </c>
      <c r="AB1417" t="s">
        <v>16657</v>
      </c>
    </row>
    <row r="1418" spans="1:28" x14ac:dyDescent="0.25">
      <c r="A1418" t="s">
        <v>1422</v>
      </c>
      <c r="B1418">
        <v>0.98876768158843997</v>
      </c>
      <c r="C1418">
        <v>1.0599631746498399</v>
      </c>
      <c r="D1418">
        <v>0.88936397472011697</v>
      </c>
      <c r="E1418">
        <v>0.73179609161613701</v>
      </c>
      <c r="F1418">
        <v>0.75553151298889698</v>
      </c>
      <c r="G1418">
        <v>0.45202168232656698</v>
      </c>
      <c r="H1418">
        <v>0.13158326849001301</v>
      </c>
      <c r="I1418">
        <v>7.5230040099037498E-2</v>
      </c>
      <c r="J1418">
        <v>6.2523896327189799E-2</v>
      </c>
      <c r="K1418">
        <v>6.6497061986285105E-2</v>
      </c>
      <c r="L1418">
        <v>846.115340079411</v>
      </c>
      <c r="M1418">
        <v>15.251496002962901</v>
      </c>
      <c r="N1418">
        <v>55.477530826486301</v>
      </c>
      <c r="O1418">
        <v>54.550001019201702</v>
      </c>
      <c r="P1418">
        <v>-6.9903490675259403E-2</v>
      </c>
      <c r="Q1418">
        <v>0</v>
      </c>
      <c r="R1418">
        <v>0.97422910875062796</v>
      </c>
      <c r="S1418" t="s">
        <v>5250</v>
      </c>
      <c r="T1418" t="s">
        <v>7662</v>
      </c>
      <c r="U1418" t="s">
        <v>7662</v>
      </c>
      <c r="V1418" t="s">
        <v>7662</v>
      </c>
      <c r="W1418">
        <v>14</v>
      </c>
      <c r="X1418" t="s">
        <v>9080</v>
      </c>
      <c r="Y1418">
        <v>0.5342065877858535</v>
      </c>
      <c r="Z1418" t="str">
        <f>HYPERLINK("Melting_Curves/meltCurve_sp_Q07960_RHG01_HUMAN_.pdf", "Melting_Curves/meltCurve_sp_Q07960_RHG01_HUMAN_.pdf")</f>
        <v>Melting_Curves/meltCurve_sp_Q07960_RHG01_HUMAN_.pdf</v>
      </c>
      <c r="AA1418" t="s">
        <v>12890</v>
      </c>
      <c r="AB1418" t="s">
        <v>16658</v>
      </c>
    </row>
    <row r="1419" spans="1:28" x14ac:dyDescent="0.25">
      <c r="A1419" t="s">
        <v>1423</v>
      </c>
      <c r="B1419">
        <v>0.98876768158843997</v>
      </c>
      <c r="C1419">
        <v>1.50447961124456</v>
      </c>
      <c r="D1419">
        <v>0.94760642743199996</v>
      </c>
      <c r="E1419">
        <v>0.94198560490053895</v>
      </c>
      <c r="F1419">
        <v>1.5076184053163899</v>
      </c>
      <c r="G1419">
        <v>1.1541819011074399</v>
      </c>
      <c r="H1419">
        <v>0.91543824599843104</v>
      </c>
      <c r="I1419">
        <v>1.03344029927311</v>
      </c>
      <c r="J1419">
        <v>1.3711316484729701</v>
      </c>
      <c r="K1419">
        <v>1.7475296626614001</v>
      </c>
      <c r="L1419">
        <v>238.80733727621501</v>
      </c>
      <c r="M1419">
        <v>3.9945160814442802</v>
      </c>
      <c r="O1419">
        <v>49.058452751901598</v>
      </c>
      <c r="P1419">
        <v>1.03093544814588E-2</v>
      </c>
      <c r="Q1419">
        <v>1.5</v>
      </c>
      <c r="R1419">
        <v>8.8396667522323197E-2</v>
      </c>
      <c r="S1419" t="s">
        <v>5251</v>
      </c>
      <c r="T1419" t="s">
        <v>7662</v>
      </c>
      <c r="U1419" t="s">
        <v>7662</v>
      </c>
      <c r="V1419" t="s">
        <v>7662</v>
      </c>
      <c r="W1419">
        <v>3</v>
      </c>
      <c r="X1419" t="s">
        <v>9081</v>
      </c>
      <c r="Y1419">
        <v>1.2005749159536101</v>
      </c>
      <c r="Z1419" t="str">
        <f>HYPERLINK("Melting_Curves/meltCurve_sp_Q08170_SRSF4_HUMAN_.pdf", "Melting_Curves/meltCurve_sp_Q08170_SRSF4_HUMAN_.pdf")</f>
        <v>Melting_Curves/meltCurve_sp_Q08170_SRSF4_HUMAN_.pdf</v>
      </c>
      <c r="AA1419" t="s">
        <v>12891</v>
      </c>
      <c r="AB1419" t="s">
        <v>16659</v>
      </c>
    </row>
    <row r="1420" spans="1:28" x14ac:dyDescent="0.25">
      <c r="A1420" t="s">
        <v>1424</v>
      </c>
      <c r="B1420">
        <v>0.98876768158843997</v>
      </c>
      <c r="C1420">
        <v>0.95225028545003698</v>
      </c>
      <c r="D1420">
        <v>0.89756007780302705</v>
      </c>
      <c r="E1420">
        <v>0.77487254991022803</v>
      </c>
      <c r="F1420">
        <v>0.58228907265089502</v>
      </c>
      <c r="G1420">
        <v>0.355640913302878</v>
      </c>
      <c r="H1420">
        <v>0.22766675337231401</v>
      </c>
      <c r="I1420">
        <v>0.14976692461197699</v>
      </c>
      <c r="J1420">
        <v>0.141875830343204</v>
      </c>
      <c r="K1420">
        <v>7.2216960526074403E-2</v>
      </c>
      <c r="L1420">
        <v>697.39598966810604</v>
      </c>
      <c r="M1420">
        <v>12.8886130954696</v>
      </c>
      <c r="N1420">
        <v>54.472472321967501</v>
      </c>
      <c r="O1420">
        <v>52.856525654397402</v>
      </c>
      <c r="P1420">
        <v>-5.8462402171260197E-2</v>
      </c>
      <c r="Q1420">
        <v>4.1152082467949401E-2</v>
      </c>
      <c r="R1420">
        <v>0.99820648763551101</v>
      </c>
      <c r="S1420" t="s">
        <v>5252</v>
      </c>
      <c r="T1420" t="s">
        <v>7662</v>
      </c>
      <c r="U1420" t="s">
        <v>7662</v>
      </c>
      <c r="V1420" t="s">
        <v>7662</v>
      </c>
      <c r="W1420">
        <v>7</v>
      </c>
      <c r="X1420" t="s">
        <v>9082</v>
      </c>
      <c r="Y1420">
        <v>0.51526416196986458</v>
      </c>
      <c r="Z1420" t="str">
        <f>HYPERLINK("Melting_Curves/meltCurve_sp_Q08209_2_PP2BA_HUMAN_.pdf", "Melting_Curves/meltCurve_sp_Q08209_2_PP2BA_HUMAN_.pdf")</f>
        <v>Melting_Curves/meltCurve_sp_Q08209_2_PP2BA_HUMAN_.pdf</v>
      </c>
      <c r="AA1420" t="s">
        <v>12892</v>
      </c>
      <c r="AB1420" t="s">
        <v>16660</v>
      </c>
    </row>
    <row r="1421" spans="1:28" x14ac:dyDescent="0.25">
      <c r="A1421" t="s">
        <v>1425</v>
      </c>
      <c r="B1421">
        <v>0.98876768158843997</v>
      </c>
      <c r="C1421">
        <v>0.94152025582384102</v>
      </c>
      <c r="D1421">
        <v>0.98683880563660098</v>
      </c>
      <c r="E1421">
        <v>0.80932348960604705</v>
      </c>
      <c r="F1421">
        <v>0.41093226981463399</v>
      </c>
      <c r="G1421">
        <v>0.19048958826314699</v>
      </c>
      <c r="H1421">
        <v>0.122181609571647</v>
      </c>
      <c r="I1421">
        <v>0.12614115770664999</v>
      </c>
      <c r="J1421">
        <v>0.17608531240012501</v>
      </c>
      <c r="K1421">
        <v>0.16811970803247001</v>
      </c>
      <c r="L1421">
        <v>1798.12015348977</v>
      </c>
      <c r="M1421">
        <v>34.727976553348</v>
      </c>
      <c r="N1421">
        <v>52.307891894563099</v>
      </c>
      <c r="O1421">
        <v>51.606491752495799</v>
      </c>
      <c r="P1421">
        <v>-0.14326005942046699</v>
      </c>
      <c r="Q1421">
        <v>0.148453389472332</v>
      </c>
      <c r="R1421">
        <v>0.99548962602824098</v>
      </c>
      <c r="S1421" t="s">
        <v>5253</v>
      </c>
      <c r="T1421" t="s">
        <v>7662</v>
      </c>
      <c r="U1421" t="s">
        <v>7662</v>
      </c>
      <c r="V1421" t="s">
        <v>7662</v>
      </c>
      <c r="W1421">
        <v>15</v>
      </c>
      <c r="X1421" t="s">
        <v>9083</v>
      </c>
      <c r="Y1421">
        <v>0.4867973122050388</v>
      </c>
      <c r="Z1421" t="str">
        <f>HYPERLINK("Melting_Curves/meltCurve_sp_Q08211_DHX9_HUMAN_.pdf", "Melting_Curves/meltCurve_sp_Q08211_DHX9_HUMAN_.pdf")</f>
        <v>Melting_Curves/meltCurve_sp_Q08211_DHX9_HUMAN_.pdf</v>
      </c>
      <c r="AA1421" t="s">
        <v>12893</v>
      </c>
      <c r="AB1421" t="s">
        <v>16661</v>
      </c>
    </row>
    <row r="1422" spans="1:28" x14ac:dyDescent="0.25">
      <c r="A1422" t="s">
        <v>1426</v>
      </c>
      <c r="B1422">
        <v>0.98876768158843997</v>
      </c>
      <c r="C1422">
        <v>0.903728470039458</v>
      </c>
      <c r="D1422">
        <v>0.98862723488600202</v>
      </c>
      <c r="E1422">
        <v>1.0061389023177301</v>
      </c>
      <c r="F1422">
        <v>0.79187702336315402</v>
      </c>
      <c r="G1422">
        <v>0.33954745499761801</v>
      </c>
      <c r="H1422">
        <v>5.9263300108833399E-2</v>
      </c>
      <c r="I1422">
        <v>4.6765825994378597E-2</v>
      </c>
      <c r="J1422">
        <v>4.3742545139672101E-2</v>
      </c>
      <c r="K1422">
        <v>4.2074337602670701E-2</v>
      </c>
      <c r="L1422">
        <v>1716.80732123554</v>
      </c>
      <c r="M1422">
        <v>30.962068065909499</v>
      </c>
      <c r="N1422">
        <v>55.565525321838699</v>
      </c>
      <c r="O1422">
        <v>55.218938622715399</v>
      </c>
      <c r="P1422">
        <v>-0.13576318130061199</v>
      </c>
      <c r="Q1422">
        <v>3.1504091696898301E-2</v>
      </c>
      <c r="R1422">
        <v>0.993130179127659</v>
      </c>
      <c r="S1422" t="s">
        <v>5254</v>
      </c>
      <c r="T1422" t="s">
        <v>7662</v>
      </c>
      <c r="U1422" t="s">
        <v>7662</v>
      </c>
      <c r="V1422" t="s">
        <v>7662</v>
      </c>
      <c r="W1422">
        <v>16</v>
      </c>
      <c r="X1422" t="s">
        <v>9084</v>
      </c>
      <c r="Y1422">
        <v>0.53631199726957235</v>
      </c>
      <c r="Z1422" t="str">
        <f>HYPERLINK("Melting_Curves/meltCurve_sp_Q08257_QOR_HUMAN_.pdf", "Melting_Curves/meltCurve_sp_Q08257_QOR_HUMAN_.pdf")</f>
        <v>Melting_Curves/meltCurve_sp_Q08257_QOR_HUMAN_.pdf</v>
      </c>
      <c r="AA1422" t="s">
        <v>12894</v>
      </c>
      <c r="AB1422" t="s">
        <v>16662</v>
      </c>
    </row>
    <row r="1423" spans="1:28" x14ac:dyDescent="0.25">
      <c r="A1423" t="s">
        <v>1427</v>
      </c>
      <c r="B1423">
        <v>0.98876768158843997</v>
      </c>
      <c r="C1423">
        <v>0.89529433409683901</v>
      </c>
      <c r="D1423">
        <v>1.07769945412365</v>
      </c>
      <c r="E1423">
        <v>0.906599043222865</v>
      </c>
      <c r="F1423">
        <v>0.70518359103183803</v>
      </c>
      <c r="G1423">
        <v>0.50863838429758601</v>
      </c>
      <c r="H1423">
        <v>0.43048491638435998</v>
      </c>
      <c r="I1423">
        <v>0.48027411038678602</v>
      </c>
      <c r="J1423">
        <v>0.60066410597772002</v>
      </c>
      <c r="K1423">
        <v>0.62659528956457999</v>
      </c>
      <c r="L1423">
        <v>2094.4463554993899</v>
      </c>
      <c r="M1423">
        <v>40.178854411836099</v>
      </c>
      <c r="O1423">
        <v>51.999444087860397</v>
      </c>
      <c r="P1423">
        <v>-9.1192788428052493E-2</v>
      </c>
      <c r="Q1423">
        <v>0.52791440171872595</v>
      </c>
      <c r="R1423">
        <v>0.90226228360344796</v>
      </c>
      <c r="S1423" t="s">
        <v>5255</v>
      </c>
      <c r="T1423" t="s">
        <v>7662</v>
      </c>
      <c r="U1423" t="s">
        <v>7662</v>
      </c>
      <c r="V1423" t="s">
        <v>7662</v>
      </c>
      <c r="W1423">
        <v>25</v>
      </c>
      <c r="X1423" t="s">
        <v>9085</v>
      </c>
      <c r="Y1423">
        <v>0.72044901341410184</v>
      </c>
      <c r="Z1423" t="str">
        <f>HYPERLINK("Melting_Curves/meltCurve_sp_Q08378_GOGA3_HUMAN_.pdf", "Melting_Curves/meltCurve_sp_Q08378_GOGA3_HUMAN_.pdf")</f>
        <v>Melting_Curves/meltCurve_sp_Q08378_GOGA3_HUMAN_.pdf</v>
      </c>
      <c r="AA1423" t="s">
        <v>12895</v>
      </c>
      <c r="AB1423" t="s">
        <v>16663</v>
      </c>
    </row>
    <row r="1424" spans="1:28" x14ac:dyDescent="0.25">
      <c r="A1424" t="s">
        <v>1428</v>
      </c>
      <c r="B1424">
        <v>0.98876768158843997</v>
      </c>
      <c r="C1424">
        <v>1.03418795424396</v>
      </c>
      <c r="D1424">
        <v>0.933971523034685</v>
      </c>
      <c r="E1424">
        <v>0.759391980018431</v>
      </c>
      <c r="F1424">
        <v>0.75518686192496098</v>
      </c>
      <c r="G1424">
        <v>0.49271546992626403</v>
      </c>
      <c r="H1424">
        <v>0.38445384315648801</v>
      </c>
      <c r="I1424">
        <v>0.43434601163139502</v>
      </c>
      <c r="J1424">
        <v>0.62636334156467799</v>
      </c>
      <c r="K1424">
        <v>0.62098990513341901</v>
      </c>
      <c r="L1424">
        <v>1113.8174195895199</v>
      </c>
      <c r="M1424">
        <v>21.866549878940599</v>
      </c>
      <c r="O1424">
        <v>50.516770145251598</v>
      </c>
      <c r="P1424">
        <v>-5.2991523822005601E-2</v>
      </c>
      <c r="Q1424">
        <v>0.51032065939323401</v>
      </c>
      <c r="R1424">
        <v>0.85730171709501302</v>
      </c>
      <c r="S1424" t="s">
        <v>5256</v>
      </c>
      <c r="T1424" t="s">
        <v>7662</v>
      </c>
      <c r="U1424" t="s">
        <v>7662</v>
      </c>
      <c r="V1424" t="s">
        <v>7662</v>
      </c>
      <c r="W1424">
        <v>15</v>
      </c>
      <c r="X1424" t="s">
        <v>9086</v>
      </c>
      <c r="Y1424">
        <v>0.69458043297926331</v>
      </c>
      <c r="Z1424" t="str">
        <f>HYPERLINK("Melting_Curves/meltCurve_sp_Q08379_GOGA2_HUMAN_.pdf", "Melting_Curves/meltCurve_sp_Q08379_GOGA2_HUMAN_.pdf")</f>
        <v>Melting_Curves/meltCurve_sp_Q08379_GOGA2_HUMAN_.pdf</v>
      </c>
      <c r="AA1424" t="s">
        <v>12896</v>
      </c>
      <c r="AB1424" t="s">
        <v>16664</v>
      </c>
    </row>
    <row r="1425" spans="1:28" x14ac:dyDescent="0.25">
      <c r="A1425" t="s">
        <v>1429</v>
      </c>
      <c r="B1425">
        <v>0.98876768158843997</v>
      </c>
      <c r="C1425">
        <v>0.97703859127699699</v>
      </c>
      <c r="D1425">
        <v>1.06467936959873</v>
      </c>
      <c r="E1425">
        <v>0.87796646772730103</v>
      </c>
      <c r="F1425">
        <v>0.57745766899574602</v>
      </c>
      <c r="G1425">
        <v>0.412770548109269</v>
      </c>
      <c r="H1425">
        <v>0.36150768647749199</v>
      </c>
      <c r="I1425">
        <v>0.34801655002101201</v>
      </c>
      <c r="J1425">
        <v>0.43112369620382601</v>
      </c>
      <c r="K1425">
        <v>0.45186217214778202</v>
      </c>
      <c r="L1425">
        <v>2081.1855353445098</v>
      </c>
      <c r="M1425">
        <v>40.164307967994098</v>
      </c>
      <c r="N1425">
        <v>53.954070341299897</v>
      </c>
      <c r="O1425">
        <v>51.688835609177701</v>
      </c>
      <c r="P1425">
        <v>-0.116917254680209</v>
      </c>
      <c r="Q1425">
        <v>0.39814181734805099</v>
      </c>
      <c r="R1425">
        <v>0.98259466371252502</v>
      </c>
      <c r="S1425" t="s">
        <v>5257</v>
      </c>
      <c r="T1425" t="s">
        <v>7662</v>
      </c>
      <c r="U1425" t="s">
        <v>7662</v>
      </c>
      <c r="V1425" t="s">
        <v>7662</v>
      </c>
      <c r="W1425">
        <v>6</v>
      </c>
      <c r="X1425" t="s">
        <v>9087</v>
      </c>
      <c r="Y1425">
        <v>0.63734671382402586</v>
      </c>
      <c r="Z1425" t="str">
        <f>HYPERLINK("Melting_Curves/meltCurve_sp_Q08380_LG3BP_HUMAN_.pdf", "Melting_Curves/meltCurve_sp_Q08380_LG3BP_HUMAN_.pdf")</f>
        <v>Melting_Curves/meltCurve_sp_Q08380_LG3BP_HUMAN_.pdf</v>
      </c>
      <c r="AA1425" t="s">
        <v>12897</v>
      </c>
      <c r="AB1425" t="s">
        <v>16665</v>
      </c>
    </row>
    <row r="1426" spans="1:28" x14ac:dyDescent="0.25">
      <c r="A1426" t="s">
        <v>1430</v>
      </c>
      <c r="B1426">
        <v>0.98876768158843997</v>
      </c>
      <c r="C1426">
        <v>1.0709121332612499</v>
      </c>
      <c r="D1426">
        <v>0.96395822815207599</v>
      </c>
      <c r="E1426">
        <v>0.85368763568753803</v>
      </c>
      <c r="F1426">
        <v>0.545122873779599</v>
      </c>
      <c r="G1426">
        <v>0.38887845138535698</v>
      </c>
      <c r="H1426">
        <v>0.238498424528721</v>
      </c>
      <c r="I1426">
        <v>0.20694402387984401</v>
      </c>
      <c r="J1426">
        <v>0.343637240695226</v>
      </c>
      <c r="K1426">
        <v>0.118243813685766</v>
      </c>
      <c r="L1426">
        <v>1176.16920757414</v>
      </c>
      <c r="M1426">
        <v>22.288670254573699</v>
      </c>
      <c r="N1426">
        <v>54.1527142420315</v>
      </c>
      <c r="O1426">
        <v>52.3505484111705</v>
      </c>
      <c r="P1426">
        <v>-8.3343271052420204E-2</v>
      </c>
      <c r="Q1426">
        <v>0.21700605725437599</v>
      </c>
      <c r="R1426">
        <v>0.96936384801753395</v>
      </c>
      <c r="S1426" t="s">
        <v>5258</v>
      </c>
      <c r="T1426" t="s">
        <v>7662</v>
      </c>
      <c r="U1426" t="s">
        <v>7662</v>
      </c>
      <c r="V1426" t="s">
        <v>7662</v>
      </c>
      <c r="W1426">
        <v>50</v>
      </c>
      <c r="X1426" t="s">
        <v>9088</v>
      </c>
      <c r="Y1426">
        <v>0.55919950907481208</v>
      </c>
      <c r="Z1426" t="str">
        <f>HYPERLINK("Melting_Curves/meltCurve_sp_Q08426_2_ECHP_HUMAN_.pdf", "Melting_Curves/meltCurve_sp_Q08426_2_ECHP_HUMAN_.pdf")</f>
        <v>Melting_Curves/meltCurve_sp_Q08426_2_ECHP_HUMAN_.pdf</v>
      </c>
      <c r="AA1426" t="s">
        <v>12898</v>
      </c>
      <c r="AB1426" t="s">
        <v>16666</v>
      </c>
    </row>
    <row r="1427" spans="1:28" x14ac:dyDescent="0.25">
      <c r="A1427" t="s">
        <v>1431</v>
      </c>
      <c r="B1427">
        <v>0.98876768158843997</v>
      </c>
      <c r="C1427">
        <v>0.88947019787075399</v>
      </c>
      <c r="D1427">
        <v>0.88379965267899696</v>
      </c>
      <c r="E1427">
        <v>0.70988461322325203</v>
      </c>
      <c r="F1427">
        <v>0.28052716769026997</v>
      </c>
      <c r="G1427">
        <v>0.115078177415512</v>
      </c>
      <c r="H1427">
        <v>5.3041181832731502E-2</v>
      </c>
      <c r="I1427">
        <v>3.5788983004397298E-2</v>
      </c>
      <c r="J1427">
        <v>3.43960987402138E-2</v>
      </c>
      <c r="K1427">
        <v>3.2989429299529797E-2</v>
      </c>
      <c r="L1427">
        <v>1248.8339839846101</v>
      </c>
      <c r="M1427">
        <v>24.3877562243905</v>
      </c>
      <c r="N1427">
        <v>51.336737851193497</v>
      </c>
      <c r="O1427">
        <v>50.866838470946703</v>
      </c>
      <c r="P1427">
        <v>-0.116291588506495</v>
      </c>
      <c r="Q1427">
        <v>2.9792225576513499E-2</v>
      </c>
      <c r="R1427">
        <v>0.98746093989343697</v>
      </c>
      <c r="S1427" t="s">
        <v>5259</v>
      </c>
      <c r="T1427" t="s">
        <v>7662</v>
      </c>
      <c r="U1427" t="s">
        <v>7662</v>
      </c>
      <c r="V1427" t="s">
        <v>7662</v>
      </c>
      <c r="W1427">
        <v>56</v>
      </c>
      <c r="X1427" t="s">
        <v>9089</v>
      </c>
      <c r="Y1427">
        <v>0.4014637989569001</v>
      </c>
      <c r="Z1427" t="str">
        <f>HYPERLINK("Melting_Curves/meltCurve_sp_Q08426_ECHP_HUMAN_.pdf", "Melting_Curves/meltCurve_sp_Q08426_ECHP_HUMAN_.pdf")</f>
        <v>Melting_Curves/meltCurve_sp_Q08426_ECHP_HUMAN_.pdf</v>
      </c>
      <c r="AA1427" t="s">
        <v>12898</v>
      </c>
      <c r="AB1427" t="s">
        <v>16667</v>
      </c>
    </row>
    <row r="1428" spans="1:28" x14ac:dyDescent="0.25">
      <c r="A1428" t="s">
        <v>1432</v>
      </c>
      <c r="B1428">
        <v>0.98876768158843997</v>
      </c>
      <c r="C1428">
        <v>1.1245700376694601</v>
      </c>
      <c r="D1428">
        <v>1.0064694793122</v>
      </c>
      <c r="E1428">
        <v>1.0317426735022399</v>
      </c>
      <c r="F1428">
        <v>0.94695312558604305</v>
      </c>
      <c r="G1428">
        <v>0.71391880070909697</v>
      </c>
      <c r="H1428">
        <v>0.60868081647472505</v>
      </c>
      <c r="I1428">
        <v>0.68782888577534895</v>
      </c>
      <c r="J1428">
        <v>0.79694065077675802</v>
      </c>
      <c r="K1428">
        <v>0.58666007425857702</v>
      </c>
      <c r="L1428">
        <v>2911.0860275427799</v>
      </c>
      <c r="M1428">
        <v>53.163479982392602</v>
      </c>
      <c r="O1428">
        <v>54.679960279826901</v>
      </c>
      <c r="P1428">
        <v>-7.9953969463999602E-2</v>
      </c>
      <c r="Q1428">
        <v>0.67106177332922101</v>
      </c>
      <c r="R1428">
        <v>0.86872349884210898</v>
      </c>
      <c r="S1428" t="s">
        <v>5260</v>
      </c>
      <c r="T1428" t="s">
        <v>7662</v>
      </c>
      <c r="U1428" t="s">
        <v>7662</v>
      </c>
      <c r="V1428" t="s">
        <v>7662</v>
      </c>
      <c r="W1428">
        <v>1</v>
      </c>
      <c r="X1428" t="s">
        <v>9090</v>
      </c>
      <c r="Y1428">
        <v>0.83357136807828147</v>
      </c>
      <c r="Z1428" t="str">
        <f>HYPERLINK("Melting_Curves/meltCurve_sp_Q08554_2_DSC1_HUMAN_.pdf", "Melting_Curves/meltCurve_sp_Q08554_2_DSC1_HUMAN_.pdf")</f>
        <v>Melting_Curves/meltCurve_sp_Q08554_2_DSC1_HUMAN_.pdf</v>
      </c>
      <c r="AA1428" t="s">
        <v>12899</v>
      </c>
      <c r="AB1428" t="s">
        <v>16668</v>
      </c>
    </row>
    <row r="1429" spans="1:28" x14ac:dyDescent="0.25">
      <c r="A1429" t="s">
        <v>1433</v>
      </c>
      <c r="B1429">
        <v>0.98876768158843997</v>
      </c>
      <c r="C1429">
        <v>1.0742244953198701</v>
      </c>
      <c r="D1429">
        <v>0.87686030061828102</v>
      </c>
      <c r="E1429">
        <v>0.62302534345271199</v>
      </c>
      <c r="F1429">
        <v>0.19975604559423499</v>
      </c>
      <c r="G1429">
        <v>0.106015080754482</v>
      </c>
      <c r="H1429">
        <v>5.8990254679805003E-2</v>
      </c>
      <c r="I1429">
        <v>5.2358308898787197E-2</v>
      </c>
      <c r="J1429">
        <v>7.7393678794399401E-2</v>
      </c>
      <c r="K1429">
        <v>4.4487579263551499E-2</v>
      </c>
      <c r="L1429">
        <v>1503.5260641454099</v>
      </c>
      <c r="M1429">
        <v>29.812090344114399</v>
      </c>
      <c r="N1429">
        <v>50.637319455350102</v>
      </c>
      <c r="O1429">
        <v>50.208138461689998</v>
      </c>
      <c r="P1429">
        <v>-0.140048292557333</v>
      </c>
      <c r="Q1429">
        <v>5.6554982133817801E-2</v>
      </c>
      <c r="R1429">
        <v>0.99089945334993002</v>
      </c>
      <c r="S1429" t="s">
        <v>5261</v>
      </c>
      <c r="T1429" t="s">
        <v>7662</v>
      </c>
      <c r="U1429" t="s">
        <v>7662</v>
      </c>
      <c r="V1429" t="s">
        <v>7662</v>
      </c>
      <c r="W1429">
        <v>10</v>
      </c>
      <c r="X1429" t="s">
        <v>9091</v>
      </c>
      <c r="Y1429">
        <v>0.39061899669631012</v>
      </c>
      <c r="Z1429" t="str">
        <f>HYPERLINK("Melting_Curves/meltCurve_sp_Q08752_PPID_HUMAN_.pdf", "Melting_Curves/meltCurve_sp_Q08752_PPID_HUMAN_.pdf")</f>
        <v>Melting_Curves/meltCurve_sp_Q08752_PPID_HUMAN_.pdf</v>
      </c>
      <c r="AA1429" t="s">
        <v>12900</v>
      </c>
      <c r="AB1429" t="s">
        <v>16669</v>
      </c>
    </row>
    <row r="1430" spans="1:28" x14ac:dyDescent="0.25">
      <c r="A1430" t="s">
        <v>1434</v>
      </c>
      <c r="B1430">
        <v>0.98876768158843997</v>
      </c>
      <c r="C1430">
        <v>0.93778870305231399</v>
      </c>
      <c r="D1430">
        <v>0.64964335850626598</v>
      </c>
      <c r="E1430">
        <v>0.30679963470232502</v>
      </c>
      <c r="F1430">
        <v>8.3274232036679705E-2</v>
      </c>
      <c r="G1430">
        <v>4.1598205346745097E-2</v>
      </c>
      <c r="H1430">
        <v>2.1655572059850099E-2</v>
      </c>
      <c r="I1430">
        <v>2.8086062833464199E-2</v>
      </c>
      <c r="J1430">
        <v>2.38544652134524E-2</v>
      </c>
      <c r="K1430">
        <v>3.5656315851301502E-2</v>
      </c>
      <c r="L1430">
        <v>1026.10582932997</v>
      </c>
      <c r="M1430">
        <v>21.594556054116399</v>
      </c>
      <c r="N1430">
        <v>47.608480506254502</v>
      </c>
      <c r="O1430">
        <v>47.1150457276974</v>
      </c>
      <c r="P1430">
        <v>-0.112255181645668</v>
      </c>
      <c r="Q1430">
        <v>2.0349713070879301E-2</v>
      </c>
      <c r="R1430">
        <v>0.99710052280585904</v>
      </c>
      <c r="S1430" t="s">
        <v>5262</v>
      </c>
      <c r="T1430" t="s">
        <v>7662</v>
      </c>
      <c r="U1430" t="s">
        <v>7662</v>
      </c>
      <c r="V1430" t="s">
        <v>7662</v>
      </c>
      <c r="W1430">
        <v>2</v>
      </c>
      <c r="X1430" t="s">
        <v>9092</v>
      </c>
      <c r="Y1430">
        <v>0.2777423888661702</v>
      </c>
      <c r="Z1430" t="str">
        <f>HYPERLINK("Melting_Curves/meltCurve_sp_Q08830_FGL1_HUMAN_.pdf", "Melting_Curves/meltCurve_sp_Q08830_FGL1_HUMAN_.pdf")</f>
        <v>Melting_Curves/meltCurve_sp_Q08830_FGL1_HUMAN_.pdf</v>
      </c>
      <c r="AA1430" t="s">
        <v>12901</v>
      </c>
      <c r="AB1430" t="s">
        <v>16670</v>
      </c>
    </row>
    <row r="1431" spans="1:28" x14ac:dyDescent="0.25">
      <c r="A1431" t="s">
        <v>1435</v>
      </c>
      <c r="B1431">
        <v>0.98876768158843997</v>
      </c>
      <c r="C1431">
        <v>1.2751248094852801</v>
      </c>
      <c r="D1431">
        <v>1.1414950290978301</v>
      </c>
      <c r="E1431">
        <v>0.70774600779807195</v>
      </c>
      <c r="F1431">
        <v>0.66574009061082695</v>
      </c>
      <c r="G1431">
        <v>0.52712594972287097</v>
      </c>
      <c r="H1431">
        <v>0.36157377497444398</v>
      </c>
      <c r="I1431">
        <v>0.15972177211272401</v>
      </c>
      <c r="J1431">
        <v>0.24990522546191199</v>
      </c>
      <c r="K1431">
        <v>0.21114696988495901</v>
      </c>
      <c r="L1431">
        <v>871.29353589816196</v>
      </c>
      <c r="M1431">
        <v>15.9575021758112</v>
      </c>
      <c r="N1431">
        <v>56.226716511027199</v>
      </c>
      <c r="O1431">
        <v>53.764980601736902</v>
      </c>
      <c r="P1431">
        <v>-6.0492286516752501E-2</v>
      </c>
      <c r="Q1431">
        <v>0.184807519534816</v>
      </c>
      <c r="R1431">
        <v>0.89497968702887298</v>
      </c>
      <c r="S1431" t="s">
        <v>5263</v>
      </c>
      <c r="T1431" t="s">
        <v>7662</v>
      </c>
      <c r="U1431" t="s">
        <v>7662</v>
      </c>
      <c r="V1431" t="s">
        <v>7662</v>
      </c>
      <c r="W1431">
        <v>1</v>
      </c>
      <c r="X1431" t="s">
        <v>9093</v>
      </c>
      <c r="Y1431">
        <v>0.5965645855012659</v>
      </c>
      <c r="Z1431" t="str">
        <f>HYPERLINK("Melting_Curves/meltCurve_sp_Q08AG7_MZT1_HUMAN_.pdf", "Melting_Curves/meltCurve_sp_Q08AG7_MZT1_HUMAN_.pdf")</f>
        <v>Melting_Curves/meltCurve_sp_Q08AG7_MZT1_HUMAN_.pdf</v>
      </c>
      <c r="AA1431" t="s">
        <v>12902</v>
      </c>
      <c r="AB1431" t="s">
        <v>16671</v>
      </c>
    </row>
    <row r="1432" spans="1:28" x14ac:dyDescent="0.25">
      <c r="A1432" t="s">
        <v>1436</v>
      </c>
      <c r="B1432">
        <v>0.98876768158843997</v>
      </c>
      <c r="C1432">
        <v>0.93639499168919405</v>
      </c>
      <c r="D1432">
        <v>0.72886606449460201</v>
      </c>
      <c r="E1432">
        <v>0.380899668597448</v>
      </c>
      <c r="F1432">
        <v>0.20961899927022401</v>
      </c>
      <c r="G1432">
        <v>8.6621566460371793E-2</v>
      </c>
      <c r="H1432">
        <v>4.70350764148229E-2</v>
      </c>
      <c r="I1432">
        <v>4.3805997219707501E-2</v>
      </c>
      <c r="J1432">
        <v>4.4739227685263401E-2</v>
      </c>
      <c r="K1432">
        <v>3.96998611482842E-2</v>
      </c>
      <c r="L1432">
        <v>902.426792108021</v>
      </c>
      <c r="M1432">
        <v>18.6211770506631</v>
      </c>
      <c r="N1432">
        <v>48.650749396951397</v>
      </c>
      <c r="O1432">
        <v>47.913858596594203</v>
      </c>
      <c r="P1432">
        <v>-9.3784663889072598E-2</v>
      </c>
      <c r="Q1432">
        <v>3.47782709887592E-2</v>
      </c>
      <c r="R1432">
        <v>0.99950651663385803</v>
      </c>
      <c r="S1432" t="s">
        <v>5264</v>
      </c>
      <c r="T1432" t="s">
        <v>7662</v>
      </c>
      <c r="U1432" t="s">
        <v>7662</v>
      </c>
      <c r="V1432" t="s">
        <v>7662</v>
      </c>
      <c r="W1432">
        <v>29</v>
      </c>
      <c r="X1432" t="s">
        <v>9094</v>
      </c>
      <c r="Y1432">
        <v>0.32282228061787682</v>
      </c>
      <c r="Z1432" t="str">
        <f>HYPERLINK("Melting_Curves/meltCurve_sp_Q08AH3_ACS2A_HUMAN_.pdf", "Melting_Curves/meltCurve_sp_Q08AH3_ACS2A_HUMAN_.pdf")</f>
        <v>Melting_Curves/meltCurve_sp_Q08AH3_ACS2A_HUMAN_.pdf</v>
      </c>
      <c r="AA1432" t="s">
        <v>12903</v>
      </c>
      <c r="AB1432" t="s">
        <v>16672</v>
      </c>
    </row>
    <row r="1433" spans="1:28" x14ac:dyDescent="0.25">
      <c r="A1433" t="s">
        <v>1437</v>
      </c>
      <c r="B1433">
        <v>0.98876768158843997</v>
      </c>
      <c r="C1433">
        <v>0.91901250070947704</v>
      </c>
      <c r="D1433">
        <v>1.07011754237725</v>
      </c>
      <c r="E1433">
        <v>0.85001851418483898</v>
      </c>
      <c r="F1433">
        <v>0.39762414399454898</v>
      </c>
      <c r="G1433">
        <v>0.15465750461508801</v>
      </c>
      <c r="H1433">
        <v>9.3700491026487906E-2</v>
      </c>
      <c r="I1433">
        <v>9.0666225370605397E-2</v>
      </c>
      <c r="J1433">
        <v>9.1459095990700096E-2</v>
      </c>
      <c r="K1433">
        <v>7.2226786561801898E-2</v>
      </c>
      <c r="L1433">
        <v>1995.6407366062199</v>
      </c>
      <c r="M1433">
        <v>38.298469705521597</v>
      </c>
      <c r="N1433">
        <v>52.386118274208897</v>
      </c>
      <c r="O1433">
        <v>51.966125475332198</v>
      </c>
      <c r="P1433">
        <v>-0.167275156249313</v>
      </c>
      <c r="Q1433">
        <v>9.2118258468585595E-2</v>
      </c>
      <c r="R1433">
        <v>0.991767930724473</v>
      </c>
      <c r="S1433" t="s">
        <v>5265</v>
      </c>
      <c r="T1433" t="s">
        <v>7662</v>
      </c>
      <c r="U1433" t="s">
        <v>7662</v>
      </c>
      <c r="V1433" t="s">
        <v>7662</v>
      </c>
      <c r="W1433">
        <v>8</v>
      </c>
      <c r="X1433" t="s">
        <v>9095</v>
      </c>
      <c r="Y1433">
        <v>0.46209344250476853</v>
      </c>
      <c r="Z1433" t="str">
        <f>HYPERLINK("Melting_Curves/meltCurve_sp_Q08AM6_VAC14_HUMAN_.pdf", "Melting_Curves/meltCurve_sp_Q08AM6_VAC14_HUMAN_.pdf")</f>
        <v>Melting_Curves/meltCurve_sp_Q08AM6_VAC14_HUMAN_.pdf</v>
      </c>
      <c r="AA1433" t="s">
        <v>12904</v>
      </c>
      <c r="AB1433" t="s">
        <v>16673</v>
      </c>
    </row>
    <row r="1434" spans="1:28" x14ac:dyDescent="0.25">
      <c r="A1434" t="s">
        <v>1438</v>
      </c>
      <c r="B1434">
        <v>0.98876768158843997</v>
      </c>
      <c r="C1434">
        <v>0.949529238709928</v>
      </c>
      <c r="D1434">
        <v>0.99853288734467904</v>
      </c>
      <c r="E1434">
        <v>0.97117134346928602</v>
      </c>
      <c r="F1434">
        <v>0.72960088398512102</v>
      </c>
      <c r="G1434">
        <v>0.41061429377530501</v>
      </c>
      <c r="H1434">
        <v>0.113040541284902</v>
      </c>
      <c r="I1434">
        <v>9.6382819101490894E-2</v>
      </c>
      <c r="J1434">
        <v>9.1108310405266096E-2</v>
      </c>
      <c r="K1434">
        <v>7.8288733207790506E-2</v>
      </c>
      <c r="L1434">
        <v>1349.73075936242</v>
      </c>
      <c r="M1434">
        <v>24.375135183066899</v>
      </c>
      <c r="N1434">
        <v>55.687614010734301</v>
      </c>
      <c r="O1434">
        <v>55.004581422559802</v>
      </c>
      <c r="P1434">
        <v>-0.103667588600085</v>
      </c>
      <c r="Q1434">
        <v>6.4274395262521794E-2</v>
      </c>
      <c r="R1434">
        <v>0.99492262572676604</v>
      </c>
      <c r="S1434" t="s">
        <v>5266</v>
      </c>
      <c r="T1434" t="s">
        <v>7662</v>
      </c>
      <c r="U1434" t="s">
        <v>7662</v>
      </c>
      <c r="V1434" t="s">
        <v>7662</v>
      </c>
      <c r="W1434">
        <v>12</v>
      </c>
      <c r="X1434" t="s">
        <v>9096</v>
      </c>
      <c r="Y1434">
        <v>0.5528020506293666</v>
      </c>
      <c r="Z1434" t="str">
        <f>HYPERLINK("Melting_Curves/meltCurve_sp_Q08J23_2_NSUN2_HUMAN_.pdf", "Melting_Curves/meltCurve_sp_Q08J23_2_NSUN2_HUMAN_.pdf")</f>
        <v>Melting_Curves/meltCurve_sp_Q08J23_2_NSUN2_HUMAN_.pdf</v>
      </c>
      <c r="AA1434" t="s">
        <v>12905</v>
      </c>
      <c r="AB1434" t="s">
        <v>16674</v>
      </c>
    </row>
    <row r="1435" spans="1:28" x14ac:dyDescent="0.25">
      <c r="A1435" t="s">
        <v>1439</v>
      </c>
      <c r="B1435">
        <v>0.98876768158843997</v>
      </c>
      <c r="C1435">
        <v>0.97149251235112499</v>
      </c>
      <c r="D1435">
        <v>0.92491723502549394</v>
      </c>
      <c r="E1435">
        <v>0.78735197806070401</v>
      </c>
      <c r="F1435">
        <v>0.65266970687032899</v>
      </c>
      <c r="G1435">
        <v>0.44852239324936</v>
      </c>
      <c r="H1435">
        <v>0.215127479728801</v>
      </c>
      <c r="I1435">
        <v>0.129607218048402</v>
      </c>
      <c r="J1435">
        <v>0.16370997491092501</v>
      </c>
      <c r="K1435">
        <v>0.12461824794048899</v>
      </c>
      <c r="L1435">
        <v>751.75045102910997</v>
      </c>
      <c r="M1435">
        <v>13.7024483254048</v>
      </c>
      <c r="N1435">
        <v>55.381836060286197</v>
      </c>
      <c r="O1435">
        <v>53.733548600329598</v>
      </c>
      <c r="P1435">
        <v>-5.99167674473461E-2</v>
      </c>
      <c r="Q1435">
        <v>6.0291020446003603E-2</v>
      </c>
      <c r="R1435">
        <v>0.99446782871749895</v>
      </c>
      <c r="S1435" t="s">
        <v>5267</v>
      </c>
      <c r="T1435" t="s">
        <v>7662</v>
      </c>
      <c r="U1435" t="s">
        <v>7662</v>
      </c>
      <c r="V1435" t="s">
        <v>7662</v>
      </c>
      <c r="W1435">
        <v>8</v>
      </c>
      <c r="X1435" t="s">
        <v>9097</v>
      </c>
      <c r="Y1435">
        <v>0.54589480925922695</v>
      </c>
      <c r="Z1435" t="str">
        <f>HYPERLINK("Melting_Curves/meltCurve_sp_Q09028_3_RBBP4_HUMAN_.pdf", "Melting_Curves/meltCurve_sp_Q09028_3_RBBP4_HUMAN_.pdf")</f>
        <v>Melting_Curves/meltCurve_sp_Q09028_3_RBBP4_HUMAN_.pdf</v>
      </c>
      <c r="AA1435" t="s">
        <v>12906</v>
      </c>
      <c r="AB1435" t="s">
        <v>16675</v>
      </c>
    </row>
    <row r="1436" spans="1:28" x14ac:dyDescent="0.25">
      <c r="A1436" t="s">
        <v>1440</v>
      </c>
      <c r="B1436">
        <v>0.98876768158843997</v>
      </c>
      <c r="C1436">
        <v>0.87600030658983197</v>
      </c>
      <c r="D1436">
        <v>1.0685857411045301</v>
      </c>
      <c r="E1436">
        <v>0.63173193080816203</v>
      </c>
      <c r="F1436">
        <v>0.206049277555234</v>
      </c>
      <c r="G1436">
        <v>0.11298700694019401</v>
      </c>
      <c r="H1436">
        <v>7.3857365651007006E-2</v>
      </c>
      <c r="I1436">
        <v>4.6598493731433203E-2</v>
      </c>
      <c r="J1436">
        <v>5.1380131923380701E-2</v>
      </c>
      <c r="K1436">
        <v>5.4095717354435899E-2</v>
      </c>
      <c r="L1436">
        <v>2035.7515227972799</v>
      </c>
      <c r="M1436">
        <v>40.230832446708703</v>
      </c>
      <c r="N1436">
        <v>50.7816564326586</v>
      </c>
      <c r="O1436">
        <v>50.4772153631422</v>
      </c>
      <c r="P1436">
        <v>-0.18601985442458899</v>
      </c>
      <c r="Q1436">
        <v>6.6412748311771894E-2</v>
      </c>
      <c r="R1436">
        <v>0.98501694968674203</v>
      </c>
      <c r="S1436" t="s">
        <v>5268</v>
      </c>
      <c r="T1436" t="s">
        <v>7662</v>
      </c>
      <c r="U1436" t="s">
        <v>7662</v>
      </c>
      <c r="V1436" t="s">
        <v>7662</v>
      </c>
      <c r="W1436">
        <v>4</v>
      </c>
      <c r="X1436" t="s">
        <v>9098</v>
      </c>
      <c r="Y1436">
        <v>0.39956354606984512</v>
      </c>
      <c r="Z1436" t="str">
        <f>HYPERLINK("Melting_Curves/meltCurve_sp_Q09161_NCBP1_HUMAN_.pdf", "Melting_Curves/meltCurve_sp_Q09161_NCBP1_HUMAN_.pdf")</f>
        <v>Melting_Curves/meltCurve_sp_Q09161_NCBP1_HUMAN_.pdf</v>
      </c>
      <c r="AA1436" t="s">
        <v>12907</v>
      </c>
      <c r="AB1436" t="s">
        <v>16676</v>
      </c>
    </row>
    <row r="1437" spans="1:28" x14ac:dyDescent="0.25">
      <c r="A1437" t="s">
        <v>1441</v>
      </c>
      <c r="B1437">
        <v>0.98876768158843997</v>
      </c>
      <c r="C1437">
        <v>0.92426826758252101</v>
      </c>
      <c r="D1437">
        <v>0.89706332792032895</v>
      </c>
      <c r="E1437">
        <v>0.67414757739125997</v>
      </c>
      <c r="F1437">
        <v>0.431171197764603</v>
      </c>
      <c r="G1437">
        <v>0.23715039131582</v>
      </c>
      <c r="H1437">
        <v>0.18642604190986101</v>
      </c>
      <c r="I1437">
        <v>0.175336319785655</v>
      </c>
      <c r="J1437">
        <v>0.33368176056776699</v>
      </c>
      <c r="K1437">
        <v>0.26005203891393303</v>
      </c>
      <c r="L1437">
        <v>1149.52637613976</v>
      </c>
      <c r="M1437">
        <v>22.783039305031402</v>
      </c>
      <c r="N1437">
        <v>51.827661821982502</v>
      </c>
      <c r="O1437">
        <v>50.071463871634698</v>
      </c>
      <c r="P1437">
        <v>-8.7990990346756295E-2</v>
      </c>
      <c r="Q1437">
        <v>0.22648566054411301</v>
      </c>
      <c r="R1437">
        <v>0.97401227289641301</v>
      </c>
      <c r="S1437" t="s">
        <v>5269</v>
      </c>
      <c r="T1437" t="s">
        <v>7662</v>
      </c>
      <c r="U1437" t="s">
        <v>7662</v>
      </c>
      <c r="V1437" t="s">
        <v>7662</v>
      </c>
      <c r="W1437">
        <v>2</v>
      </c>
      <c r="X1437" t="s">
        <v>9099</v>
      </c>
      <c r="Y1437">
        <v>0.50441292923139358</v>
      </c>
      <c r="Z1437" t="str">
        <f>HYPERLINK("Melting_Curves/meltCurve_sp_Q09472_EP300_HUMAN_.pdf", "Melting_Curves/meltCurve_sp_Q09472_EP300_HUMAN_.pdf")</f>
        <v>Melting_Curves/meltCurve_sp_Q09472_EP300_HUMAN_.pdf</v>
      </c>
      <c r="AA1437" t="s">
        <v>12908</v>
      </c>
      <c r="AB1437" t="s">
        <v>16677</v>
      </c>
    </row>
    <row r="1438" spans="1:28" x14ac:dyDescent="0.25">
      <c r="A1438" t="s">
        <v>1442</v>
      </c>
      <c r="B1438">
        <v>0.98876768158843997</v>
      </c>
      <c r="C1438">
        <v>0.99992315022318001</v>
      </c>
      <c r="D1438">
        <v>0.86947791585131096</v>
      </c>
      <c r="E1438">
        <v>0.65631019584775396</v>
      </c>
      <c r="F1438">
        <v>0.73639414809104398</v>
      </c>
      <c r="G1438">
        <v>0.52887510757349598</v>
      </c>
      <c r="H1438">
        <v>0.422288555242115</v>
      </c>
      <c r="I1438">
        <v>0.46182388805622798</v>
      </c>
      <c r="J1438">
        <v>0.52424888311857898</v>
      </c>
      <c r="K1438">
        <v>0.59738241129462799</v>
      </c>
      <c r="L1438">
        <v>807.50775477867501</v>
      </c>
      <c r="M1438">
        <v>16.382837634791098</v>
      </c>
      <c r="O1438">
        <v>48.573022060409201</v>
      </c>
      <c r="P1438">
        <v>-4.21416217135284E-2</v>
      </c>
      <c r="Q1438">
        <v>0.50025764733996003</v>
      </c>
      <c r="R1438">
        <v>0.89894098928768595</v>
      </c>
      <c r="S1438" t="s">
        <v>5270</v>
      </c>
      <c r="T1438" t="s">
        <v>7662</v>
      </c>
      <c r="U1438" t="s">
        <v>7662</v>
      </c>
      <c r="V1438" t="s">
        <v>7662</v>
      </c>
      <c r="W1438">
        <v>263</v>
      </c>
      <c r="X1438" t="s">
        <v>9100</v>
      </c>
      <c r="Y1438">
        <v>0.66534680877046759</v>
      </c>
      <c r="Z1438" t="str">
        <f>HYPERLINK("Melting_Curves/meltCurve_sp_Q09666_AHNK_HUMAN_.pdf", "Melting_Curves/meltCurve_sp_Q09666_AHNK_HUMAN_.pdf")</f>
        <v>Melting_Curves/meltCurve_sp_Q09666_AHNK_HUMAN_.pdf</v>
      </c>
      <c r="AA1438" t="s">
        <v>12909</v>
      </c>
      <c r="AB1438" t="s">
        <v>16678</v>
      </c>
    </row>
    <row r="1439" spans="1:28" x14ac:dyDescent="0.25">
      <c r="A1439" t="s">
        <v>1443</v>
      </c>
      <c r="B1439">
        <v>0.98876768158843997</v>
      </c>
      <c r="C1439">
        <v>1.1523219346637199</v>
      </c>
      <c r="D1439">
        <v>0.846514279964101</v>
      </c>
      <c r="E1439">
        <v>0.64675980134875199</v>
      </c>
      <c r="F1439">
        <v>0.61584708876665895</v>
      </c>
      <c r="G1439">
        <v>0.31470695663038301</v>
      </c>
      <c r="H1439">
        <v>0.10179392312832</v>
      </c>
      <c r="I1439">
        <v>8.3473238513397094E-2</v>
      </c>
      <c r="J1439">
        <v>8.8652857032500795E-2</v>
      </c>
      <c r="K1439">
        <v>7.8639905104931601E-2</v>
      </c>
      <c r="L1439">
        <v>768.11238541992202</v>
      </c>
      <c r="M1439">
        <v>14.4017685786889</v>
      </c>
      <c r="N1439">
        <v>53.503037487743804</v>
      </c>
      <c r="O1439">
        <v>52.337893764621498</v>
      </c>
      <c r="P1439">
        <v>-6.7275526548808598E-2</v>
      </c>
      <c r="Q1439">
        <v>2.2163938629830401E-2</v>
      </c>
      <c r="R1439">
        <v>0.96381923875258602</v>
      </c>
      <c r="S1439" t="s">
        <v>5271</v>
      </c>
      <c r="T1439" t="s">
        <v>7662</v>
      </c>
      <c r="U1439" t="s">
        <v>7662</v>
      </c>
      <c r="V1439" t="s">
        <v>7662</v>
      </c>
      <c r="W1439">
        <v>5</v>
      </c>
      <c r="X1439" t="s">
        <v>9101</v>
      </c>
      <c r="Y1439">
        <v>0.47867587380086118</v>
      </c>
      <c r="Z1439" t="str">
        <f>HYPERLINK("Melting_Curves/meltCurve_sp_Q0JRZ9_FCHO2_HUMAN_.pdf", "Melting_Curves/meltCurve_sp_Q0JRZ9_FCHO2_HUMAN_.pdf")</f>
        <v>Melting_Curves/meltCurve_sp_Q0JRZ9_FCHO2_HUMAN_.pdf</v>
      </c>
      <c r="AA1439" t="s">
        <v>12910</v>
      </c>
      <c r="AB1439" t="s">
        <v>16679</v>
      </c>
    </row>
    <row r="1440" spans="1:28" x14ac:dyDescent="0.25">
      <c r="A1440" t="s">
        <v>1444</v>
      </c>
      <c r="B1440">
        <v>0.98876768158843997</v>
      </c>
      <c r="C1440">
        <v>0.937379985977146</v>
      </c>
      <c r="D1440">
        <v>0.97468673207286505</v>
      </c>
      <c r="E1440">
        <v>0.72332947744195097</v>
      </c>
      <c r="F1440">
        <v>0.47528746674525002</v>
      </c>
      <c r="G1440">
        <v>0.32991335678382899</v>
      </c>
      <c r="H1440">
        <v>0.19709114577363801</v>
      </c>
      <c r="I1440">
        <v>0.165854044902949</v>
      </c>
      <c r="J1440">
        <v>0.14321305501845699</v>
      </c>
      <c r="K1440">
        <v>5.4225976868343399E-2</v>
      </c>
      <c r="L1440">
        <v>820.64372997309999</v>
      </c>
      <c r="M1440">
        <v>15.591397106101301</v>
      </c>
      <c r="N1440">
        <v>53.3166681370082</v>
      </c>
      <c r="O1440">
        <v>51.791336655467397</v>
      </c>
      <c r="P1440">
        <v>-6.8460235685348897E-2</v>
      </c>
      <c r="Q1440">
        <v>9.0437045865436994E-2</v>
      </c>
      <c r="R1440">
        <v>0.99043734115063797</v>
      </c>
      <c r="S1440" t="s">
        <v>5272</v>
      </c>
      <c r="T1440" t="s">
        <v>7662</v>
      </c>
      <c r="U1440" t="s">
        <v>7662</v>
      </c>
      <c r="V1440" t="s">
        <v>7662</v>
      </c>
      <c r="W1440">
        <v>3</v>
      </c>
      <c r="X1440" t="s">
        <v>9102</v>
      </c>
      <c r="Y1440">
        <v>0.49226706373951412</v>
      </c>
      <c r="Z1440" t="str">
        <f>HYPERLINK("Melting_Curves/meltCurve_sp_Q0PNE2_ELP6_HUMAN_.pdf", "Melting_Curves/meltCurve_sp_Q0PNE2_ELP6_HUMAN_.pdf")</f>
        <v>Melting_Curves/meltCurve_sp_Q0PNE2_ELP6_HUMAN_.pdf</v>
      </c>
      <c r="AA1440" t="s">
        <v>12911</v>
      </c>
      <c r="AB1440" t="s">
        <v>16680</v>
      </c>
    </row>
    <row r="1441" spans="1:28" x14ac:dyDescent="0.25">
      <c r="A1441" t="s">
        <v>1445</v>
      </c>
      <c r="B1441">
        <v>0.98876768158843997</v>
      </c>
      <c r="C1441">
        <v>0.68695219116694495</v>
      </c>
      <c r="D1441">
        <v>0.606919267498361</v>
      </c>
      <c r="E1441">
        <v>0.29791695959612302</v>
      </c>
      <c r="F1441">
        <v>0.300747855476313</v>
      </c>
      <c r="G1441">
        <v>0</v>
      </c>
      <c r="H1441">
        <v>4.7126863599156903E-2</v>
      </c>
      <c r="I1441">
        <v>0</v>
      </c>
      <c r="J1441">
        <v>0</v>
      </c>
      <c r="K1441">
        <v>0</v>
      </c>
      <c r="L1441">
        <v>612.585040627475</v>
      </c>
      <c r="M1441">
        <v>13.0051717245803</v>
      </c>
      <c r="N1441">
        <v>47.103191756904003</v>
      </c>
      <c r="O1441">
        <v>46.0312161027692</v>
      </c>
      <c r="P1441">
        <v>-7.0644813057987393E-2</v>
      </c>
      <c r="Q1441">
        <v>0</v>
      </c>
      <c r="R1441">
        <v>0.96559883126659196</v>
      </c>
      <c r="S1441" t="s">
        <v>5273</v>
      </c>
      <c r="T1441" t="s">
        <v>7662</v>
      </c>
      <c r="U1441" t="s">
        <v>7662</v>
      </c>
      <c r="V1441" t="s">
        <v>7662</v>
      </c>
      <c r="W1441">
        <v>1</v>
      </c>
      <c r="X1441" t="s">
        <v>9103</v>
      </c>
      <c r="Y1441">
        <v>0.27261400928039781</v>
      </c>
      <c r="Z1441" t="str">
        <f>HYPERLINK("Melting_Curves/meltCurve_sp_Q0VDF9_HSP7E_HUMAN_.pdf", "Melting_Curves/meltCurve_sp_Q0VDF9_HSP7E_HUMAN_.pdf")</f>
        <v>Melting_Curves/meltCurve_sp_Q0VDF9_HSP7E_HUMAN_.pdf</v>
      </c>
      <c r="AA1441" t="s">
        <v>12912</v>
      </c>
      <c r="AB1441" t="s">
        <v>16681</v>
      </c>
    </row>
    <row r="1442" spans="1:28" x14ac:dyDescent="0.25">
      <c r="A1442" t="s">
        <v>1446</v>
      </c>
      <c r="B1442">
        <v>0.98876768158843997</v>
      </c>
      <c r="C1442">
        <v>1.0637991874966799</v>
      </c>
      <c r="D1442">
        <v>0.84622029605290405</v>
      </c>
      <c r="E1442">
        <v>0.81567598223472704</v>
      </c>
      <c r="F1442">
        <v>0.90027129810002204</v>
      </c>
      <c r="G1442">
        <v>0.39219404027836402</v>
      </c>
      <c r="H1442">
        <v>7.2654087911176293E-2</v>
      </c>
      <c r="I1442">
        <v>6.8211690675284695E-2</v>
      </c>
      <c r="J1442">
        <v>2.88104382009144E-2</v>
      </c>
      <c r="K1442">
        <v>4.6469819210390402E-2</v>
      </c>
      <c r="L1442">
        <v>1649.24095219061</v>
      </c>
      <c r="M1442">
        <v>29.436592946104401</v>
      </c>
      <c r="N1442">
        <v>56.130516771624201</v>
      </c>
      <c r="O1442">
        <v>55.770237556555102</v>
      </c>
      <c r="P1442">
        <v>-0.12846601208526101</v>
      </c>
      <c r="Q1442">
        <v>2.64457998650111E-2</v>
      </c>
      <c r="R1442">
        <v>0.96740441568291902</v>
      </c>
      <c r="S1442" t="s">
        <v>5274</v>
      </c>
      <c r="T1442" t="s">
        <v>7662</v>
      </c>
      <c r="U1442" t="s">
        <v>7662</v>
      </c>
      <c r="V1442" t="s">
        <v>7662</v>
      </c>
      <c r="W1442">
        <v>4</v>
      </c>
      <c r="X1442" t="s">
        <v>9104</v>
      </c>
      <c r="Y1442">
        <v>0.55326845272452652</v>
      </c>
      <c r="Z1442" t="str">
        <f>HYPERLINK("Melting_Curves/meltCurve_sp_Q0VDG4_2_SCRN3_HUMAN_.pdf", "Melting_Curves/meltCurve_sp_Q0VDG4_2_SCRN3_HUMAN_.pdf")</f>
        <v>Melting_Curves/meltCurve_sp_Q0VDG4_2_SCRN3_HUMAN_.pdf</v>
      </c>
      <c r="AA1442" t="s">
        <v>12913</v>
      </c>
      <c r="AB1442" t="s">
        <v>16682</v>
      </c>
    </row>
    <row r="1443" spans="1:28" x14ac:dyDescent="0.25">
      <c r="A1443" t="s">
        <v>1447</v>
      </c>
      <c r="B1443">
        <v>0.98876768158843997</v>
      </c>
      <c r="C1443">
        <v>1.0113700524373199</v>
      </c>
      <c r="D1443">
        <v>0.92055844247284402</v>
      </c>
      <c r="E1443">
        <v>0.76957065463778995</v>
      </c>
      <c r="F1443">
        <v>0.68100805278579202</v>
      </c>
      <c r="G1443">
        <v>0.47867562051347901</v>
      </c>
      <c r="H1443">
        <v>0.38742563331535401</v>
      </c>
      <c r="I1443">
        <v>0.44699840299419402</v>
      </c>
      <c r="J1443">
        <v>0.52828678186419697</v>
      </c>
      <c r="K1443">
        <v>0.59958191083986601</v>
      </c>
      <c r="L1443">
        <v>1131.1242896813001</v>
      </c>
      <c r="M1443">
        <v>22.309500615737502</v>
      </c>
      <c r="N1443">
        <v>59.896674559208101</v>
      </c>
      <c r="O1443">
        <v>50.299337760342397</v>
      </c>
      <c r="P1443">
        <v>-5.7247760490143899E-2</v>
      </c>
      <c r="Q1443">
        <v>0.48372398753565599</v>
      </c>
      <c r="R1443">
        <v>0.92698694171079699</v>
      </c>
      <c r="S1443" t="s">
        <v>5275</v>
      </c>
      <c r="T1443" t="s">
        <v>7662</v>
      </c>
      <c r="U1443" t="s">
        <v>7662</v>
      </c>
      <c r="V1443" t="s">
        <v>7662</v>
      </c>
      <c r="W1443">
        <v>40</v>
      </c>
      <c r="X1443" t="s">
        <v>9105</v>
      </c>
      <c r="Y1443">
        <v>0.67370128477239988</v>
      </c>
      <c r="Z1443" t="str">
        <f>HYPERLINK("Melting_Curves/meltCurve_sp_Q0VF96_CGNL1_HUMAN_.pdf", "Melting_Curves/meltCurve_sp_Q0VF96_CGNL1_HUMAN_.pdf")</f>
        <v>Melting_Curves/meltCurve_sp_Q0VF96_CGNL1_HUMAN_.pdf</v>
      </c>
      <c r="AA1443" t="s">
        <v>12914</v>
      </c>
      <c r="AB1443" t="s">
        <v>16683</v>
      </c>
    </row>
    <row r="1444" spans="1:28" x14ac:dyDescent="0.25">
      <c r="A1444" t="s">
        <v>1448</v>
      </c>
      <c r="B1444">
        <v>0.98876768158843997</v>
      </c>
      <c r="C1444">
        <v>0.878827033801442</v>
      </c>
      <c r="D1444">
        <v>1.04261039883246</v>
      </c>
      <c r="E1444">
        <v>0.73386070825648198</v>
      </c>
      <c r="F1444">
        <v>0.42447976285599398</v>
      </c>
      <c r="G1444">
        <v>0.223204307900149</v>
      </c>
      <c r="H1444">
        <v>9.5822190524878101E-2</v>
      </c>
      <c r="I1444">
        <v>5.6016485194896701E-2</v>
      </c>
      <c r="J1444">
        <v>4.10697438487223E-2</v>
      </c>
      <c r="K1444">
        <v>3.0998764896717601E-2</v>
      </c>
      <c r="L1444">
        <v>1113.4535463879499</v>
      </c>
      <c r="M1444">
        <v>21.283686437781299</v>
      </c>
      <c r="N1444">
        <v>52.528059853308299</v>
      </c>
      <c r="O1444">
        <v>51.859634383196898</v>
      </c>
      <c r="P1444">
        <v>-9.8360048781899106E-2</v>
      </c>
      <c r="Q1444">
        <v>4.13718896125677E-2</v>
      </c>
      <c r="R1444">
        <v>0.98477195933041295</v>
      </c>
      <c r="S1444" t="s">
        <v>5276</v>
      </c>
      <c r="T1444" t="s">
        <v>7662</v>
      </c>
      <c r="U1444" t="s">
        <v>7662</v>
      </c>
      <c r="V1444" t="s">
        <v>7662</v>
      </c>
      <c r="W1444">
        <v>27</v>
      </c>
      <c r="X1444" t="s">
        <v>9106</v>
      </c>
      <c r="Y1444">
        <v>0.44673541073978768</v>
      </c>
      <c r="Z1444" t="str">
        <f>HYPERLINK("Melting_Curves/meltCurve_sp_Q10567_2_AP1B1_HUMAN_.pdf", "Melting_Curves/meltCurve_sp_Q10567_2_AP1B1_HUMAN_.pdf")</f>
        <v>Melting_Curves/meltCurve_sp_Q10567_2_AP1B1_HUMAN_.pdf</v>
      </c>
      <c r="AA1444" t="s">
        <v>12915</v>
      </c>
      <c r="AB1444" t="s">
        <v>16684</v>
      </c>
    </row>
    <row r="1445" spans="1:28" x14ac:dyDescent="0.25">
      <c r="A1445" t="s">
        <v>1449</v>
      </c>
      <c r="B1445">
        <v>0.98876768158843997</v>
      </c>
      <c r="C1445">
        <v>0.94319538836130301</v>
      </c>
      <c r="D1445">
        <v>1.0387308719632899</v>
      </c>
      <c r="E1445">
        <v>0.80351443313437898</v>
      </c>
      <c r="F1445">
        <v>0.47144794296909498</v>
      </c>
      <c r="G1445">
        <v>0.23921818344515899</v>
      </c>
      <c r="H1445">
        <v>6.3415296201841498E-2</v>
      </c>
      <c r="I1445">
        <v>1.97786000150778E-2</v>
      </c>
      <c r="J1445">
        <v>2.4909232014695901E-2</v>
      </c>
      <c r="K1445">
        <v>2.7589123334732901E-2</v>
      </c>
      <c r="L1445">
        <v>1170.05593175014</v>
      </c>
      <c r="M1445">
        <v>22.0716328138836</v>
      </c>
      <c r="N1445">
        <v>53.101392114104399</v>
      </c>
      <c r="O1445">
        <v>52.582342171072099</v>
      </c>
      <c r="P1445">
        <v>-0.10302172450572999</v>
      </c>
      <c r="Q1445">
        <v>1.8286643636702699E-2</v>
      </c>
      <c r="R1445">
        <v>0.99295319133730497</v>
      </c>
      <c r="S1445" t="s">
        <v>5277</v>
      </c>
      <c r="T1445" t="s">
        <v>7662</v>
      </c>
      <c r="U1445" t="s">
        <v>7662</v>
      </c>
      <c r="V1445" t="s">
        <v>7662</v>
      </c>
      <c r="W1445">
        <v>27</v>
      </c>
      <c r="X1445" t="s">
        <v>9107</v>
      </c>
      <c r="Y1445">
        <v>0.45544304432418081</v>
      </c>
      <c r="Z1445" t="str">
        <f>HYPERLINK("Melting_Curves/meltCurve_sp_Q10567_3_AP1B1_HUMAN_.pdf", "Melting_Curves/meltCurve_sp_Q10567_3_AP1B1_HUMAN_.pdf")</f>
        <v>Melting_Curves/meltCurve_sp_Q10567_3_AP1B1_HUMAN_.pdf</v>
      </c>
      <c r="AA1445" t="s">
        <v>12915</v>
      </c>
      <c r="AB1445" t="s">
        <v>16685</v>
      </c>
    </row>
    <row r="1446" spans="1:28" x14ac:dyDescent="0.25">
      <c r="A1446" t="s">
        <v>1450</v>
      </c>
      <c r="B1446">
        <v>0.98876768158843997</v>
      </c>
      <c r="C1446">
        <v>0.949335170301843</v>
      </c>
      <c r="D1446">
        <v>0.84663724940412799</v>
      </c>
      <c r="E1446">
        <v>0.39935489547418701</v>
      </c>
      <c r="F1446">
        <v>0.157024745109061</v>
      </c>
      <c r="G1446">
        <v>9.1015733946051294E-2</v>
      </c>
      <c r="H1446">
        <v>5.7287580394218197E-2</v>
      </c>
      <c r="I1446">
        <v>5.0999889970247597E-2</v>
      </c>
      <c r="J1446">
        <v>6.0362913541795099E-2</v>
      </c>
      <c r="K1446">
        <v>5.06648926707845E-2</v>
      </c>
      <c r="L1446">
        <v>1242.3028333398699</v>
      </c>
      <c r="M1446">
        <v>25.412939025483301</v>
      </c>
      <c r="N1446">
        <v>49.103276126031297</v>
      </c>
      <c r="O1446">
        <v>48.584969786302899</v>
      </c>
      <c r="P1446">
        <v>-0.123772523526524</v>
      </c>
      <c r="Q1446">
        <v>5.3488688549161702E-2</v>
      </c>
      <c r="R1446">
        <v>0.99926568958094797</v>
      </c>
      <c r="S1446" t="s">
        <v>5278</v>
      </c>
      <c r="T1446" t="s">
        <v>7662</v>
      </c>
      <c r="U1446" t="s">
        <v>7662</v>
      </c>
      <c r="V1446" t="s">
        <v>7662</v>
      </c>
      <c r="W1446">
        <v>16</v>
      </c>
      <c r="X1446" t="s">
        <v>9108</v>
      </c>
      <c r="Y1446">
        <v>0.34190551866442898</v>
      </c>
      <c r="Z1446" t="str">
        <f>HYPERLINK("Melting_Curves/meltCurve_sp_Q10713_MPPA_HUMAN_.pdf", "Melting_Curves/meltCurve_sp_Q10713_MPPA_HUMAN_.pdf")</f>
        <v>Melting_Curves/meltCurve_sp_Q10713_MPPA_HUMAN_.pdf</v>
      </c>
      <c r="AA1446" t="s">
        <v>12916</v>
      </c>
      <c r="AB1446" t="s">
        <v>16686</v>
      </c>
    </row>
    <row r="1447" spans="1:28" x14ac:dyDescent="0.25">
      <c r="A1447" t="s">
        <v>1451</v>
      </c>
      <c r="B1447">
        <v>0.98876768158843997</v>
      </c>
      <c r="C1447">
        <v>0.970132388498534</v>
      </c>
      <c r="D1447">
        <v>0.85942592579674604</v>
      </c>
      <c r="E1447">
        <v>0.56643949953682704</v>
      </c>
      <c r="F1447">
        <v>0.21535968130948399</v>
      </c>
      <c r="G1447">
        <v>0.13382378076535401</v>
      </c>
      <c r="H1447">
        <v>0.10195982106028301</v>
      </c>
      <c r="I1447">
        <v>8.0676475018412602E-2</v>
      </c>
      <c r="J1447">
        <v>9.6785104976184505E-2</v>
      </c>
      <c r="K1447">
        <v>7.3604079393629396E-2</v>
      </c>
      <c r="L1447">
        <v>1191.5020634995999</v>
      </c>
      <c r="M1447">
        <v>23.8938274744471</v>
      </c>
      <c r="N1447">
        <v>50.236672828246</v>
      </c>
      <c r="O1447">
        <v>49.5211684071325</v>
      </c>
      <c r="P1447">
        <v>-0.11089017857604801</v>
      </c>
      <c r="Q1447">
        <v>8.0712747813054195E-2</v>
      </c>
      <c r="R1447">
        <v>0.99615945947997897</v>
      </c>
      <c r="S1447" t="s">
        <v>5279</v>
      </c>
      <c r="T1447" t="s">
        <v>7662</v>
      </c>
      <c r="U1447" t="s">
        <v>7662</v>
      </c>
      <c r="V1447" t="s">
        <v>7662</v>
      </c>
      <c r="W1447">
        <v>1</v>
      </c>
      <c r="X1447" t="s">
        <v>9109</v>
      </c>
      <c r="Y1447">
        <v>0.39204004367701051</v>
      </c>
      <c r="Z1447" t="str">
        <f>HYPERLINK("Melting_Curves/meltCurve_sp_Q12769_NU160_HUMAN_.pdf", "Melting_Curves/meltCurve_sp_Q12769_NU160_HUMAN_.pdf")</f>
        <v>Melting_Curves/meltCurve_sp_Q12769_NU160_HUMAN_.pdf</v>
      </c>
      <c r="AA1447" t="s">
        <v>12917</v>
      </c>
      <c r="AB1447" t="s">
        <v>16687</v>
      </c>
    </row>
    <row r="1448" spans="1:28" x14ac:dyDescent="0.25">
      <c r="A1448" t="s">
        <v>1452</v>
      </c>
      <c r="B1448">
        <v>0.98876768158843997</v>
      </c>
      <c r="C1448">
        <v>0.99185991558783104</v>
      </c>
      <c r="D1448">
        <v>0.88150707230735004</v>
      </c>
      <c r="E1448">
        <v>0.75885320984953297</v>
      </c>
      <c r="F1448">
        <v>0.700948504904777</v>
      </c>
      <c r="G1448">
        <v>0.487593080018146</v>
      </c>
      <c r="H1448">
        <v>0.398466191692877</v>
      </c>
      <c r="I1448">
        <v>0.493750864504656</v>
      </c>
      <c r="J1448">
        <v>0.636995464889756</v>
      </c>
      <c r="K1448">
        <v>0.62986936523870596</v>
      </c>
      <c r="L1448">
        <v>997.798941636162</v>
      </c>
      <c r="M1448">
        <v>20.069598334630101</v>
      </c>
      <c r="O1448">
        <v>49.231221926276902</v>
      </c>
      <c r="P1448">
        <v>-4.7912280527260299E-2</v>
      </c>
      <c r="Q1448">
        <v>0.52989498861889905</v>
      </c>
      <c r="R1448">
        <v>0.86063743097149203</v>
      </c>
      <c r="S1448" t="s">
        <v>5280</v>
      </c>
      <c r="T1448" t="s">
        <v>7662</v>
      </c>
      <c r="U1448" t="s">
        <v>7662</v>
      </c>
      <c r="V1448" t="s">
        <v>7662</v>
      </c>
      <c r="W1448">
        <v>4</v>
      </c>
      <c r="X1448" t="s">
        <v>9110</v>
      </c>
      <c r="Y1448">
        <v>0.68866876748555372</v>
      </c>
      <c r="Z1448" t="str">
        <f>HYPERLINK("Melting_Curves/meltCurve_sp_Q12774_ARHG5_HUMAN_.pdf", "Melting_Curves/meltCurve_sp_Q12774_ARHG5_HUMAN_.pdf")</f>
        <v>Melting_Curves/meltCurve_sp_Q12774_ARHG5_HUMAN_.pdf</v>
      </c>
      <c r="AA1448" t="s">
        <v>12918</v>
      </c>
      <c r="AB1448" t="s">
        <v>16688</v>
      </c>
    </row>
    <row r="1449" spans="1:28" x14ac:dyDescent="0.25">
      <c r="A1449" t="s">
        <v>1453</v>
      </c>
      <c r="B1449">
        <v>0.98876768158843997</v>
      </c>
      <c r="C1449">
        <v>1.0471220717773899</v>
      </c>
      <c r="D1449">
        <v>0.93991833676300296</v>
      </c>
      <c r="E1449">
        <v>0.81076235996170698</v>
      </c>
      <c r="F1449">
        <v>0.751423964185023</v>
      </c>
      <c r="G1449">
        <v>0.26730613752186599</v>
      </c>
      <c r="H1449">
        <v>8.3701419223854906E-2</v>
      </c>
      <c r="I1449">
        <v>7.5208841102266999E-2</v>
      </c>
      <c r="J1449">
        <v>7.21998505415853E-2</v>
      </c>
      <c r="K1449">
        <v>5.9411568034613699E-2</v>
      </c>
      <c r="L1449">
        <v>1294.7468539415299</v>
      </c>
      <c r="M1449">
        <v>23.7411790461246</v>
      </c>
      <c r="N1449">
        <v>54.7410270346288</v>
      </c>
      <c r="O1449">
        <v>54.1534064439685</v>
      </c>
      <c r="P1449">
        <v>-0.10493880734903099</v>
      </c>
      <c r="Q1449">
        <v>4.2558107490204E-2</v>
      </c>
      <c r="R1449">
        <v>0.98793361243794597</v>
      </c>
      <c r="S1449" t="s">
        <v>5281</v>
      </c>
      <c r="T1449" t="s">
        <v>7662</v>
      </c>
      <c r="U1449" t="s">
        <v>7662</v>
      </c>
      <c r="V1449" t="s">
        <v>7662</v>
      </c>
      <c r="W1449">
        <v>10</v>
      </c>
      <c r="X1449" t="s">
        <v>9111</v>
      </c>
      <c r="Y1449">
        <v>0.51617908357867581</v>
      </c>
      <c r="Z1449" t="str">
        <f>HYPERLINK("Melting_Curves/meltCurve_sp_Q12792_TWF1_HUMAN_.pdf", "Melting_Curves/meltCurve_sp_Q12792_TWF1_HUMAN_.pdf")</f>
        <v>Melting_Curves/meltCurve_sp_Q12792_TWF1_HUMAN_.pdf</v>
      </c>
      <c r="AA1449" t="s">
        <v>12919</v>
      </c>
      <c r="AB1449" t="s">
        <v>16689</v>
      </c>
    </row>
    <row r="1450" spans="1:28" x14ac:dyDescent="0.25">
      <c r="A1450" t="s">
        <v>1454</v>
      </c>
      <c r="B1450">
        <v>0.98876768158843997</v>
      </c>
      <c r="C1450">
        <v>0.93880720233288495</v>
      </c>
      <c r="D1450">
        <v>0.81276913495019798</v>
      </c>
      <c r="E1450">
        <v>0.43109996808406997</v>
      </c>
      <c r="F1450">
        <v>0.17569535482915299</v>
      </c>
      <c r="G1450">
        <v>0.13217742896284199</v>
      </c>
      <c r="H1450">
        <v>0.120056481869885</v>
      </c>
      <c r="I1450">
        <v>0.101727538307297</v>
      </c>
      <c r="J1450">
        <v>0.138280915760571</v>
      </c>
      <c r="K1450">
        <v>0.18430122558901599</v>
      </c>
      <c r="L1450">
        <v>1217.3628691207</v>
      </c>
      <c r="M1450">
        <v>25.121262179927001</v>
      </c>
      <c r="N1450">
        <v>49.025757002294199</v>
      </c>
      <c r="O1450">
        <v>48.155518848619103</v>
      </c>
      <c r="P1450">
        <v>-0.11399495369764399</v>
      </c>
      <c r="Q1450">
        <v>0.125933523423781</v>
      </c>
      <c r="R1450">
        <v>0.993439887364723</v>
      </c>
      <c r="S1450" t="s">
        <v>5282</v>
      </c>
      <c r="T1450" t="s">
        <v>7662</v>
      </c>
      <c r="U1450" t="s">
        <v>7662</v>
      </c>
      <c r="V1450" t="s">
        <v>7662</v>
      </c>
      <c r="W1450">
        <v>1</v>
      </c>
      <c r="X1450" t="s">
        <v>9112</v>
      </c>
      <c r="Y1450">
        <v>0.38005307440935798</v>
      </c>
      <c r="Z1450" t="str">
        <f>HYPERLINK("Melting_Curves/meltCurve_sp_Q12794_3_HYAL1_HUMAN_.pdf", "Melting_Curves/meltCurve_sp_Q12794_3_HYAL1_HUMAN_.pdf")</f>
        <v>Melting_Curves/meltCurve_sp_Q12794_3_HYAL1_HUMAN_.pdf</v>
      </c>
      <c r="AA1450" t="s">
        <v>12920</v>
      </c>
      <c r="AB1450" t="s">
        <v>16690</v>
      </c>
    </row>
    <row r="1451" spans="1:28" x14ac:dyDescent="0.25">
      <c r="A1451" t="s">
        <v>1455</v>
      </c>
      <c r="B1451">
        <v>0.98876768158843997</v>
      </c>
      <c r="C1451">
        <v>1.01699671456115</v>
      </c>
      <c r="D1451">
        <v>0.89207196073823802</v>
      </c>
      <c r="E1451">
        <v>0.79717126672836003</v>
      </c>
      <c r="F1451">
        <v>0.79813301381570501</v>
      </c>
      <c r="G1451">
        <v>0.58734661788534204</v>
      </c>
      <c r="H1451">
        <v>0.46899429910625701</v>
      </c>
      <c r="I1451">
        <v>0.52064077556496102</v>
      </c>
      <c r="J1451">
        <v>0.61421799795755105</v>
      </c>
      <c r="K1451">
        <v>0.67283467029541999</v>
      </c>
      <c r="L1451">
        <v>895.35993070996699</v>
      </c>
      <c r="M1451">
        <v>17.5674743934735</v>
      </c>
      <c r="O1451">
        <v>50.320256852746503</v>
      </c>
      <c r="P1451">
        <v>-3.8149474426535601E-2</v>
      </c>
      <c r="Q1451">
        <v>0.56292252225121597</v>
      </c>
      <c r="R1451">
        <v>0.87121791988897201</v>
      </c>
      <c r="S1451" t="s">
        <v>5283</v>
      </c>
      <c r="T1451" t="s">
        <v>7662</v>
      </c>
      <c r="U1451" t="s">
        <v>7662</v>
      </c>
      <c r="V1451" t="s">
        <v>7662</v>
      </c>
      <c r="W1451">
        <v>9</v>
      </c>
      <c r="X1451" t="s">
        <v>9113</v>
      </c>
      <c r="Y1451">
        <v>0.73039886454921943</v>
      </c>
      <c r="Z1451" t="str">
        <f>HYPERLINK("Melting_Curves/meltCurve_sp_Q12802_4_AKP13_HUMAN_.pdf", "Melting_Curves/meltCurve_sp_Q12802_4_AKP13_HUMAN_.pdf")</f>
        <v>Melting_Curves/meltCurve_sp_Q12802_4_AKP13_HUMAN_.pdf</v>
      </c>
      <c r="AA1451" t="s">
        <v>12921</v>
      </c>
      <c r="AB1451" t="s">
        <v>16691</v>
      </c>
    </row>
    <row r="1452" spans="1:28" x14ac:dyDescent="0.25">
      <c r="A1452" t="s">
        <v>1456</v>
      </c>
      <c r="B1452">
        <v>0.98876768158843997</v>
      </c>
      <c r="C1452">
        <v>0.94498855119880198</v>
      </c>
      <c r="D1452">
        <v>0.84645466297794303</v>
      </c>
      <c r="E1452">
        <v>1.1362038116828901</v>
      </c>
      <c r="F1452">
        <v>0.76110944325739105</v>
      </c>
      <c r="G1452">
        <v>0.78606965469513101</v>
      </c>
      <c r="H1452">
        <v>0.33915434418518198</v>
      </c>
      <c r="I1452">
        <v>0.45565858112596302</v>
      </c>
      <c r="J1452">
        <v>0.76240460404985699</v>
      </c>
      <c r="K1452">
        <v>0.59575083607023305</v>
      </c>
      <c r="L1452">
        <v>1670.2972180808399</v>
      </c>
      <c r="M1452">
        <v>30.641819185792599</v>
      </c>
      <c r="O1452">
        <v>54.279790942736703</v>
      </c>
      <c r="P1452">
        <v>-6.2620098342884206E-2</v>
      </c>
      <c r="Q1452">
        <v>0.55629456235879504</v>
      </c>
      <c r="R1452">
        <v>0.63912144930852599</v>
      </c>
      <c r="S1452" t="s">
        <v>5284</v>
      </c>
      <c r="T1452" t="s">
        <v>7662</v>
      </c>
      <c r="U1452" t="s">
        <v>7662</v>
      </c>
      <c r="V1452" t="s">
        <v>7662</v>
      </c>
      <c r="W1452">
        <v>2</v>
      </c>
      <c r="X1452" t="s">
        <v>9114</v>
      </c>
      <c r="Y1452">
        <v>0.773719846953281</v>
      </c>
      <c r="Z1452" t="str">
        <f>HYPERLINK("Melting_Curves/meltCurve_sp_Q12846_STX4_HUMAN_.pdf", "Melting_Curves/meltCurve_sp_Q12846_STX4_HUMAN_.pdf")</f>
        <v>Melting_Curves/meltCurve_sp_Q12846_STX4_HUMAN_.pdf</v>
      </c>
      <c r="AA1452" t="s">
        <v>12922</v>
      </c>
      <c r="AB1452" t="s">
        <v>16692</v>
      </c>
    </row>
    <row r="1453" spans="1:28" x14ac:dyDescent="0.25">
      <c r="A1453" t="s">
        <v>1457</v>
      </c>
      <c r="B1453">
        <v>0.98876768158843997</v>
      </c>
      <c r="C1453">
        <v>0.96063465119935498</v>
      </c>
      <c r="D1453">
        <v>1.0411368614160501</v>
      </c>
      <c r="E1453">
        <v>0.47965202072405999</v>
      </c>
      <c r="F1453">
        <v>0.20643749896388799</v>
      </c>
      <c r="G1453">
        <v>9.7269813947242698E-2</v>
      </c>
      <c r="H1453">
        <v>6.2059224772928301E-2</v>
      </c>
      <c r="I1453">
        <v>5.5926177262340698E-2</v>
      </c>
      <c r="J1453">
        <v>8.8216495658990202E-2</v>
      </c>
      <c r="K1453">
        <v>4.9391442800058603E-2</v>
      </c>
      <c r="L1453">
        <v>1929.5742254648401</v>
      </c>
      <c r="M1453">
        <v>38.7249632969556</v>
      </c>
      <c r="N1453">
        <v>50.038829313998903</v>
      </c>
      <c r="O1453">
        <v>49.695338636937898</v>
      </c>
      <c r="P1453">
        <v>-0.18012639116783399</v>
      </c>
      <c r="Q1453">
        <v>7.5384956202692699E-2</v>
      </c>
      <c r="R1453">
        <v>0.99270636015803804</v>
      </c>
      <c r="S1453" t="s">
        <v>5285</v>
      </c>
      <c r="T1453" t="s">
        <v>7662</v>
      </c>
      <c r="U1453" t="s">
        <v>7662</v>
      </c>
      <c r="V1453" t="s">
        <v>7662</v>
      </c>
      <c r="W1453">
        <v>3</v>
      </c>
      <c r="X1453" t="s">
        <v>9115</v>
      </c>
      <c r="Y1453">
        <v>0.38167966694189259</v>
      </c>
      <c r="Z1453" t="str">
        <f>HYPERLINK("Melting_Curves/meltCurve_sp_Q12874_SF3A3_HUMAN_.pdf", "Melting_Curves/meltCurve_sp_Q12874_SF3A3_HUMAN_.pdf")</f>
        <v>Melting_Curves/meltCurve_sp_Q12874_SF3A3_HUMAN_.pdf</v>
      </c>
      <c r="AA1453" t="s">
        <v>12923</v>
      </c>
      <c r="AB1453" t="s">
        <v>16693</v>
      </c>
    </row>
    <row r="1454" spans="1:28" x14ac:dyDescent="0.25">
      <c r="A1454" t="s">
        <v>1458</v>
      </c>
      <c r="B1454">
        <v>0.98876768158843997</v>
      </c>
      <c r="C1454">
        <v>0.855076802023785</v>
      </c>
      <c r="D1454">
        <v>1.0816178164954999</v>
      </c>
      <c r="E1454">
        <v>1.01099226595875</v>
      </c>
      <c r="F1454">
        <v>0.36778754585213103</v>
      </c>
      <c r="G1454">
        <v>0.116712213696243</v>
      </c>
      <c r="H1454">
        <v>6.6816902518099394E-2</v>
      </c>
      <c r="I1454">
        <v>6.0505628165070303E-2</v>
      </c>
      <c r="J1454">
        <v>7.0703495032035796E-2</v>
      </c>
      <c r="K1454">
        <v>5.5844952311783998E-2</v>
      </c>
      <c r="L1454">
        <v>13209.361428297399</v>
      </c>
      <c r="M1454">
        <v>250</v>
      </c>
      <c r="N1454">
        <v>52.871361634775702</v>
      </c>
      <c r="O1454">
        <v>52.834065879737601</v>
      </c>
      <c r="P1454">
        <v>-1.0952727402197799</v>
      </c>
      <c r="Q1454">
        <v>7.4116632021326706E-2</v>
      </c>
      <c r="R1454">
        <v>0.98388259650125798</v>
      </c>
      <c r="S1454" t="s">
        <v>5286</v>
      </c>
      <c r="T1454" t="s">
        <v>7662</v>
      </c>
      <c r="U1454" t="s">
        <v>7662</v>
      </c>
      <c r="V1454" t="s">
        <v>7662</v>
      </c>
      <c r="W1454">
        <v>36</v>
      </c>
      <c r="X1454" t="s">
        <v>9116</v>
      </c>
      <c r="Y1454">
        <v>0.47040173726855272</v>
      </c>
      <c r="Z1454" t="str">
        <f>HYPERLINK("Melting_Curves/meltCurve_sp_Q12882_DPYD_HUMAN_.pdf", "Melting_Curves/meltCurve_sp_Q12882_DPYD_HUMAN_.pdf")</f>
        <v>Melting_Curves/meltCurve_sp_Q12882_DPYD_HUMAN_.pdf</v>
      </c>
      <c r="AA1454" t="s">
        <v>12924</v>
      </c>
      <c r="AB1454" t="s">
        <v>16694</v>
      </c>
    </row>
    <row r="1455" spans="1:28" x14ac:dyDescent="0.25">
      <c r="A1455" t="s">
        <v>1459</v>
      </c>
      <c r="B1455">
        <v>0.98876768158843997</v>
      </c>
      <c r="C1455">
        <v>0.86640273035502102</v>
      </c>
      <c r="D1455">
        <v>0.54624404034258001</v>
      </c>
      <c r="E1455">
        <v>0.26990054094872301</v>
      </c>
      <c r="F1455">
        <v>0.178820890915002</v>
      </c>
      <c r="G1455">
        <v>0.102188389740736</v>
      </c>
      <c r="H1455">
        <v>7.7427125844205302E-2</v>
      </c>
      <c r="I1455">
        <v>0.103699641327904</v>
      </c>
      <c r="J1455">
        <v>0.13772215204598801</v>
      </c>
      <c r="K1455">
        <v>0.16270635334255201</v>
      </c>
      <c r="L1455">
        <v>1021.4368041510201</v>
      </c>
      <c r="M1455">
        <v>22.175333827907</v>
      </c>
      <c r="N1455">
        <v>46.627751398824003</v>
      </c>
      <c r="O1455">
        <v>45.692161412686197</v>
      </c>
      <c r="P1455">
        <v>-0.107017875184641</v>
      </c>
      <c r="Q1455">
        <v>0.117979848597087</v>
      </c>
      <c r="R1455">
        <v>0.99334795683633503</v>
      </c>
      <c r="S1455" t="s">
        <v>5287</v>
      </c>
      <c r="T1455" t="s">
        <v>7662</v>
      </c>
      <c r="U1455" t="s">
        <v>7662</v>
      </c>
      <c r="V1455" t="s">
        <v>7662</v>
      </c>
      <c r="W1455">
        <v>9</v>
      </c>
      <c r="X1455" t="s">
        <v>9117</v>
      </c>
      <c r="Y1455">
        <v>0.3069111414155255</v>
      </c>
      <c r="Z1455" t="str">
        <f>HYPERLINK("Melting_Curves/meltCurve_sp_Q12904_AIMP1_HUMAN_.pdf", "Melting_Curves/meltCurve_sp_Q12904_AIMP1_HUMAN_.pdf")</f>
        <v>Melting_Curves/meltCurve_sp_Q12904_AIMP1_HUMAN_.pdf</v>
      </c>
      <c r="AA1455" t="s">
        <v>12925</v>
      </c>
      <c r="AB1455" t="s">
        <v>16695</v>
      </c>
    </row>
    <row r="1456" spans="1:28" x14ac:dyDescent="0.25">
      <c r="A1456" t="s">
        <v>1460</v>
      </c>
      <c r="B1456">
        <v>0.98876768158843997</v>
      </c>
      <c r="C1456">
        <v>0.90413866998041603</v>
      </c>
      <c r="D1456">
        <v>0.98815428580946196</v>
      </c>
      <c r="E1456">
        <v>0.90567583846204003</v>
      </c>
      <c r="F1456">
        <v>0.644361310122608</v>
      </c>
      <c r="G1456">
        <v>0.32966001213135399</v>
      </c>
      <c r="H1456">
        <v>7.3470681002545099E-2</v>
      </c>
      <c r="I1456">
        <v>3.4851723851460098E-2</v>
      </c>
      <c r="J1456">
        <v>4.1849845385725198E-2</v>
      </c>
      <c r="K1456">
        <v>3.1312862623618702E-2</v>
      </c>
      <c r="L1456">
        <v>1188.7387582804399</v>
      </c>
      <c r="M1456">
        <v>21.742140636576899</v>
      </c>
      <c r="N1456">
        <v>54.725686782635002</v>
      </c>
      <c r="O1456">
        <v>54.218212164330303</v>
      </c>
      <c r="P1456">
        <v>-9.9244491566889498E-2</v>
      </c>
      <c r="Q1456">
        <v>1.0082483305594501E-2</v>
      </c>
      <c r="R1456">
        <v>0.992673009250153</v>
      </c>
      <c r="S1456" t="s">
        <v>5288</v>
      </c>
      <c r="T1456" t="s">
        <v>7662</v>
      </c>
      <c r="U1456" t="s">
        <v>7662</v>
      </c>
      <c r="V1456" t="s">
        <v>7662</v>
      </c>
      <c r="W1456">
        <v>7</v>
      </c>
      <c r="X1456" t="s">
        <v>9118</v>
      </c>
      <c r="Y1456">
        <v>0.50593304570169761</v>
      </c>
      <c r="Z1456" t="str">
        <f>HYPERLINK("Melting_Curves/meltCurve_sp_Q12905_ILF2_HUMAN_.pdf", "Melting_Curves/meltCurve_sp_Q12905_ILF2_HUMAN_.pdf")</f>
        <v>Melting_Curves/meltCurve_sp_Q12905_ILF2_HUMAN_.pdf</v>
      </c>
      <c r="AA1456" t="s">
        <v>12926</v>
      </c>
      <c r="AB1456" t="s">
        <v>16696</v>
      </c>
    </row>
    <row r="1457" spans="1:28" x14ac:dyDescent="0.25">
      <c r="A1457" t="s">
        <v>1461</v>
      </c>
      <c r="B1457">
        <v>0.98876768158843997</v>
      </c>
      <c r="C1457">
        <v>0.94550579274265401</v>
      </c>
      <c r="D1457">
        <v>1.0754422489444699</v>
      </c>
      <c r="E1457">
        <v>1.0017777440613</v>
      </c>
      <c r="F1457">
        <v>0.73372163575164795</v>
      </c>
      <c r="G1457">
        <v>0.50999589674085699</v>
      </c>
      <c r="H1457">
        <v>0.16779802527359899</v>
      </c>
      <c r="I1457">
        <v>0.108344358034577</v>
      </c>
      <c r="J1457">
        <v>0.154787186984123</v>
      </c>
      <c r="K1457">
        <v>0.120717726500115</v>
      </c>
      <c r="L1457">
        <v>1308.1373245878301</v>
      </c>
      <c r="M1457">
        <v>23.399257562413101</v>
      </c>
      <c r="N1457">
        <v>56.443841849183997</v>
      </c>
      <c r="O1457">
        <v>55.501564145855099</v>
      </c>
      <c r="P1457">
        <v>-9.4852274933158606E-2</v>
      </c>
      <c r="Q1457">
        <v>0.10008129176512599</v>
      </c>
      <c r="R1457">
        <v>0.98312592849263603</v>
      </c>
      <c r="S1457" t="s">
        <v>5289</v>
      </c>
      <c r="T1457" t="s">
        <v>7662</v>
      </c>
      <c r="U1457" t="s">
        <v>7662</v>
      </c>
      <c r="V1457" t="s">
        <v>7662</v>
      </c>
      <c r="W1457">
        <v>14</v>
      </c>
      <c r="X1457" t="s">
        <v>9119</v>
      </c>
      <c r="Y1457">
        <v>0.58640461758154128</v>
      </c>
      <c r="Z1457" t="str">
        <f>HYPERLINK("Melting_Curves/meltCurve_sp_Q12906_4_ILF3_HUMAN_.pdf", "Melting_Curves/meltCurve_sp_Q12906_4_ILF3_HUMAN_.pdf")</f>
        <v>Melting_Curves/meltCurve_sp_Q12906_4_ILF3_HUMAN_.pdf</v>
      </c>
      <c r="AA1457" t="s">
        <v>12927</v>
      </c>
      <c r="AB1457" t="s">
        <v>16697</v>
      </c>
    </row>
    <row r="1458" spans="1:28" x14ac:dyDescent="0.25">
      <c r="A1458" t="s">
        <v>1462</v>
      </c>
      <c r="B1458">
        <v>0.98876768158843997</v>
      </c>
      <c r="C1458">
        <v>0.95101884569349404</v>
      </c>
      <c r="D1458">
        <v>0.92617339957300904</v>
      </c>
      <c r="E1458">
        <v>0.73013785969068801</v>
      </c>
      <c r="F1458">
        <v>0.55881078481184399</v>
      </c>
      <c r="G1458">
        <v>0.24077825239589201</v>
      </c>
      <c r="H1458">
        <v>0.149815680786931</v>
      </c>
      <c r="I1458">
        <v>0.13615476620610101</v>
      </c>
      <c r="J1458">
        <v>0.11665848141889</v>
      </c>
      <c r="K1458">
        <v>0.14627184499568199</v>
      </c>
      <c r="L1458">
        <v>972.32764136015703</v>
      </c>
      <c r="M1458">
        <v>18.516232063458801</v>
      </c>
      <c r="N1458">
        <v>53.192122514945098</v>
      </c>
      <c r="O1458">
        <v>51.911175229918101</v>
      </c>
      <c r="P1458">
        <v>-7.9779031373735307E-2</v>
      </c>
      <c r="Q1458">
        <v>0.105381593141711</v>
      </c>
      <c r="R1458">
        <v>0.99510000593243098</v>
      </c>
      <c r="S1458" t="s">
        <v>5290</v>
      </c>
      <c r="T1458" t="s">
        <v>7662</v>
      </c>
      <c r="U1458" t="s">
        <v>7662</v>
      </c>
      <c r="V1458" t="s">
        <v>7662</v>
      </c>
      <c r="W1458">
        <v>7</v>
      </c>
      <c r="X1458" t="s">
        <v>9120</v>
      </c>
      <c r="Y1458">
        <v>0.49259639529275678</v>
      </c>
      <c r="Z1458" t="str">
        <f>HYPERLINK("Melting_Curves/meltCurve_sp_Q12959_5_DLG1_HUMAN_.pdf", "Melting_Curves/meltCurve_sp_Q12959_5_DLG1_HUMAN_.pdf")</f>
        <v>Melting_Curves/meltCurve_sp_Q12959_5_DLG1_HUMAN_.pdf</v>
      </c>
      <c r="AA1458" t="s">
        <v>12928</v>
      </c>
      <c r="AB1458" t="s">
        <v>16698</v>
      </c>
    </row>
    <row r="1459" spans="1:28" x14ac:dyDescent="0.25">
      <c r="A1459" t="s">
        <v>1463</v>
      </c>
      <c r="B1459">
        <v>0.98876768158843997</v>
      </c>
      <c r="C1459">
        <v>0.85448119981045201</v>
      </c>
      <c r="D1459">
        <v>0.89430359129665804</v>
      </c>
      <c r="E1459">
        <v>0.50880400474043597</v>
      </c>
      <c r="F1459">
        <v>0.34723057805823199</v>
      </c>
      <c r="G1459">
        <v>0.22927151358981199</v>
      </c>
      <c r="H1459">
        <v>0.14588986570302401</v>
      </c>
      <c r="I1459">
        <v>0.14821750298823499</v>
      </c>
      <c r="J1459">
        <v>0.15858275803053701</v>
      </c>
      <c r="K1459">
        <v>0.199139280093138</v>
      </c>
      <c r="L1459">
        <v>929.92689533186297</v>
      </c>
      <c r="M1459">
        <v>18.814997744012398</v>
      </c>
      <c r="N1459">
        <v>50.415654856367802</v>
      </c>
      <c r="O1459">
        <v>48.876596003216001</v>
      </c>
      <c r="P1459">
        <v>-8.1366039928568307E-2</v>
      </c>
      <c r="Q1459">
        <v>0.15456161253018399</v>
      </c>
      <c r="R1459">
        <v>0.98329886683978496</v>
      </c>
      <c r="S1459" t="s">
        <v>5291</v>
      </c>
      <c r="T1459" t="s">
        <v>7662</v>
      </c>
      <c r="U1459" t="s">
        <v>7662</v>
      </c>
      <c r="V1459" t="s">
        <v>7662</v>
      </c>
      <c r="W1459">
        <v>9</v>
      </c>
      <c r="X1459" t="s">
        <v>9121</v>
      </c>
      <c r="Y1459">
        <v>0.43348955654093552</v>
      </c>
      <c r="Z1459" t="str">
        <f>HYPERLINK("Melting_Curves/meltCurve_sp_Q12965_MYO1E_HUMAN_.pdf", "Melting_Curves/meltCurve_sp_Q12965_MYO1E_HUMAN_.pdf")</f>
        <v>Melting_Curves/meltCurve_sp_Q12965_MYO1E_HUMAN_.pdf</v>
      </c>
      <c r="AA1459" t="s">
        <v>12929</v>
      </c>
      <c r="AB1459" t="s">
        <v>16699</v>
      </c>
    </row>
    <row r="1460" spans="1:28" x14ac:dyDescent="0.25">
      <c r="A1460" t="s">
        <v>1464</v>
      </c>
      <c r="B1460">
        <v>0.98876768158843997</v>
      </c>
      <c r="C1460">
        <v>1.0003536297906099</v>
      </c>
      <c r="D1460">
        <v>0.90882441216929299</v>
      </c>
      <c r="E1460">
        <v>0.65967262606001298</v>
      </c>
      <c r="F1460">
        <v>0.42964712214063</v>
      </c>
      <c r="G1460">
        <v>0.19281494353349499</v>
      </c>
      <c r="H1460">
        <v>0.114100721652915</v>
      </c>
      <c r="I1460">
        <v>0.10788785342070401</v>
      </c>
      <c r="J1460">
        <v>0.116299239877622</v>
      </c>
      <c r="K1460">
        <v>0.12031840764245499</v>
      </c>
      <c r="L1460">
        <v>1033.3221661057601</v>
      </c>
      <c r="M1460">
        <v>20.1318435236219</v>
      </c>
      <c r="N1460">
        <v>51.891770255414798</v>
      </c>
      <c r="O1460">
        <v>50.829345299184702</v>
      </c>
      <c r="P1460">
        <v>-8.9289511976942695E-2</v>
      </c>
      <c r="Q1460">
        <v>9.8267629006724894E-2</v>
      </c>
      <c r="R1460">
        <v>0.99858569711654299</v>
      </c>
      <c r="S1460" t="s">
        <v>5292</v>
      </c>
      <c r="T1460" t="s">
        <v>7662</v>
      </c>
      <c r="U1460" t="s">
        <v>7662</v>
      </c>
      <c r="V1460" t="s">
        <v>7662</v>
      </c>
      <c r="W1460">
        <v>5</v>
      </c>
      <c r="X1460" t="s">
        <v>9122</v>
      </c>
      <c r="Y1460">
        <v>0.45111014873665078</v>
      </c>
      <c r="Z1460" t="str">
        <f>HYPERLINK("Melting_Curves/meltCurve_sp_Q12972_PP1R8_HUMAN_.pdf", "Melting_Curves/meltCurve_sp_Q12972_PP1R8_HUMAN_.pdf")</f>
        <v>Melting_Curves/meltCurve_sp_Q12972_PP1R8_HUMAN_.pdf</v>
      </c>
      <c r="AA1460" t="s">
        <v>12930</v>
      </c>
      <c r="AB1460" t="s">
        <v>16700</v>
      </c>
    </row>
    <row r="1461" spans="1:28" x14ac:dyDescent="0.25">
      <c r="A1461" t="s">
        <v>1465</v>
      </c>
      <c r="B1461">
        <v>0.98876768158843997</v>
      </c>
      <c r="C1461">
        <v>1.11010258184985</v>
      </c>
      <c r="D1461">
        <v>0.80107406652008195</v>
      </c>
      <c r="E1461">
        <v>0.64858909979181401</v>
      </c>
      <c r="F1461">
        <v>0.82627100113766805</v>
      </c>
      <c r="G1461">
        <v>0.5077626941151</v>
      </c>
      <c r="H1461">
        <v>0.27873560084673299</v>
      </c>
      <c r="I1461">
        <v>0.207216317784464</v>
      </c>
      <c r="J1461">
        <v>0.133278150292237</v>
      </c>
      <c r="K1461">
        <v>0.12720854033005299</v>
      </c>
      <c r="L1461">
        <v>595.03919142878203</v>
      </c>
      <c r="M1461">
        <v>10.526248184570999</v>
      </c>
      <c r="N1461">
        <v>56.529088230231601</v>
      </c>
      <c r="O1461">
        <v>54.603218026893799</v>
      </c>
      <c r="P1461">
        <v>-4.8213523890529297E-2</v>
      </c>
      <c r="Q1461">
        <v>0</v>
      </c>
      <c r="R1461">
        <v>0.92893219566580798</v>
      </c>
      <c r="S1461" t="s">
        <v>5293</v>
      </c>
      <c r="T1461" t="s">
        <v>7662</v>
      </c>
      <c r="U1461" t="s">
        <v>7662</v>
      </c>
      <c r="V1461" t="s">
        <v>7662</v>
      </c>
      <c r="W1461">
        <v>1</v>
      </c>
      <c r="X1461" t="s">
        <v>9123</v>
      </c>
      <c r="Y1461">
        <v>0.56956871564835287</v>
      </c>
      <c r="Z1461" t="str">
        <f>HYPERLINK("Melting_Curves/meltCurve_sp_Q12974_TP4A2_HUMAN_.pdf", "Melting_Curves/meltCurve_sp_Q12974_TP4A2_HUMAN_.pdf")</f>
        <v>Melting_Curves/meltCurve_sp_Q12974_TP4A2_HUMAN_.pdf</v>
      </c>
      <c r="AA1461" t="s">
        <v>12931</v>
      </c>
      <c r="AB1461" t="s">
        <v>16701</v>
      </c>
    </row>
    <row r="1462" spans="1:28" x14ac:dyDescent="0.25">
      <c r="A1462" t="s">
        <v>1466</v>
      </c>
      <c r="B1462">
        <v>0.98876768158843997</v>
      </c>
      <c r="C1462">
        <v>0.90420418844086703</v>
      </c>
      <c r="D1462">
        <v>0.84526751915838705</v>
      </c>
      <c r="E1462">
        <v>0.59195716002186305</v>
      </c>
      <c r="F1462">
        <v>0.32627742240781099</v>
      </c>
      <c r="G1462">
        <v>0.14176583889268701</v>
      </c>
      <c r="H1462">
        <v>6.7931385844994099E-2</v>
      </c>
      <c r="I1462">
        <v>7.0470458918771101E-2</v>
      </c>
      <c r="J1462">
        <v>9.0888122591090595E-2</v>
      </c>
      <c r="K1462">
        <v>5.5148428073508303E-2</v>
      </c>
      <c r="L1462">
        <v>873.75809143909703</v>
      </c>
      <c r="M1462">
        <v>17.313120925994799</v>
      </c>
      <c r="N1462">
        <v>50.747754718062097</v>
      </c>
      <c r="O1462">
        <v>49.809099401115297</v>
      </c>
      <c r="P1462">
        <v>-8.2946714091588505E-2</v>
      </c>
      <c r="Q1462">
        <v>4.5518536237613899E-2</v>
      </c>
      <c r="R1462">
        <v>0.99567417772322298</v>
      </c>
      <c r="S1462" t="s">
        <v>5294</v>
      </c>
      <c r="T1462" t="s">
        <v>7662</v>
      </c>
      <c r="U1462" t="s">
        <v>7662</v>
      </c>
      <c r="V1462" t="s">
        <v>7662</v>
      </c>
      <c r="W1462">
        <v>2</v>
      </c>
      <c r="X1462" t="s">
        <v>9124</v>
      </c>
      <c r="Y1462">
        <v>0.39595308971890042</v>
      </c>
      <c r="Z1462" t="str">
        <f>HYPERLINK("Melting_Curves/meltCurve_sp_Q12986_2_NFX1_HUMAN_.pdf", "Melting_Curves/meltCurve_sp_Q12986_2_NFX1_HUMAN_.pdf")</f>
        <v>Melting_Curves/meltCurve_sp_Q12986_2_NFX1_HUMAN_.pdf</v>
      </c>
      <c r="AA1462" t="s">
        <v>12932</v>
      </c>
      <c r="AB1462" t="s">
        <v>16702</v>
      </c>
    </row>
    <row r="1463" spans="1:28" x14ac:dyDescent="0.25">
      <c r="A1463" t="s">
        <v>1467</v>
      </c>
      <c r="B1463">
        <v>0.98876768158843997</v>
      </c>
      <c r="C1463">
        <v>0.84573476545660597</v>
      </c>
      <c r="D1463">
        <v>1.04950321361362</v>
      </c>
      <c r="E1463">
        <v>0.70997036417588499</v>
      </c>
      <c r="F1463">
        <v>0.192665859888621</v>
      </c>
      <c r="G1463">
        <v>0.10347832870396401</v>
      </c>
      <c r="H1463">
        <v>6.7374628964829805E-2</v>
      </c>
      <c r="I1463">
        <v>5.7335371698395698E-2</v>
      </c>
      <c r="J1463">
        <v>6.1068745664416502E-2</v>
      </c>
      <c r="K1463">
        <v>6.2253576546059203E-2</v>
      </c>
      <c r="L1463">
        <v>2382.25696346121</v>
      </c>
      <c r="M1463">
        <v>46.836175400667599</v>
      </c>
      <c r="N1463">
        <v>51.025554599831302</v>
      </c>
      <c r="O1463">
        <v>50.771143052898502</v>
      </c>
      <c r="P1463">
        <v>-0.214696545857958</v>
      </c>
      <c r="Q1463">
        <v>6.9063439609341207E-2</v>
      </c>
      <c r="R1463">
        <v>0.98296802696237795</v>
      </c>
      <c r="S1463" t="s">
        <v>5295</v>
      </c>
      <c r="T1463" t="s">
        <v>7662</v>
      </c>
      <c r="U1463" t="s">
        <v>7662</v>
      </c>
      <c r="V1463" t="s">
        <v>7662</v>
      </c>
      <c r="W1463">
        <v>2</v>
      </c>
      <c r="X1463" t="s">
        <v>9125</v>
      </c>
      <c r="Y1463">
        <v>0.40855662902427747</v>
      </c>
      <c r="Z1463" t="str">
        <f>HYPERLINK("Melting_Curves/meltCurve_sp_Q12996_CSTF3_HUMAN_.pdf", "Melting_Curves/meltCurve_sp_Q12996_CSTF3_HUMAN_.pdf")</f>
        <v>Melting_Curves/meltCurve_sp_Q12996_CSTF3_HUMAN_.pdf</v>
      </c>
      <c r="AA1463" t="s">
        <v>12933</v>
      </c>
      <c r="AB1463" t="s">
        <v>16703</v>
      </c>
    </row>
    <row r="1464" spans="1:28" x14ac:dyDescent="0.25">
      <c r="A1464" t="s">
        <v>1468</v>
      </c>
      <c r="B1464">
        <v>0.98876768158843997</v>
      </c>
      <c r="C1464">
        <v>0.96755823067348301</v>
      </c>
      <c r="D1464">
        <v>1.1416565842877699</v>
      </c>
      <c r="E1464">
        <v>1.1444106875670099</v>
      </c>
      <c r="F1464">
        <v>0.49289167008090001</v>
      </c>
      <c r="G1464">
        <v>0.105470628420695</v>
      </c>
      <c r="H1464">
        <v>4.4376115863138402E-2</v>
      </c>
      <c r="I1464">
        <v>3.1192558091470101E-2</v>
      </c>
      <c r="J1464">
        <v>3.3976743757266399E-2</v>
      </c>
      <c r="K1464">
        <v>2.6706733865593999E-2</v>
      </c>
      <c r="L1464">
        <v>13243.0216149839</v>
      </c>
      <c r="M1464">
        <v>250</v>
      </c>
      <c r="N1464">
        <v>52.9936422050204</v>
      </c>
      <c r="O1464">
        <v>52.968706567410599</v>
      </c>
      <c r="P1464">
        <v>-1.1228984288869699</v>
      </c>
      <c r="Q1464">
        <v>4.8344541552700702E-2</v>
      </c>
      <c r="R1464">
        <v>0.97992476901344705</v>
      </c>
      <c r="S1464" t="s">
        <v>5296</v>
      </c>
      <c r="T1464" t="s">
        <v>7662</v>
      </c>
      <c r="U1464" t="s">
        <v>7662</v>
      </c>
      <c r="V1464" t="s">
        <v>7662</v>
      </c>
      <c r="W1464">
        <v>15</v>
      </c>
      <c r="X1464" t="s">
        <v>9126</v>
      </c>
      <c r="Y1464">
        <v>0.45993157528225048</v>
      </c>
      <c r="Z1464" t="str">
        <f>HYPERLINK("Melting_Curves/meltCurve_sp_Q13011_ECH1_HUMAN_.pdf", "Melting_Curves/meltCurve_sp_Q13011_ECH1_HUMAN_.pdf")</f>
        <v>Melting_Curves/meltCurve_sp_Q13011_ECH1_HUMAN_.pdf</v>
      </c>
      <c r="AA1464" t="s">
        <v>12934</v>
      </c>
      <c r="AB1464" t="s">
        <v>16704</v>
      </c>
    </row>
    <row r="1465" spans="1:28" x14ac:dyDescent="0.25">
      <c r="A1465" t="s">
        <v>1469</v>
      </c>
      <c r="B1465">
        <v>0.98876768158843997</v>
      </c>
      <c r="C1465">
        <v>0.738261271984333</v>
      </c>
      <c r="D1465">
        <v>0.90531509532993504</v>
      </c>
      <c r="E1465">
        <v>0.50284578734277197</v>
      </c>
      <c r="F1465">
        <v>0.14548783639333801</v>
      </c>
      <c r="G1465">
        <v>8.7231195382638405E-2</v>
      </c>
      <c r="H1465">
        <v>2.9237991250548E-2</v>
      </c>
      <c r="I1465">
        <v>2.80812111588002E-2</v>
      </c>
      <c r="J1465">
        <v>0</v>
      </c>
      <c r="K1465">
        <v>1.6789169030582501E-2</v>
      </c>
      <c r="L1465">
        <v>1008.9886176033</v>
      </c>
      <c r="M1465">
        <v>20.330575028640599</v>
      </c>
      <c r="N1465">
        <v>49.648381302483401</v>
      </c>
      <c r="O1465">
        <v>49.156432099098801</v>
      </c>
      <c r="P1465">
        <v>-0.10299476768645199</v>
      </c>
      <c r="Q1465">
        <v>3.92345014624426E-3</v>
      </c>
      <c r="R1465">
        <v>0.95692310274193904</v>
      </c>
      <c r="S1465" t="s">
        <v>5297</v>
      </c>
      <c r="T1465" t="s">
        <v>7662</v>
      </c>
      <c r="U1465" t="s">
        <v>7662</v>
      </c>
      <c r="V1465" t="s">
        <v>7662</v>
      </c>
      <c r="W1465">
        <v>2</v>
      </c>
      <c r="X1465" t="s">
        <v>9127</v>
      </c>
      <c r="Y1465">
        <v>0.33708055212384608</v>
      </c>
      <c r="Z1465" t="str">
        <f>HYPERLINK("Melting_Curves/meltCurve_sp_Q13017_2_RHG05_HUMAN_.pdf", "Melting_Curves/meltCurve_sp_Q13017_2_RHG05_HUMAN_.pdf")</f>
        <v>Melting_Curves/meltCurve_sp_Q13017_2_RHG05_HUMAN_.pdf</v>
      </c>
      <c r="AA1465" t="s">
        <v>12935</v>
      </c>
      <c r="AB1465" t="s">
        <v>16705</v>
      </c>
    </row>
    <row r="1466" spans="1:28" x14ac:dyDescent="0.25">
      <c r="A1466" t="s">
        <v>1470</v>
      </c>
      <c r="B1466">
        <v>0.98876768158843997</v>
      </c>
      <c r="C1466">
        <v>0.91336337332369899</v>
      </c>
      <c r="D1466">
        <v>0.89133769707571098</v>
      </c>
      <c r="E1466">
        <v>0.72181801034889703</v>
      </c>
      <c r="F1466">
        <v>0.61065667493957099</v>
      </c>
      <c r="G1466">
        <v>0.33000584380482001</v>
      </c>
      <c r="H1466">
        <v>0.146481151758109</v>
      </c>
      <c r="I1466">
        <v>7.1668789545109995E-2</v>
      </c>
      <c r="J1466">
        <v>5.1842536752079102E-2</v>
      </c>
      <c r="K1466">
        <v>3.4208293194500597E-2</v>
      </c>
      <c r="L1466">
        <v>743.03819503570503</v>
      </c>
      <c r="M1466">
        <v>13.783450314783</v>
      </c>
      <c r="N1466">
        <v>53.907997414407397</v>
      </c>
      <c r="O1466">
        <v>52.811277752044802</v>
      </c>
      <c r="P1466">
        <v>-6.5257788490222804E-2</v>
      </c>
      <c r="Q1466">
        <v>0</v>
      </c>
      <c r="R1466">
        <v>0.99355798481814595</v>
      </c>
      <c r="S1466" t="s">
        <v>5298</v>
      </c>
      <c r="T1466" t="s">
        <v>7662</v>
      </c>
      <c r="U1466" t="s">
        <v>7662</v>
      </c>
      <c r="V1466" t="s">
        <v>7662</v>
      </c>
      <c r="W1466">
        <v>6</v>
      </c>
      <c r="X1466" t="s">
        <v>9128</v>
      </c>
      <c r="Y1466">
        <v>0.48641234771293101</v>
      </c>
      <c r="Z1466" t="str">
        <f>HYPERLINK("Melting_Curves/meltCurve_sp_Q13033_2_STRN3_HUMAN_.pdf", "Melting_Curves/meltCurve_sp_Q13033_2_STRN3_HUMAN_.pdf")</f>
        <v>Melting_Curves/meltCurve_sp_Q13033_2_STRN3_HUMAN_.pdf</v>
      </c>
      <c r="AA1466" t="s">
        <v>12936</v>
      </c>
      <c r="AB1466" t="s">
        <v>16706</v>
      </c>
    </row>
    <row r="1467" spans="1:28" x14ac:dyDescent="0.25">
      <c r="A1467" t="s">
        <v>1471</v>
      </c>
      <c r="B1467">
        <v>0.98876768158843997</v>
      </c>
      <c r="C1467">
        <v>0.840759317090362</v>
      </c>
      <c r="D1467">
        <v>0.87828450054707996</v>
      </c>
      <c r="E1467">
        <v>0.295276212158471</v>
      </c>
      <c r="F1467">
        <v>0.144880051075822</v>
      </c>
      <c r="G1467">
        <v>7.2697192039610795E-2</v>
      </c>
      <c r="H1467">
        <v>4.1826627017583898E-2</v>
      </c>
      <c r="I1467">
        <v>4.3067819657490798E-2</v>
      </c>
      <c r="J1467">
        <v>4.5079809109973799E-2</v>
      </c>
      <c r="K1467">
        <v>3.87654417263524E-2</v>
      </c>
      <c r="L1467">
        <v>1374.9187413425</v>
      </c>
      <c r="M1467">
        <v>28.3821506830038</v>
      </c>
      <c r="N1467">
        <v>48.607939017376403</v>
      </c>
      <c r="O1467">
        <v>48.204504750370504</v>
      </c>
      <c r="P1467">
        <v>-0.14044330479426501</v>
      </c>
      <c r="Q1467">
        <v>4.5887013782413902E-2</v>
      </c>
      <c r="R1467">
        <v>0.98407040605171103</v>
      </c>
      <c r="S1467" t="s">
        <v>5299</v>
      </c>
      <c r="T1467" t="s">
        <v>7662</v>
      </c>
      <c r="U1467" t="s">
        <v>7662</v>
      </c>
      <c r="V1467" t="s">
        <v>7662</v>
      </c>
      <c r="W1467">
        <v>11</v>
      </c>
      <c r="X1467" t="s">
        <v>9129</v>
      </c>
      <c r="Y1467">
        <v>0.32088044615750899</v>
      </c>
      <c r="Z1467" t="str">
        <f>HYPERLINK("Melting_Curves/meltCurve_sp_Q13045_2_FLII_HUMAN_.pdf", "Melting_Curves/meltCurve_sp_Q13045_2_FLII_HUMAN_.pdf")</f>
        <v>Melting_Curves/meltCurve_sp_Q13045_2_FLII_HUMAN_.pdf</v>
      </c>
      <c r="AA1467" t="s">
        <v>12937</v>
      </c>
      <c r="AB1467" t="s">
        <v>16707</v>
      </c>
    </row>
    <row r="1468" spans="1:28" x14ac:dyDescent="0.25">
      <c r="A1468" t="s">
        <v>1472</v>
      </c>
      <c r="B1468">
        <v>0.98876768158843997</v>
      </c>
      <c r="C1468">
        <v>0.85015134150015503</v>
      </c>
      <c r="D1468">
        <v>0.90359543076910398</v>
      </c>
      <c r="E1468">
        <v>0.27869545216220898</v>
      </c>
      <c r="F1468">
        <v>0.19467235884037501</v>
      </c>
      <c r="G1468">
        <v>0.12999882143356301</v>
      </c>
      <c r="H1468">
        <v>0.109050354042373</v>
      </c>
      <c r="I1468">
        <v>0.119487266539097</v>
      </c>
      <c r="J1468">
        <v>0.108040093365465</v>
      </c>
      <c r="K1468">
        <v>9.1785913523661999E-2</v>
      </c>
      <c r="L1468">
        <v>1790.2967314028199</v>
      </c>
      <c r="M1468">
        <v>37.132422077662497</v>
      </c>
      <c r="N1468">
        <v>48.562755853901699</v>
      </c>
      <c r="O1468">
        <v>48.074644384949501</v>
      </c>
      <c r="P1468">
        <v>-0.17049008089468401</v>
      </c>
      <c r="Q1468">
        <v>0.11708133091483799</v>
      </c>
      <c r="R1468">
        <v>0.98059742988547904</v>
      </c>
      <c r="S1468" t="s">
        <v>5300</v>
      </c>
      <c r="T1468" t="s">
        <v>7662</v>
      </c>
      <c r="U1468" t="s">
        <v>7662</v>
      </c>
      <c r="V1468" t="s">
        <v>7662</v>
      </c>
      <c r="W1468">
        <v>11</v>
      </c>
      <c r="X1468" t="s">
        <v>9130</v>
      </c>
      <c r="Y1468">
        <v>0.36225165848742352</v>
      </c>
      <c r="Z1468" t="str">
        <f>HYPERLINK("Melting_Curves/meltCurve_sp_Q13045_FLII_HUMAN_.pdf", "Melting_Curves/meltCurve_sp_Q13045_FLII_HUMAN_.pdf")</f>
        <v>Melting_Curves/meltCurve_sp_Q13045_FLII_HUMAN_.pdf</v>
      </c>
      <c r="AA1468" t="s">
        <v>12937</v>
      </c>
      <c r="AB1468" t="s">
        <v>16708</v>
      </c>
    </row>
    <row r="1469" spans="1:28" x14ac:dyDescent="0.25">
      <c r="A1469" t="s">
        <v>1473</v>
      </c>
      <c r="B1469">
        <v>0.98876768158843997</v>
      </c>
      <c r="C1469">
        <v>0.75993628269378899</v>
      </c>
      <c r="D1469">
        <v>0.299071865671592</v>
      </c>
      <c r="E1469">
        <v>0.118467015977509</v>
      </c>
      <c r="F1469">
        <v>6.7814291250423403E-2</v>
      </c>
      <c r="G1469">
        <v>4.2555269752654903E-2</v>
      </c>
      <c r="H1469">
        <v>2.8431052686315701E-2</v>
      </c>
      <c r="I1469">
        <v>2.315448397116E-2</v>
      </c>
      <c r="J1469">
        <v>3.1271034919938802E-2</v>
      </c>
      <c r="K1469">
        <v>3.2741420247538497E-2</v>
      </c>
      <c r="L1469">
        <v>1285.18390536984</v>
      </c>
      <c r="M1469">
        <v>28.865832978412801</v>
      </c>
      <c r="N1469">
        <v>44.653303413985903</v>
      </c>
      <c r="O1469">
        <v>44.310628896899999</v>
      </c>
      <c r="P1469">
        <v>-0.15626665678648</v>
      </c>
      <c r="Q1469">
        <v>4.0495900120134001E-2</v>
      </c>
      <c r="R1469">
        <v>0.99706780774276405</v>
      </c>
      <c r="S1469" t="s">
        <v>5301</v>
      </c>
      <c r="T1469" t="s">
        <v>7662</v>
      </c>
      <c r="U1469" t="s">
        <v>7662</v>
      </c>
      <c r="V1469" t="s">
        <v>7662</v>
      </c>
      <c r="W1469">
        <v>11</v>
      </c>
      <c r="X1469" t="s">
        <v>9131</v>
      </c>
      <c r="Y1469">
        <v>0.19227044636183829</v>
      </c>
      <c r="Z1469" t="str">
        <f>HYPERLINK("Melting_Curves/meltCurve_sp_Q13057_COASY_HUMAN_.pdf", "Melting_Curves/meltCurve_sp_Q13057_COASY_HUMAN_.pdf")</f>
        <v>Melting_Curves/meltCurve_sp_Q13057_COASY_HUMAN_.pdf</v>
      </c>
      <c r="AA1469" t="s">
        <v>12938</v>
      </c>
      <c r="AB1469" t="s">
        <v>16709</v>
      </c>
    </row>
    <row r="1470" spans="1:28" x14ac:dyDescent="0.25">
      <c r="A1470" t="s">
        <v>1474</v>
      </c>
      <c r="B1470">
        <v>0.98876768158843997</v>
      </c>
      <c r="C1470">
        <v>0.89818272708728597</v>
      </c>
      <c r="D1470">
        <v>0.85962832734084604</v>
      </c>
      <c r="E1470">
        <v>0.28880271986684403</v>
      </c>
      <c r="F1470">
        <v>0.170372393639034</v>
      </c>
      <c r="G1470">
        <v>0.10075709464584</v>
      </c>
      <c r="H1470">
        <v>6.1897825941833601E-2</v>
      </c>
      <c r="I1470">
        <v>5.51153416905368E-2</v>
      </c>
      <c r="J1470">
        <v>6.1339716282942901E-2</v>
      </c>
      <c r="K1470">
        <v>5.4673231986828302E-2</v>
      </c>
      <c r="L1470">
        <v>1400.7592151128599</v>
      </c>
      <c r="M1470">
        <v>28.9991591197989</v>
      </c>
      <c r="N1470">
        <v>48.544342499453201</v>
      </c>
      <c r="O1470">
        <v>48.075495604016503</v>
      </c>
      <c r="P1470">
        <v>-0.140695129886035</v>
      </c>
      <c r="Q1470">
        <v>6.7016113303806996E-2</v>
      </c>
      <c r="R1470">
        <v>0.99227981142367805</v>
      </c>
      <c r="S1470" t="s">
        <v>5302</v>
      </c>
      <c r="T1470" t="s">
        <v>7662</v>
      </c>
      <c r="U1470" t="s">
        <v>7662</v>
      </c>
      <c r="V1470" t="s">
        <v>7662</v>
      </c>
      <c r="W1470">
        <v>25</v>
      </c>
      <c r="X1470" t="s">
        <v>9132</v>
      </c>
      <c r="Y1470">
        <v>0.33129237462471361</v>
      </c>
      <c r="Z1470" t="str">
        <f>HYPERLINK("Melting_Curves/meltCurve_sp_Q13085_3_ACACA_HUMAN_.pdf", "Melting_Curves/meltCurve_sp_Q13085_3_ACACA_HUMAN_.pdf")</f>
        <v>Melting_Curves/meltCurve_sp_Q13085_3_ACACA_HUMAN_.pdf</v>
      </c>
      <c r="AA1470" t="s">
        <v>12939</v>
      </c>
      <c r="AB1470" t="s">
        <v>16710</v>
      </c>
    </row>
    <row r="1471" spans="1:28" x14ac:dyDescent="0.25">
      <c r="A1471" t="s">
        <v>1475</v>
      </c>
      <c r="B1471">
        <v>0.98876768158843997</v>
      </c>
      <c r="C1471">
        <v>0.83445834532128005</v>
      </c>
      <c r="D1471">
        <v>0.79695959013281903</v>
      </c>
      <c r="E1471">
        <v>0.25758517273127202</v>
      </c>
      <c r="F1471">
        <v>0.179423401510967</v>
      </c>
      <c r="G1471">
        <v>9.5174086047657397E-2</v>
      </c>
      <c r="H1471">
        <v>5.0583391711117198E-2</v>
      </c>
      <c r="I1471">
        <v>5.0568733984057201E-2</v>
      </c>
      <c r="J1471">
        <v>3.2929702702496802E-2</v>
      </c>
      <c r="K1471">
        <v>3.7578049920363697E-2</v>
      </c>
      <c r="L1471">
        <v>1044.8830707854199</v>
      </c>
      <c r="M1471">
        <v>21.814419236360301</v>
      </c>
      <c r="N1471">
        <v>48.103051558957397</v>
      </c>
      <c r="O1471">
        <v>47.501651002812501</v>
      </c>
      <c r="P1471">
        <v>-0.109731190997332</v>
      </c>
      <c r="Q1471">
        <v>4.4247974824218203E-2</v>
      </c>
      <c r="R1471">
        <v>0.98500373978295397</v>
      </c>
      <c r="S1471" t="s">
        <v>5303</v>
      </c>
      <c r="T1471" t="s">
        <v>7662</v>
      </c>
      <c r="U1471" t="s">
        <v>7662</v>
      </c>
      <c r="V1471" t="s">
        <v>7662</v>
      </c>
      <c r="W1471">
        <v>1</v>
      </c>
      <c r="X1471" t="s">
        <v>9133</v>
      </c>
      <c r="Y1471">
        <v>0.30719687996102318</v>
      </c>
      <c r="Z1471" t="str">
        <f>HYPERLINK("Melting_Curves/meltCurve_sp_Q13107_2_UBP4_HUMAN_.pdf", "Melting_Curves/meltCurve_sp_Q13107_2_UBP4_HUMAN_.pdf")</f>
        <v>Melting_Curves/meltCurve_sp_Q13107_2_UBP4_HUMAN_.pdf</v>
      </c>
      <c r="AA1471" t="s">
        <v>12940</v>
      </c>
      <c r="AB1471" t="s">
        <v>16711</v>
      </c>
    </row>
    <row r="1472" spans="1:28" x14ac:dyDescent="0.25">
      <c r="A1472" t="s">
        <v>1476</v>
      </c>
      <c r="B1472">
        <v>0.98876768158843997</v>
      </c>
      <c r="C1472">
        <v>1.14396419460127</v>
      </c>
      <c r="D1472">
        <v>0.92111351163907995</v>
      </c>
      <c r="E1472">
        <v>0.77121814650111598</v>
      </c>
      <c r="F1472">
        <v>0.73148487462606304</v>
      </c>
      <c r="G1472">
        <v>0.61074301020375299</v>
      </c>
      <c r="H1472">
        <v>0.45923825084494801</v>
      </c>
      <c r="I1472">
        <v>0.54934923157993698</v>
      </c>
      <c r="J1472">
        <v>0.59009563817093902</v>
      </c>
      <c r="K1472">
        <v>0.80100505904639197</v>
      </c>
      <c r="L1472">
        <v>1242.03039982325</v>
      </c>
      <c r="M1472">
        <v>24.9364930130792</v>
      </c>
      <c r="O1472">
        <v>49.490746227556102</v>
      </c>
      <c r="P1472">
        <v>-4.9829818557892799E-2</v>
      </c>
      <c r="Q1472">
        <v>0.60442215073615202</v>
      </c>
      <c r="R1472">
        <v>0.77814405633578398</v>
      </c>
      <c r="S1472" t="s">
        <v>5304</v>
      </c>
      <c r="T1472" t="s">
        <v>7662</v>
      </c>
      <c r="U1472" t="s">
        <v>7662</v>
      </c>
      <c r="V1472" t="s">
        <v>7662</v>
      </c>
      <c r="W1472">
        <v>4</v>
      </c>
      <c r="X1472" t="s">
        <v>9134</v>
      </c>
      <c r="Y1472">
        <v>0.73729334124097823</v>
      </c>
      <c r="Z1472" t="str">
        <f>HYPERLINK("Melting_Curves/meltCurve_sp_Q13123_RED_HUMAN_.pdf", "Melting_Curves/meltCurve_sp_Q13123_RED_HUMAN_.pdf")</f>
        <v>Melting_Curves/meltCurve_sp_Q13123_RED_HUMAN_.pdf</v>
      </c>
      <c r="AA1472" t="s">
        <v>12941</v>
      </c>
      <c r="AB1472" t="s">
        <v>16712</v>
      </c>
    </row>
    <row r="1473" spans="1:28" x14ac:dyDescent="0.25">
      <c r="A1473" t="s">
        <v>1477</v>
      </c>
      <c r="B1473">
        <v>0.98876768158843997</v>
      </c>
      <c r="C1473">
        <v>0.95814483121373295</v>
      </c>
      <c r="D1473">
        <v>0.94464123159314495</v>
      </c>
      <c r="E1473">
        <v>0.92962174150143795</v>
      </c>
      <c r="F1473">
        <v>0.89767218762673395</v>
      </c>
      <c r="G1473">
        <v>0.67045050752187196</v>
      </c>
      <c r="H1473">
        <v>0.61191778265948005</v>
      </c>
      <c r="I1473">
        <v>0.67283485850631297</v>
      </c>
      <c r="J1473">
        <v>0.80032484237634804</v>
      </c>
      <c r="K1473">
        <v>0.83856011562796096</v>
      </c>
      <c r="L1473">
        <v>4672.5134596646103</v>
      </c>
      <c r="M1473">
        <v>87.626567095714293</v>
      </c>
      <c r="O1473">
        <v>53.295270204013001</v>
      </c>
      <c r="P1473">
        <v>-0.11561259787070099</v>
      </c>
      <c r="Q1473">
        <v>0.71873352318640105</v>
      </c>
      <c r="R1473">
        <v>0.721654181882176</v>
      </c>
      <c r="S1473" t="s">
        <v>5305</v>
      </c>
      <c r="T1473" t="s">
        <v>7662</v>
      </c>
      <c r="U1473" t="s">
        <v>7662</v>
      </c>
      <c r="V1473" t="s">
        <v>7662</v>
      </c>
      <c r="W1473">
        <v>13</v>
      </c>
      <c r="X1473" t="s">
        <v>9135</v>
      </c>
      <c r="Y1473">
        <v>0.84385876841531371</v>
      </c>
      <c r="Z1473" t="str">
        <f>HYPERLINK("Melting_Curves/meltCurve_sp_Q13126_MTAP_HUMAN_.pdf", "Melting_Curves/meltCurve_sp_Q13126_MTAP_HUMAN_.pdf")</f>
        <v>Melting_Curves/meltCurve_sp_Q13126_MTAP_HUMAN_.pdf</v>
      </c>
      <c r="AA1473" t="s">
        <v>12942</v>
      </c>
      <c r="AB1473" t="s">
        <v>16713</v>
      </c>
    </row>
    <row r="1474" spans="1:28" x14ac:dyDescent="0.25">
      <c r="A1474" t="s">
        <v>1478</v>
      </c>
      <c r="B1474">
        <v>0.98876768158843997</v>
      </c>
      <c r="C1474">
        <v>0.89408498703769002</v>
      </c>
      <c r="D1474">
        <v>0.88988220642992599</v>
      </c>
      <c r="E1474">
        <v>0.63736654765601197</v>
      </c>
      <c r="F1474">
        <v>0.282812929931815</v>
      </c>
      <c r="G1474">
        <v>0.111887991715302</v>
      </c>
      <c r="H1474">
        <v>6.1172865220418898E-2</v>
      </c>
      <c r="I1474">
        <v>6.1928761787059902E-2</v>
      </c>
      <c r="J1474">
        <v>6.3639042031140194E-2</v>
      </c>
      <c r="K1474">
        <v>5.4100904353435897E-2</v>
      </c>
      <c r="L1474">
        <v>1124.47896351651</v>
      </c>
      <c r="M1474">
        <v>22.1756625835528</v>
      </c>
      <c r="N1474">
        <v>50.9323966189638</v>
      </c>
      <c r="O1474">
        <v>50.3008167835983</v>
      </c>
      <c r="P1474">
        <v>-0.10508358525585</v>
      </c>
      <c r="Q1474">
        <v>4.6580292599433699E-2</v>
      </c>
      <c r="R1474">
        <v>0.99221202407983999</v>
      </c>
      <c r="S1474" t="s">
        <v>5306</v>
      </c>
      <c r="T1474" t="s">
        <v>7662</v>
      </c>
      <c r="U1474" t="s">
        <v>7662</v>
      </c>
      <c r="V1474" t="s">
        <v>7662</v>
      </c>
      <c r="W1474">
        <v>12</v>
      </c>
      <c r="X1474" t="s">
        <v>9136</v>
      </c>
      <c r="Y1474">
        <v>0.39774399455790188</v>
      </c>
      <c r="Z1474" t="str">
        <f>HYPERLINK("Melting_Curves/meltCurve_sp_Q13131_2_AAPK1_HUMAN_.pdf", "Melting_Curves/meltCurve_sp_Q13131_2_AAPK1_HUMAN_.pdf")</f>
        <v>Melting_Curves/meltCurve_sp_Q13131_2_AAPK1_HUMAN_.pdf</v>
      </c>
      <c r="AA1474" t="s">
        <v>12943</v>
      </c>
      <c r="AB1474" t="s">
        <v>16714</v>
      </c>
    </row>
    <row r="1475" spans="1:28" x14ac:dyDescent="0.25">
      <c r="A1475" t="s">
        <v>1479</v>
      </c>
      <c r="B1475">
        <v>0.98876768158843997</v>
      </c>
      <c r="C1475">
        <v>1.0354661890511201</v>
      </c>
      <c r="D1475">
        <v>0.90730724359785897</v>
      </c>
      <c r="E1475">
        <v>0.76558175157620401</v>
      </c>
      <c r="F1475">
        <v>0.59352079366294497</v>
      </c>
      <c r="G1475">
        <v>0.41389232109671797</v>
      </c>
      <c r="H1475">
        <v>0.31255337945776601</v>
      </c>
      <c r="I1475">
        <v>0.34902811257275701</v>
      </c>
      <c r="J1475">
        <v>0.42467670631569299</v>
      </c>
      <c r="K1475">
        <v>0.446201163830799</v>
      </c>
      <c r="L1475">
        <v>1156.7847525531099</v>
      </c>
      <c r="M1475">
        <v>22.644197053631501</v>
      </c>
      <c r="N1475">
        <v>54.459524633515599</v>
      </c>
      <c r="O1475">
        <v>50.691837845275401</v>
      </c>
      <c r="P1475">
        <v>-6.9567256028418401E-2</v>
      </c>
      <c r="Q1475">
        <v>0.37707253823470099</v>
      </c>
      <c r="R1475">
        <v>0.97223335560326996</v>
      </c>
      <c r="S1475" t="s">
        <v>5307</v>
      </c>
      <c r="T1475" t="s">
        <v>7662</v>
      </c>
      <c r="U1475" t="s">
        <v>7662</v>
      </c>
      <c r="V1475" t="s">
        <v>7662</v>
      </c>
      <c r="W1475">
        <v>10</v>
      </c>
      <c r="X1475" t="s">
        <v>9137</v>
      </c>
      <c r="Y1475">
        <v>0.61407952165983137</v>
      </c>
      <c r="Z1475" t="str">
        <f>HYPERLINK("Melting_Curves/meltCurve_sp_Q13136_2_LIPA1_HUMAN_.pdf", "Melting_Curves/meltCurve_sp_Q13136_2_LIPA1_HUMAN_.pdf")</f>
        <v>Melting_Curves/meltCurve_sp_Q13136_2_LIPA1_HUMAN_.pdf</v>
      </c>
      <c r="AA1475" t="s">
        <v>12944</v>
      </c>
      <c r="AB1475" t="s">
        <v>16715</v>
      </c>
    </row>
    <row r="1476" spans="1:28" x14ac:dyDescent="0.25">
      <c r="A1476" t="s">
        <v>1480</v>
      </c>
      <c r="B1476">
        <v>0.98876768158843997</v>
      </c>
      <c r="C1476">
        <v>1.2540148766871899</v>
      </c>
      <c r="D1476">
        <v>0.81018529081989399</v>
      </c>
      <c r="E1476">
        <v>0.467828256272384</v>
      </c>
      <c r="F1476">
        <v>0.145755096399695</v>
      </c>
      <c r="G1476">
        <v>8.3453020005810494E-2</v>
      </c>
      <c r="H1476">
        <v>6.5070221899470607E-2</v>
      </c>
      <c r="I1476">
        <v>6.5798590749095207E-2</v>
      </c>
      <c r="J1476">
        <v>7.6828267929570898E-2</v>
      </c>
      <c r="K1476">
        <v>7.71888859713524E-2</v>
      </c>
      <c r="L1476">
        <v>1432.1694765617201</v>
      </c>
      <c r="M1476">
        <v>29.071823085145301</v>
      </c>
      <c r="N1476">
        <v>49.508006197343903</v>
      </c>
      <c r="O1476">
        <v>49.031798556167402</v>
      </c>
      <c r="P1476">
        <v>-0.138304712403095</v>
      </c>
      <c r="Q1476">
        <v>6.6961659609237195E-2</v>
      </c>
      <c r="R1476">
        <v>0.95652260915917897</v>
      </c>
      <c r="S1476" t="s">
        <v>5308</v>
      </c>
      <c r="T1476" t="s">
        <v>7662</v>
      </c>
      <c r="U1476" t="s">
        <v>7662</v>
      </c>
      <c r="V1476" t="s">
        <v>7662</v>
      </c>
      <c r="W1476">
        <v>4</v>
      </c>
      <c r="X1476" t="s">
        <v>9138</v>
      </c>
      <c r="Y1476">
        <v>0.3611403326238376</v>
      </c>
      <c r="Z1476" t="str">
        <f>HYPERLINK("Melting_Curves/meltCurve_sp_Q13148_TADBP_HUMAN_.pdf", "Melting_Curves/meltCurve_sp_Q13148_TADBP_HUMAN_.pdf")</f>
        <v>Melting_Curves/meltCurve_sp_Q13148_TADBP_HUMAN_.pdf</v>
      </c>
      <c r="AA1476" t="s">
        <v>12945</v>
      </c>
      <c r="AB1476" t="s">
        <v>16716</v>
      </c>
    </row>
    <row r="1477" spans="1:28" x14ac:dyDescent="0.25">
      <c r="A1477" t="s">
        <v>1481</v>
      </c>
      <c r="B1477">
        <v>0.98876768158843997</v>
      </c>
      <c r="C1477">
        <v>1.03846968069532</v>
      </c>
      <c r="D1477">
        <v>1.02921509972922</v>
      </c>
      <c r="E1477">
        <v>0.85648522926577697</v>
      </c>
      <c r="F1477">
        <v>0.62938398989576305</v>
      </c>
      <c r="G1477">
        <v>0.31486286224316001</v>
      </c>
      <c r="H1477">
        <v>0.25999495951035201</v>
      </c>
      <c r="I1477">
        <v>0.259801274226796</v>
      </c>
      <c r="J1477">
        <v>0.38578975873445798</v>
      </c>
      <c r="K1477">
        <v>0.40044204960102497</v>
      </c>
      <c r="L1477">
        <v>1808.0083865844099</v>
      </c>
      <c r="M1477">
        <v>34.474283685516099</v>
      </c>
      <c r="N1477">
        <v>54.027291043748697</v>
      </c>
      <c r="O1477">
        <v>52.269617883775403</v>
      </c>
      <c r="P1477">
        <v>-0.112484527018236</v>
      </c>
      <c r="Q1477">
        <v>0.31781037005125701</v>
      </c>
      <c r="R1477">
        <v>0.97375464114854204</v>
      </c>
      <c r="S1477" t="s">
        <v>5309</v>
      </c>
      <c r="T1477" t="s">
        <v>7662</v>
      </c>
      <c r="U1477" t="s">
        <v>7662</v>
      </c>
      <c r="V1477" t="s">
        <v>7662</v>
      </c>
      <c r="W1477">
        <v>3</v>
      </c>
      <c r="X1477" t="s">
        <v>9139</v>
      </c>
      <c r="Y1477">
        <v>0.60413769749329993</v>
      </c>
      <c r="Z1477" t="str">
        <f>HYPERLINK("Melting_Curves/meltCurve_sp_Q13151_ROA0_HUMAN_.pdf", "Melting_Curves/meltCurve_sp_Q13151_ROA0_HUMAN_.pdf")</f>
        <v>Melting_Curves/meltCurve_sp_Q13151_ROA0_HUMAN_.pdf</v>
      </c>
      <c r="AA1477" t="s">
        <v>12946</v>
      </c>
      <c r="AB1477" t="s">
        <v>16717</v>
      </c>
    </row>
    <row r="1478" spans="1:28" x14ac:dyDescent="0.25">
      <c r="A1478" t="s">
        <v>1482</v>
      </c>
      <c r="B1478">
        <v>0.98876768158843997</v>
      </c>
      <c r="C1478">
        <v>1.0141758693732299</v>
      </c>
      <c r="D1478">
        <v>0.92329290658382301</v>
      </c>
      <c r="E1478">
        <v>0.81246030661160795</v>
      </c>
      <c r="F1478">
        <v>0.67953559302146704</v>
      </c>
      <c r="G1478">
        <v>0.27972521400799699</v>
      </c>
      <c r="H1478">
        <v>8.9310041431507697E-2</v>
      </c>
      <c r="I1478">
        <v>5.9391247826509397E-2</v>
      </c>
      <c r="J1478">
        <v>8.1492707372042297E-2</v>
      </c>
      <c r="K1478">
        <v>5.8970804691526803E-2</v>
      </c>
      <c r="L1478">
        <v>1116.79007514817</v>
      </c>
      <c r="M1478">
        <v>20.600176239929699</v>
      </c>
      <c r="N1478">
        <v>54.401964658747801</v>
      </c>
      <c r="O1478">
        <v>53.709532771634201</v>
      </c>
      <c r="P1478">
        <v>-9.2572975472423699E-2</v>
      </c>
      <c r="Q1478">
        <v>3.45893438135789E-2</v>
      </c>
      <c r="R1478">
        <v>0.99358896340746095</v>
      </c>
      <c r="S1478" t="s">
        <v>5310</v>
      </c>
      <c r="T1478" t="s">
        <v>7662</v>
      </c>
      <c r="U1478" t="s">
        <v>7662</v>
      </c>
      <c r="V1478" t="s">
        <v>7662</v>
      </c>
      <c r="W1478">
        <v>8</v>
      </c>
      <c r="X1478" t="s">
        <v>9140</v>
      </c>
      <c r="Y1478">
        <v>0.50442637936095791</v>
      </c>
      <c r="Z1478" t="str">
        <f>HYPERLINK("Melting_Curves/meltCurve_sp_Q13153_PAK1_HUMAN_.pdf", "Melting_Curves/meltCurve_sp_Q13153_PAK1_HUMAN_.pdf")</f>
        <v>Melting_Curves/meltCurve_sp_Q13153_PAK1_HUMAN_.pdf</v>
      </c>
      <c r="AA1478" t="s">
        <v>12947</v>
      </c>
      <c r="AB1478" t="s">
        <v>16718</v>
      </c>
    </row>
    <row r="1479" spans="1:28" x14ac:dyDescent="0.25">
      <c r="A1479" t="s">
        <v>1483</v>
      </c>
      <c r="B1479">
        <v>0.98876768158843997</v>
      </c>
      <c r="C1479">
        <v>0.789195286292382</v>
      </c>
      <c r="D1479">
        <v>0.40218954900049098</v>
      </c>
      <c r="E1479">
        <v>0.118880383960849</v>
      </c>
      <c r="F1479">
        <v>5.0951088637790097E-2</v>
      </c>
      <c r="G1479">
        <v>2.95454993485216E-2</v>
      </c>
      <c r="H1479">
        <v>1.45259693471775E-2</v>
      </c>
      <c r="I1479">
        <v>1.27501851909312E-2</v>
      </c>
      <c r="J1479">
        <v>1.96844516870248E-2</v>
      </c>
      <c r="K1479">
        <v>1.2175321557293201E-2</v>
      </c>
      <c r="L1479">
        <v>1104.84305241161</v>
      </c>
      <c r="M1479">
        <v>24.433147425449899</v>
      </c>
      <c r="N1479">
        <v>45.289751403959698</v>
      </c>
      <c r="O1479">
        <v>44.919384845992198</v>
      </c>
      <c r="P1479">
        <v>-0.13343980938564401</v>
      </c>
      <c r="Q1479">
        <v>1.8719151151049902E-2</v>
      </c>
      <c r="R1479">
        <v>0.998992650600111</v>
      </c>
      <c r="S1479" t="s">
        <v>5311</v>
      </c>
      <c r="T1479" t="s">
        <v>7662</v>
      </c>
      <c r="U1479" t="s">
        <v>7662</v>
      </c>
      <c r="V1479" t="s">
        <v>7662</v>
      </c>
      <c r="W1479">
        <v>3</v>
      </c>
      <c r="X1479" t="s">
        <v>9141</v>
      </c>
      <c r="Y1479">
        <v>0.19953965424847769</v>
      </c>
      <c r="Z1479" t="str">
        <f>HYPERLINK("Melting_Curves/meltCurve_sp_Q13155_AIMP2_HUMAN_.pdf", "Melting_Curves/meltCurve_sp_Q13155_AIMP2_HUMAN_.pdf")</f>
        <v>Melting_Curves/meltCurve_sp_Q13155_AIMP2_HUMAN_.pdf</v>
      </c>
      <c r="AA1479" t="s">
        <v>12948</v>
      </c>
      <c r="AB1479" t="s">
        <v>16719</v>
      </c>
    </row>
    <row r="1480" spans="1:28" x14ac:dyDescent="0.25">
      <c r="A1480" t="s">
        <v>1484</v>
      </c>
      <c r="B1480">
        <v>0.98876768158843997</v>
      </c>
      <c r="C1480">
        <v>0.92490742873532406</v>
      </c>
      <c r="D1480">
        <v>0.77026758304841803</v>
      </c>
      <c r="E1480">
        <v>0.58994822774756595</v>
      </c>
      <c r="F1480">
        <v>0.53793780262394597</v>
      </c>
      <c r="G1480">
        <v>0.19404808991517999</v>
      </c>
      <c r="H1480">
        <v>0.100563957049061</v>
      </c>
      <c r="I1480">
        <v>8.5781096015774494E-2</v>
      </c>
      <c r="J1480">
        <v>8.0842875025429195E-2</v>
      </c>
      <c r="K1480">
        <v>3.89566940387003E-2</v>
      </c>
      <c r="L1480">
        <v>624.57456867524502</v>
      </c>
      <c r="M1480">
        <v>12.0551902752477</v>
      </c>
      <c r="N1480">
        <v>51.809595379758903</v>
      </c>
      <c r="O1480">
        <v>50.445733483514999</v>
      </c>
      <c r="P1480">
        <v>-5.9757507513556497E-2</v>
      </c>
      <c r="Q1480">
        <v>0</v>
      </c>
      <c r="R1480">
        <v>0.98474627062231401</v>
      </c>
      <c r="S1480" t="s">
        <v>5312</v>
      </c>
      <c r="T1480" t="s">
        <v>7662</v>
      </c>
      <c r="U1480" t="s">
        <v>7662</v>
      </c>
      <c r="V1480" t="s">
        <v>7662</v>
      </c>
      <c r="W1480">
        <v>2</v>
      </c>
      <c r="X1480" t="s">
        <v>9142</v>
      </c>
      <c r="Y1480">
        <v>0.42445923007946118</v>
      </c>
      <c r="Z1480" t="str">
        <f>HYPERLINK("Melting_Curves/meltCurve_sp_Q13158_FADD_HUMAN_.pdf", "Melting_Curves/meltCurve_sp_Q13158_FADD_HUMAN_.pdf")</f>
        <v>Melting_Curves/meltCurve_sp_Q13158_FADD_HUMAN_.pdf</v>
      </c>
      <c r="AA1480" t="s">
        <v>12949</v>
      </c>
      <c r="AB1480" t="s">
        <v>16720</v>
      </c>
    </row>
    <row r="1481" spans="1:28" x14ac:dyDescent="0.25">
      <c r="A1481" t="s">
        <v>1485</v>
      </c>
      <c r="B1481">
        <v>0.98876768158843997</v>
      </c>
      <c r="C1481">
        <v>0.84889994511244804</v>
      </c>
      <c r="D1481">
        <v>1.02363060136012</v>
      </c>
      <c r="E1481">
        <v>0.88191617866876104</v>
      </c>
      <c r="F1481">
        <v>0.57975585034909405</v>
      </c>
      <c r="G1481">
        <v>0.39802212176194701</v>
      </c>
      <c r="H1481">
        <v>0.37199967401172301</v>
      </c>
      <c r="I1481">
        <v>0.50829476342985302</v>
      </c>
      <c r="J1481">
        <v>0.54056822255152004</v>
      </c>
      <c r="K1481">
        <v>0.51407973982042898</v>
      </c>
      <c r="L1481">
        <v>2451.25024413949</v>
      </c>
      <c r="M1481">
        <v>47.6969847094432</v>
      </c>
      <c r="N1481">
        <v>54.506439992204797</v>
      </c>
      <c r="O1481">
        <v>51.302050280301003</v>
      </c>
      <c r="P1481">
        <v>-0.123831992652998</v>
      </c>
      <c r="Q1481">
        <v>0.46723439971838698</v>
      </c>
      <c r="R1481">
        <v>0.91205055961293702</v>
      </c>
      <c r="S1481" t="s">
        <v>5313</v>
      </c>
      <c r="T1481" t="s">
        <v>7662</v>
      </c>
      <c r="U1481" t="s">
        <v>7662</v>
      </c>
      <c r="V1481" t="s">
        <v>7662</v>
      </c>
      <c r="W1481">
        <v>11</v>
      </c>
      <c r="X1481" t="s">
        <v>9143</v>
      </c>
      <c r="Y1481">
        <v>0.67087361694558412</v>
      </c>
      <c r="Z1481" t="str">
        <f>HYPERLINK("Melting_Curves/meltCurve_sp_Q13162_PRDX4_HUMAN_.pdf", "Melting_Curves/meltCurve_sp_Q13162_PRDX4_HUMAN_.pdf")</f>
        <v>Melting_Curves/meltCurve_sp_Q13162_PRDX4_HUMAN_.pdf</v>
      </c>
      <c r="AA1481" t="s">
        <v>12950</v>
      </c>
      <c r="AB1481" t="s">
        <v>16721</v>
      </c>
    </row>
    <row r="1482" spans="1:28" x14ac:dyDescent="0.25">
      <c r="A1482" t="s">
        <v>1486</v>
      </c>
      <c r="B1482">
        <v>0.98876768158843997</v>
      </c>
      <c r="C1482">
        <v>1.03949427749607</v>
      </c>
      <c r="D1482">
        <v>0.87746525501969896</v>
      </c>
      <c r="E1482">
        <v>0.69148265008045595</v>
      </c>
      <c r="F1482">
        <v>0.63235655462460905</v>
      </c>
      <c r="G1482">
        <v>0.26198949370263702</v>
      </c>
      <c r="H1482">
        <v>8.0966169242510905E-2</v>
      </c>
      <c r="I1482">
        <v>6.3598246167572495E-2</v>
      </c>
      <c r="J1482">
        <v>7.2762251224197702E-2</v>
      </c>
      <c r="K1482">
        <v>6.5114834133631797E-2</v>
      </c>
      <c r="L1482">
        <v>835.649354540545</v>
      </c>
      <c r="M1482">
        <v>15.624853106361201</v>
      </c>
      <c r="N1482">
        <v>53.547795530174596</v>
      </c>
      <c r="O1482">
        <v>52.628995061977498</v>
      </c>
      <c r="P1482">
        <v>-7.3523032904215094E-2</v>
      </c>
      <c r="Q1482">
        <v>9.4984656328395804E-3</v>
      </c>
      <c r="R1482">
        <v>0.98457908698720698</v>
      </c>
      <c r="S1482" t="s">
        <v>5314</v>
      </c>
      <c r="T1482" t="s">
        <v>7662</v>
      </c>
      <c r="U1482" t="s">
        <v>7662</v>
      </c>
      <c r="V1482" t="s">
        <v>7662</v>
      </c>
      <c r="W1482">
        <v>15</v>
      </c>
      <c r="X1482" t="s">
        <v>9144</v>
      </c>
      <c r="Y1482">
        <v>0.47437663983127931</v>
      </c>
      <c r="Z1482" t="str">
        <f>HYPERLINK("Melting_Curves/meltCurve_sp_Q13177_PAK2_HUMAN_.pdf", "Melting_Curves/meltCurve_sp_Q13177_PAK2_HUMAN_.pdf")</f>
        <v>Melting_Curves/meltCurve_sp_Q13177_PAK2_HUMAN_.pdf</v>
      </c>
      <c r="AA1482" t="s">
        <v>12951</v>
      </c>
      <c r="AB1482" t="s">
        <v>16722</v>
      </c>
    </row>
    <row r="1483" spans="1:28" x14ac:dyDescent="0.25">
      <c r="A1483" t="s">
        <v>1487</v>
      </c>
      <c r="B1483">
        <v>0.98876768158843997</v>
      </c>
      <c r="C1483">
        <v>1.0567217186161799</v>
      </c>
      <c r="D1483">
        <v>0.82605442077848801</v>
      </c>
      <c r="E1483">
        <v>0.73716098467449098</v>
      </c>
      <c r="F1483">
        <v>0.816021300486794</v>
      </c>
      <c r="G1483">
        <v>0.53909117756930403</v>
      </c>
      <c r="H1483">
        <v>0.36287915423361</v>
      </c>
      <c r="I1483">
        <v>0.35899320880443197</v>
      </c>
      <c r="J1483">
        <v>0.39921633304726301</v>
      </c>
      <c r="K1483">
        <v>0.45232147583688398</v>
      </c>
      <c r="L1483">
        <v>684.01075323844202</v>
      </c>
      <c r="M1483">
        <v>12.8490493996227</v>
      </c>
      <c r="N1483">
        <v>58.5642815208505</v>
      </c>
      <c r="O1483">
        <v>51.9943565407252</v>
      </c>
      <c r="P1483">
        <v>-4.0491194979265802E-2</v>
      </c>
      <c r="Q1483">
        <v>0.344722118458482</v>
      </c>
      <c r="R1483">
        <v>0.91094329446170397</v>
      </c>
      <c r="S1483" t="s">
        <v>5315</v>
      </c>
      <c r="T1483" t="s">
        <v>7662</v>
      </c>
      <c r="U1483" t="s">
        <v>7662</v>
      </c>
      <c r="V1483" t="s">
        <v>7662</v>
      </c>
      <c r="W1483">
        <v>4</v>
      </c>
      <c r="X1483" t="s">
        <v>9145</v>
      </c>
      <c r="Y1483">
        <v>0.65075810165722359</v>
      </c>
      <c r="Z1483" t="str">
        <f>HYPERLINK("Melting_Curves/meltCurve_sp_Q13185_CBX3_HUMAN_.pdf", "Melting_Curves/meltCurve_sp_Q13185_CBX3_HUMAN_.pdf")</f>
        <v>Melting_Curves/meltCurve_sp_Q13185_CBX3_HUMAN_.pdf</v>
      </c>
      <c r="AA1483" t="s">
        <v>12952</v>
      </c>
      <c r="AB1483" t="s">
        <v>16723</v>
      </c>
    </row>
    <row r="1484" spans="1:28" x14ac:dyDescent="0.25">
      <c r="A1484" t="s">
        <v>1488</v>
      </c>
      <c r="B1484">
        <v>0.98876768158843997</v>
      </c>
      <c r="C1484">
        <v>0.86754438213769602</v>
      </c>
      <c r="D1484">
        <v>0.63355201024195695</v>
      </c>
      <c r="E1484">
        <v>0.37412801033987098</v>
      </c>
      <c r="F1484">
        <v>0.258536531331158</v>
      </c>
      <c r="G1484">
        <v>5.5617168652075298E-2</v>
      </c>
      <c r="H1484">
        <v>0</v>
      </c>
      <c r="I1484">
        <v>0</v>
      </c>
      <c r="J1484">
        <v>0</v>
      </c>
      <c r="K1484">
        <v>0</v>
      </c>
      <c r="L1484">
        <v>725.36037765278604</v>
      </c>
      <c r="M1484">
        <v>15.060661275074599</v>
      </c>
      <c r="N1484">
        <v>48.162585009057501</v>
      </c>
      <c r="O1484">
        <v>47.337395461228503</v>
      </c>
      <c r="P1484">
        <v>-7.9546835181719705E-2</v>
      </c>
      <c r="Q1484">
        <v>0</v>
      </c>
      <c r="R1484">
        <v>0.99305251345760803</v>
      </c>
      <c r="S1484" t="s">
        <v>5316</v>
      </c>
      <c r="T1484" t="s">
        <v>7662</v>
      </c>
      <c r="U1484" t="s">
        <v>7662</v>
      </c>
      <c r="V1484" t="s">
        <v>7662</v>
      </c>
      <c r="W1484">
        <v>4</v>
      </c>
      <c r="X1484" t="s">
        <v>9146</v>
      </c>
      <c r="Y1484">
        <v>0.29742536952189841</v>
      </c>
      <c r="Z1484" t="str">
        <f>HYPERLINK("Melting_Curves/meltCurve_sp_Q13188_STK3_HUMAN_.pdf", "Melting_Curves/meltCurve_sp_Q13188_STK3_HUMAN_.pdf")</f>
        <v>Melting_Curves/meltCurve_sp_Q13188_STK3_HUMAN_.pdf</v>
      </c>
      <c r="AA1484" t="s">
        <v>12953</v>
      </c>
      <c r="AB1484" t="s">
        <v>16724</v>
      </c>
    </row>
    <row r="1485" spans="1:28" x14ac:dyDescent="0.25">
      <c r="A1485" t="s">
        <v>1489</v>
      </c>
      <c r="B1485">
        <v>0.98876768158843997</v>
      </c>
      <c r="C1485">
        <v>0.83683336248015805</v>
      </c>
      <c r="D1485">
        <v>0.83343282349945003</v>
      </c>
      <c r="E1485">
        <v>0.41898694782648099</v>
      </c>
      <c r="F1485">
        <v>0.19251137772274701</v>
      </c>
      <c r="G1485">
        <v>9.7536077220356496E-2</v>
      </c>
      <c r="H1485">
        <v>5.5183121415861902E-2</v>
      </c>
      <c r="I1485">
        <v>4.5750081002182301E-2</v>
      </c>
      <c r="J1485">
        <v>5.28903272016676E-2</v>
      </c>
      <c r="K1485">
        <v>4.1218259446029901E-2</v>
      </c>
      <c r="L1485">
        <v>937.67971440203405</v>
      </c>
      <c r="M1485">
        <v>19.167911578208699</v>
      </c>
      <c r="N1485">
        <v>49.110321897254302</v>
      </c>
      <c r="O1485">
        <v>48.396127746007402</v>
      </c>
      <c r="P1485">
        <v>-9.5461497159404093E-2</v>
      </c>
      <c r="Q1485">
        <v>3.59328612604057E-2</v>
      </c>
      <c r="R1485">
        <v>0.98955903779166798</v>
      </c>
      <c r="S1485" t="s">
        <v>5317</v>
      </c>
      <c r="T1485" t="s">
        <v>7662</v>
      </c>
      <c r="U1485" t="s">
        <v>7662</v>
      </c>
      <c r="V1485" t="s">
        <v>7662</v>
      </c>
      <c r="W1485">
        <v>19</v>
      </c>
      <c r="X1485" t="s">
        <v>9147</v>
      </c>
      <c r="Y1485">
        <v>0.33729253195481979</v>
      </c>
      <c r="Z1485" t="str">
        <f>HYPERLINK("Melting_Curves/meltCurve_sp_Q13200_PSMD2_HUMAN_.pdf", "Melting_Curves/meltCurve_sp_Q13200_PSMD2_HUMAN_.pdf")</f>
        <v>Melting_Curves/meltCurve_sp_Q13200_PSMD2_HUMAN_.pdf</v>
      </c>
      <c r="AA1485" t="s">
        <v>12954</v>
      </c>
      <c r="AB1485" t="s">
        <v>16725</v>
      </c>
    </row>
    <row r="1486" spans="1:28" x14ac:dyDescent="0.25">
      <c r="A1486" t="s">
        <v>1490</v>
      </c>
      <c r="B1486">
        <v>0.98876768158843997</v>
      </c>
      <c r="C1486">
        <v>0.81869720940289004</v>
      </c>
      <c r="D1486">
        <v>1.0764089365401599</v>
      </c>
      <c r="E1486">
        <v>0.88956990730285301</v>
      </c>
      <c r="F1486">
        <v>0.27425865481207401</v>
      </c>
      <c r="G1486">
        <v>0.26969240127833299</v>
      </c>
      <c r="H1486">
        <v>0.25225163815941698</v>
      </c>
      <c r="I1486">
        <v>0.263558084500088</v>
      </c>
      <c r="J1486">
        <v>1.0387390682436699</v>
      </c>
      <c r="K1486">
        <v>0.54872746697575903</v>
      </c>
      <c r="L1486">
        <v>12570.0597942024</v>
      </c>
      <c r="M1486">
        <v>250</v>
      </c>
      <c r="N1486">
        <v>50.714465400568997</v>
      </c>
      <c r="O1486">
        <v>50.277021670106301</v>
      </c>
      <c r="P1486">
        <v>-0.69464578217672901</v>
      </c>
      <c r="Q1486">
        <v>0.441204465015201</v>
      </c>
      <c r="R1486">
        <v>0.53191947728707401</v>
      </c>
      <c r="S1486" t="s">
        <v>5318</v>
      </c>
      <c r="T1486" t="s">
        <v>7662</v>
      </c>
      <c r="U1486" t="s">
        <v>7662</v>
      </c>
      <c r="V1486" t="s">
        <v>7662</v>
      </c>
      <c r="W1486">
        <v>1</v>
      </c>
      <c r="X1486" t="s">
        <v>9148</v>
      </c>
      <c r="Y1486">
        <v>0.63273883206536996</v>
      </c>
      <c r="Z1486" t="str">
        <f>HYPERLINK("Melting_Curves/meltCurve_sp_Q13206_DDX10_HUMAN_.pdf", "Melting_Curves/meltCurve_sp_Q13206_DDX10_HUMAN_.pdf")</f>
        <v>Melting_Curves/meltCurve_sp_Q13206_DDX10_HUMAN_.pdf</v>
      </c>
      <c r="AA1486" t="s">
        <v>12955</v>
      </c>
      <c r="AB1486" t="s">
        <v>16726</v>
      </c>
    </row>
    <row r="1487" spans="1:28" x14ac:dyDescent="0.25">
      <c r="A1487" t="s">
        <v>1491</v>
      </c>
      <c r="B1487">
        <v>0.98876768158843997</v>
      </c>
      <c r="C1487">
        <v>1.0110226605041299</v>
      </c>
      <c r="D1487">
        <v>0.79545169416987205</v>
      </c>
      <c r="E1487">
        <v>0.51833957749739101</v>
      </c>
      <c r="F1487">
        <v>0.23661806339590599</v>
      </c>
      <c r="G1487">
        <v>0.162194814895775</v>
      </c>
      <c r="H1487">
        <v>9.9304233166308195E-2</v>
      </c>
      <c r="I1487">
        <v>7.7413356385907003E-2</v>
      </c>
      <c r="J1487">
        <v>0.10306209306856801</v>
      </c>
      <c r="K1487">
        <v>9.0533180099126503E-2</v>
      </c>
      <c r="L1487">
        <v>1012.21904987091</v>
      </c>
      <c r="M1487">
        <v>20.4924113534112</v>
      </c>
      <c r="N1487">
        <v>49.854700306008397</v>
      </c>
      <c r="O1487">
        <v>48.931663807665103</v>
      </c>
      <c r="P1487">
        <v>-9.5685437149653593E-2</v>
      </c>
      <c r="Q1487">
        <v>8.6118438847301804E-2</v>
      </c>
      <c r="R1487">
        <v>0.99483319444212504</v>
      </c>
      <c r="S1487" t="s">
        <v>5319</v>
      </c>
      <c r="T1487" t="s">
        <v>7662</v>
      </c>
      <c r="U1487" t="s">
        <v>7662</v>
      </c>
      <c r="V1487" t="s">
        <v>7662</v>
      </c>
      <c r="W1487">
        <v>4</v>
      </c>
      <c r="X1487" t="s">
        <v>9149</v>
      </c>
      <c r="Y1487">
        <v>0.38446486718288381</v>
      </c>
      <c r="Z1487" t="str">
        <f>HYPERLINK("Melting_Curves/meltCurve_sp_Q13217_DNJC3_HUMAN_.pdf", "Melting_Curves/meltCurve_sp_Q13217_DNJC3_HUMAN_.pdf")</f>
        <v>Melting_Curves/meltCurve_sp_Q13217_DNJC3_HUMAN_.pdf</v>
      </c>
      <c r="AA1487" t="s">
        <v>12956</v>
      </c>
      <c r="AB1487" t="s">
        <v>16727</v>
      </c>
    </row>
    <row r="1488" spans="1:28" x14ac:dyDescent="0.25">
      <c r="A1488" t="s">
        <v>1492</v>
      </c>
      <c r="B1488">
        <v>0.98876768158843997</v>
      </c>
      <c r="C1488">
        <v>0.85341659068509002</v>
      </c>
      <c r="D1488">
        <v>0.868925154875686</v>
      </c>
      <c r="E1488">
        <v>0.64594282036082395</v>
      </c>
      <c r="F1488">
        <v>0.74504200098571405</v>
      </c>
      <c r="G1488">
        <v>0.46255534290154499</v>
      </c>
      <c r="H1488">
        <v>0.32879065305218702</v>
      </c>
      <c r="I1488">
        <v>0.34116044217188302</v>
      </c>
      <c r="J1488">
        <v>0.33922306919715101</v>
      </c>
      <c r="K1488">
        <v>0.39967660455378701</v>
      </c>
      <c r="L1488">
        <v>517.46593865598197</v>
      </c>
      <c r="M1488">
        <v>9.9344431300848299</v>
      </c>
      <c r="N1488">
        <v>56.582522100107198</v>
      </c>
      <c r="O1488">
        <v>50.1093352613279</v>
      </c>
      <c r="P1488">
        <v>-3.6057051882420803E-2</v>
      </c>
      <c r="Q1488">
        <v>0.27287585376752299</v>
      </c>
      <c r="R1488">
        <v>0.92492507299828997</v>
      </c>
      <c r="S1488" t="s">
        <v>5320</v>
      </c>
      <c r="T1488" t="s">
        <v>7662</v>
      </c>
      <c r="U1488" t="s">
        <v>7662</v>
      </c>
      <c r="V1488" t="s">
        <v>7662</v>
      </c>
      <c r="W1488">
        <v>36</v>
      </c>
      <c r="X1488" t="s">
        <v>9150</v>
      </c>
      <c r="Y1488">
        <v>0.59342321424841671</v>
      </c>
      <c r="Z1488" t="str">
        <f>HYPERLINK("Melting_Curves/meltCurve_sp_Q13228_SBP1_HUMAN_.pdf", "Melting_Curves/meltCurve_sp_Q13228_SBP1_HUMAN_.pdf")</f>
        <v>Melting_Curves/meltCurve_sp_Q13228_SBP1_HUMAN_.pdf</v>
      </c>
      <c r="AA1488" t="s">
        <v>12957</v>
      </c>
      <c r="AB1488" t="s">
        <v>16728</v>
      </c>
    </row>
    <row r="1489" spans="1:28" x14ac:dyDescent="0.25">
      <c r="A1489" t="s">
        <v>1493</v>
      </c>
      <c r="B1489">
        <v>0.98876768158843997</v>
      </c>
      <c r="C1489">
        <v>0.93225163489784202</v>
      </c>
      <c r="D1489">
        <v>0.96170380452537796</v>
      </c>
      <c r="E1489">
        <v>0.94550643960965897</v>
      </c>
      <c r="F1489">
        <v>0.75684477646352599</v>
      </c>
      <c r="G1489">
        <v>0.581176350267395</v>
      </c>
      <c r="H1489">
        <v>0.45850399112241003</v>
      </c>
      <c r="I1489">
        <v>0.26531062855920301</v>
      </c>
      <c r="J1489">
        <v>7.6264138139130994E-2</v>
      </c>
      <c r="K1489">
        <v>5.2552091812062503E-2</v>
      </c>
      <c r="L1489">
        <v>799.49792499835996</v>
      </c>
      <c r="M1489">
        <v>13.632964837845099</v>
      </c>
      <c r="N1489">
        <v>58.644464803239003</v>
      </c>
      <c r="O1489">
        <v>57.4258082318227</v>
      </c>
      <c r="P1489">
        <v>-5.9359050988801301E-2</v>
      </c>
      <c r="Q1489">
        <v>0</v>
      </c>
      <c r="R1489">
        <v>0.980233891979436</v>
      </c>
      <c r="S1489" t="s">
        <v>5321</v>
      </c>
      <c r="T1489" t="s">
        <v>7662</v>
      </c>
      <c r="U1489" t="s">
        <v>7662</v>
      </c>
      <c r="V1489" t="s">
        <v>7662</v>
      </c>
      <c r="W1489">
        <v>10</v>
      </c>
      <c r="X1489" t="s">
        <v>9151</v>
      </c>
      <c r="Y1489">
        <v>0.63262727126845042</v>
      </c>
      <c r="Z1489" t="str">
        <f>HYPERLINK("Melting_Curves/meltCurve_sp_Q13232_NDK3_HUMAN_.pdf", "Melting_Curves/meltCurve_sp_Q13232_NDK3_HUMAN_.pdf")</f>
        <v>Melting_Curves/meltCurve_sp_Q13232_NDK3_HUMAN_.pdf</v>
      </c>
      <c r="AA1489" t="s">
        <v>12958</v>
      </c>
      <c r="AB1489" t="s">
        <v>16729</v>
      </c>
    </row>
    <row r="1490" spans="1:28" x14ac:dyDescent="0.25">
      <c r="A1490" t="s">
        <v>1494</v>
      </c>
      <c r="B1490">
        <v>0.98876768158843997</v>
      </c>
      <c r="C1490">
        <v>0.97012776141453105</v>
      </c>
      <c r="D1490">
        <v>1.1584461522248599</v>
      </c>
      <c r="E1490">
        <v>1.38424833226398</v>
      </c>
      <c r="F1490">
        <v>0.74265661463684596</v>
      </c>
      <c r="G1490">
        <v>0.69747043406598097</v>
      </c>
      <c r="H1490">
        <v>0.54541698681720396</v>
      </c>
      <c r="I1490">
        <v>0.32039218466076602</v>
      </c>
      <c r="J1490">
        <v>0.36217973709610601</v>
      </c>
      <c r="K1490">
        <v>0.43340142126259501</v>
      </c>
      <c r="L1490">
        <v>1458.60228989811</v>
      </c>
      <c r="M1490">
        <v>25.628721769744601</v>
      </c>
      <c r="N1490">
        <v>60.188452070888502</v>
      </c>
      <c r="O1490">
        <v>56.569686201188702</v>
      </c>
      <c r="P1490">
        <v>-7.0669474850450303E-2</v>
      </c>
      <c r="Q1490">
        <v>0.37605919798614001</v>
      </c>
      <c r="R1490">
        <v>0.795225311843338</v>
      </c>
      <c r="S1490" t="s">
        <v>5322</v>
      </c>
      <c r="T1490" t="s">
        <v>7662</v>
      </c>
      <c r="U1490" t="s">
        <v>7662</v>
      </c>
      <c r="V1490" t="s">
        <v>7662</v>
      </c>
      <c r="W1490">
        <v>4</v>
      </c>
      <c r="X1490" t="s">
        <v>9152</v>
      </c>
      <c r="Y1490">
        <v>0.73322926756555162</v>
      </c>
      <c r="Z1490" t="str">
        <f>HYPERLINK("Melting_Curves/meltCurve_sp_Q13243_3_SRSF5_HUMAN_.pdf", "Melting_Curves/meltCurve_sp_Q13243_3_SRSF5_HUMAN_.pdf")</f>
        <v>Melting_Curves/meltCurve_sp_Q13243_3_SRSF5_HUMAN_.pdf</v>
      </c>
      <c r="AA1490" t="s">
        <v>12959</v>
      </c>
      <c r="AB1490" t="s">
        <v>16730</v>
      </c>
    </row>
    <row r="1491" spans="1:28" x14ac:dyDescent="0.25">
      <c r="A1491" t="s">
        <v>1495</v>
      </c>
      <c r="B1491">
        <v>0.98876768158843997</v>
      </c>
      <c r="C1491">
        <v>0.92681883145821597</v>
      </c>
      <c r="D1491">
        <v>0.99648519116919998</v>
      </c>
      <c r="E1491">
        <v>0.82986321496478899</v>
      </c>
      <c r="F1491">
        <v>0.54529106170295805</v>
      </c>
      <c r="G1491">
        <v>0.37998940525215902</v>
      </c>
      <c r="H1491">
        <v>0.32711839533214498</v>
      </c>
      <c r="I1491">
        <v>0.34402253961168799</v>
      </c>
      <c r="J1491">
        <v>0.46140961502422301</v>
      </c>
      <c r="K1491">
        <v>0.480978138246481</v>
      </c>
      <c r="L1491">
        <v>1947.4128876756399</v>
      </c>
      <c r="M1491">
        <v>37.968278448105501</v>
      </c>
      <c r="N1491">
        <v>53.521479110146103</v>
      </c>
      <c r="O1491">
        <v>51.148861636839399</v>
      </c>
      <c r="P1491">
        <v>-0.11185061254233</v>
      </c>
      <c r="Q1491">
        <v>0.39728455619082598</v>
      </c>
      <c r="R1491">
        <v>0.96258181969519696</v>
      </c>
      <c r="S1491" t="s">
        <v>5323</v>
      </c>
      <c r="T1491" t="s">
        <v>7662</v>
      </c>
      <c r="U1491" t="s">
        <v>7662</v>
      </c>
      <c r="V1491" t="s">
        <v>7662</v>
      </c>
      <c r="W1491">
        <v>6</v>
      </c>
      <c r="X1491" t="s">
        <v>9153</v>
      </c>
      <c r="Y1491">
        <v>0.62648985918843692</v>
      </c>
      <c r="Z1491" t="str">
        <f>HYPERLINK("Melting_Curves/meltCurve_sp_Q13247_3_SRSF6_HUMAN_.pdf", "Melting_Curves/meltCurve_sp_Q13247_3_SRSF6_HUMAN_.pdf")</f>
        <v>Melting_Curves/meltCurve_sp_Q13247_3_SRSF6_HUMAN_.pdf</v>
      </c>
      <c r="AA1491" t="s">
        <v>12960</v>
      </c>
      <c r="AB1491" t="s">
        <v>16731</v>
      </c>
    </row>
    <row r="1492" spans="1:28" x14ac:dyDescent="0.25">
      <c r="A1492" t="s">
        <v>1496</v>
      </c>
      <c r="B1492">
        <v>0.98876768158843997</v>
      </c>
      <c r="C1492">
        <v>0.97892756744963805</v>
      </c>
      <c r="D1492">
        <v>0.86891484012730202</v>
      </c>
      <c r="E1492">
        <v>0.60514653784814498</v>
      </c>
      <c r="F1492">
        <v>0.47866508292134502</v>
      </c>
      <c r="G1492">
        <v>0.26833549179848298</v>
      </c>
      <c r="H1492">
        <v>0.198279660826614</v>
      </c>
      <c r="I1492">
        <v>0.21279764592178599</v>
      </c>
      <c r="J1492">
        <v>0.270096815748814</v>
      </c>
      <c r="K1492">
        <v>0.26515870637911998</v>
      </c>
      <c r="L1492">
        <v>938.17317769872898</v>
      </c>
      <c r="M1492">
        <v>18.711369312297499</v>
      </c>
      <c r="N1492">
        <v>51.783645741858699</v>
      </c>
      <c r="O1492">
        <v>49.577036195234797</v>
      </c>
      <c r="P1492">
        <v>-7.3222820040120207E-2</v>
      </c>
      <c r="Q1492">
        <v>0.22399745965253001</v>
      </c>
      <c r="R1492">
        <v>0.98955012028168898</v>
      </c>
      <c r="S1492" t="s">
        <v>5324</v>
      </c>
      <c r="T1492" t="s">
        <v>7662</v>
      </c>
      <c r="U1492" t="s">
        <v>7662</v>
      </c>
      <c r="V1492" t="s">
        <v>7662</v>
      </c>
      <c r="W1492">
        <v>12</v>
      </c>
      <c r="X1492" t="s">
        <v>9154</v>
      </c>
      <c r="Y1492">
        <v>0.49853942288454361</v>
      </c>
      <c r="Z1492" t="str">
        <f>HYPERLINK("Melting_Curves/meltCurve_sp_Q13263_TIF1B_HUMAN_.pdf", "Melting_Curves/meltCurve_sp_Q13263_TIF1B_HUMAN_.pdf")</f>
        <v>Melting_Curves/meltCurve_sp_Q13263_TIF1B_HUMAN_.pdf</v>
      </c>
      <c r="AA1492" t="s">
        <v>12961</v>
      </c>
      <c r="AB1492" t="s">
        <v>16732</v>
      </c>
    </row>
    <row r="1493" spans="1:28" x14ac:dyDescent="0.25">
      <c r="A1493" t="s">
        <v>1497</v>
      </c>
      <c r="B1493">
        <v>0.98876768158843997</v>
      </c>
      <c r="C1493">
        <v>1.02553625486661</v>
      </c>
      <c r="D1493">
        <v>0.85992379598244995</v>
      </c>
      <c r="E1493">
        <v>0.68860315993765198</v>
      </c>
      <c r="F1493">
        <v>0.455130955539503</v>
      </c>
      <c r="G1493">
        <v>0.21377239659917499</v>
      </c>
      <c r="H1493">
        <v>0.14932670032063999</v>
      </c>
      <c r="I1493">
        <v>0.15185425993037399</v>
      </c>
      <c r="J1493">
        <v>0.21934151137119101</v>
      </c>
      <c r="K1493">
        <v>0.22069711056309599</v>
      </c>
      <c r="L1493">
        <v>1070.0500392745</v>
      </c>
      <c r="M1493">
        <v>20.9765621606449</v>
      </c>
      <c r="N1493">
        <v>52.043970498845397</v>
      </c>
      <c r="O1493">
        <v>50.554876725685702</v>
      </c>
      <c r="P1493">
        <v>-8.6080865443316307E-2</v>
      </c>
      <c r="Q1493">
        <v>0.17018046474245899</v>
      </c>
      <c r="R1493">
        <v>0.98671239216953199</v>
      </c>
      <c r="S1493" t="s">
        <v>5325</v>
      </c>
      <c r="T1493" t="s">
        <v>7662</v>
      </c>
      <c r="U1493" t="s">
        <v>7662</v>
      </c>
      <c r="V1493" t="s">
        <v>7662</v>
      </c>
      <c r="W1493">
        <v>11</v>
      </c>
      <c r="X1493" t="s">
        <v>9155</v>
      </c>
      <c r="Y1493">
        <v>0.4853004519639198</v>
      </c>
      <c r="Z1493" t="str">
        <f>HYPERLINK("Melting_Curves/meltCurve_sp_Q13283_G3BP1_HUMAN_.pdf", "Melting_Curves/meltCurve_sp_Q13283_G3BP1_HUMAN_.pdf")</f>
        <v>Melting_Curves/meltCurve_sp_Q13283_G3BP1_HUMAN_.pdf</v>
      </c>
      <c r="AA1493" t="s">
        <v>12962</v>
      </c>
      <c r="AB1493" t="s">
        <v>16733</v>
      </c>
    </row>
    <row r="1494" spans="1:28" x14ac:dyDescent="0.25">
      <c r="A1494" t="s">
        <v>1498</v>
      </c>
      <c r="B1494">
        <v>0.98876768158843997</v>
      </c>
      <c r="C1494">
        <v>0.89589507422660097</v>
      </c>
      <c r="D1494">
        <v>0.93787925855084597</v>
      </c>
      <c r="E1494">
        <v>0.78611850579240405</v>
      </c>
      <c r="F1494">
        <v>0.53784456239339096</v>
      </c>
      <c r="G1494">
        <v>0.24733178230606301</v>
      </c>
      <c r="H1494">
        <v>7.3361294019837903E-2</v>
      </c>
      <c r="I1494">
        <v>5.52018993696635E-2</v>
      </c>
      <c r="J1494">
        <v>4.97337745103935E-2</v>
      </c>
      <c r="K1494">
        <v>3.8652994775151599E-2</v>
      </c>
      <c r="L1494">
        <v>976.80678592005597</v>
      </c>
      <c r="M1494">
        <v>18.3237363461825</v>
      </c>
      <c r="N1494">
        <v>53.3917012618044</v>
      </c>
      <c r="O1494">
        <v>52.685527081081901</v>
      </c>
      <c r="P1494">
        <v>-8.5725521123817497E-2</v>
      </c>
      <c r="Q1494">
        <v>1.41123146797817E-2</v>
      </c>
      <c r="R1494">
        <v>0.99327987709114596</v>
      </c>
      <c r="S1494" t="s">
        <v>5326</v>
      </c>
      <c r="T1494" t="s">
        <v>7662</v>
      </c>
      <c r="U1494" t="s">
        <v>7662</v>
      </c>
      <c r="V1494" t="s">
        <v>7662</v>
      </c>
      <c r="W1494">
        <v>3</v>
      </c>
      <c r="X1494" t="s">
        <v>9156</v>
      </c>
      <c r="Y1494">
        <v>0.4670591940365631</v>
      </c>
      <c r="Z1494" t="str">
        <f>HYPERLINK("Melting_Curves/meltCurve_sp_Q13287_NMI_HUMAN_.pdf", "Melting_Curves/meltCurve_sp_Q13287_NMI_HUMAN_.pdf")</f>
        <v>Melting_Curves/meltCurve_sp_Q13287_NMI_HUMAN_.pdf</v>
      </c>
      <c r="AA1494" t="s">
        <v>12963</v>
      </c>
      <c r="AB1494" t="s">
        <v>16734</v>
      </c>
    </row>
    <row r="1495" spans="1:28" x14ac:dyDescent="0.25">
      <c r="A1495" t="s">
        <v>1499</v>
      </c>
      <c r="B1495">
        <v>0.98876768158843997</v>
      </c>
      <c r="C1495">
        <v>0.94808537932952397</v>
      </c>
      <c r="D1495">
        <v>1.0278877571781799</v>
      </c>
      <c r="E1495">
        <v>0.72801064924890801</v>
      </c>
      <c r="F1495">
        <v>0.33633870460733201</v>
      </c>
      <c r="G1495">
        <v>0.148198408865653</v>
      </c>
      <c r="H1495">
        <v>8.7402989489031704E-2</v>
      </c>
      <c r="I1495">
        <v>7.5916949011550397E-2</v>
      </c>
      <c r="J1495">
        <v>8.3772462332683706E-2</v>
      </c>
      <c r="K1495">
        <v>4.3141076297760997E-2</v>
      </c>
      <c r="L1495">
        <v>1593.1117984637101</v>
      </c>
      <c r="M1495">
        <v>30.958790598808299</v>
      </c>
      <c r="N1495">
        <v>51.733227390974498</v>
      </c>
      <c r="O1495">
        <v>51.245831051283503</v>
      </c>
      <c r="P1495">
        <v>-0.13960666403747801</v>
      </c>
      <c r="Q1495">
        <v>7.5646268691264895E-2</v>
      </c>
      <c r="R1495">
        <v>0.99552439302810403</v>
      </c>
      <c r="S1495" t="s">
        <v>5327</v>
      </c>
      <c r="T1495" t="s">
        <v>7662</v>
      </c>
      <c r="U1495" t="s">
        <v>7662</v>
      </c>
      <c r="V1495" t="s">
        <v>7662</v>
      </c>
      <c r="W1495">
        <v>15</v>
      </c>
      <c r="X1495" t="s">
        <v>9157</v>
      </c>
      <c r="Y1495">
        <v>0.43422100157185578</v>
      </c>
      <c r="Z1495" t="str">
        <f>HYPERLINK("Melting_Curves/meltCurve_sp_Q13310_3_PABP4_HUMAN_.pdf", "Melting_Curves/meltCurve_sp_Q13310_3_PABP4_HUMAN_.pdf")</f>
        <v>Melting_Curves/meltCurve_sp_Q13310_3_PABP4_HUMAN_.pdf</v>
      </c>
      <c r="AA1495" t="s">
        <v>12964</v>
      </c>
      <c r="AB1495" t="s">
        <v>16735</v>
      </c>
    </row>
    <row r="1496" spans="1:28" x14ac:dyDescent="0.25">
      <c r="A1496" t="s">
        <v>1500</v>
      </c>
      <c r="B1496">
        <v>0.98876768158843997</v>
      </c>
      <c r="C1496">
        <v>0.78233348799163904</v>
      </c>
      <c r="D1496">
        <v>0.91312187969770098</v>
      </c>
      <c r="E1496">
        <v>0.803049039029191</v>
      </c>
      <c r="F1496">
        <v>0.36624672086105697</v>
      </c>
      <c r="G1496">
        <v>0.13432131122084401</v>
      </c>
      <c r="H1496">
        <v>0.100176174125652</v>
      </c>
      <c r="I1496">
        <v>0.10361593163605901</v>
      </c>
      <c r="J1496">
        <v>0.16894682951276399</v>
      </c>
      <c r="K1496">
        <v>5.9127484431364501E-2</v>
      </c>
      <c r="L1496">
        <v>1766.5566795263001</v>
      </c>
      <c r="M1496">
        <v>34.173340535729302</v>
      </c>
      <c r="N1496">
        <v>52.050391630737501</v>
      </c>
      <c r="O1496">
        <v>51.517957205611602</v>
      </c>
      <c r="P1496">
        <v>-0.14853421026431499</v>
      </c>
      <c r="Q1496">
        <v>0.104313816239856</v>
      </c>
      <c r="R1496">
        <v>0.955085242697857</v>
      </c>
      <c r="S1496" t="s">
        <v>5328</v>
      </c>
      <c r="T1496" t="s">
        <v>7662</v>
      </c>
      <c r="U1496" t="s">
        <v>7662</v>
      </c>
      <c r="V1496" t="s">
        <v>7662</v>
      </c>
      <c r="W1496">
        <v>1</v>
      </c>
      <c r="X1496" t="s">
        <v>9158</v>
      </c>
      <c r="Y1496">
        <v>0.45784239742139121</v>
      </c>
      <c r="Z1496" t="str">
        <f>HYPERLINK("Melting_Curves/meltCurve_sp_Q13315_ATM_HUMAN_.pdf", "Melting_Curves/meltCurve_sp_Q13315_ATM_HUMAN_.pdf")</f>
        <v>Melting_Curves/meltCurve_sp_Q13315_ATM_HUMAN_.pdf</v>
      </c>
      <c r="AA1496" t="s">
        <v>12965</v>
      </c>
      <c r="AB1496" t="s">
        <v>16736</v>
      </c>
    </row>
    <row r="1497" spans="1:28" x14ac:dyDescent="0.25">
      <c r="A1497" t="s">
        <v>1501</v>
      </c>
      <c r="B1497">
        <v>0.98876768158843997</v>
      </c>
      <c r="C1497">
        <v>0.94130954021150404</v>
      </c>
      <c r="D1497">
        <v>0.88066614317902903</v>
      </c>
      <c r="E1497">
        <v>0.39479694153050898</v>
      </c>
      <c r="F1497">
        <v>8.0632205325851095E-2</v>
      </c>
      <c r="G1497">
        <v>5.5585799114324798E-2</v>
      </c>
      <c r="H1497">
        <v>3.62565580583653E-2</v>
      </c>
      <c r="I1497">
        <v>3.65535757098015E-2</v>
      </c>
      <c r="J1497">
        <v>6.3083060418325801E-2</v>
      </c>
      <c r="K1497">
        <v>2.6080199376593598E-2</v>
      </c>
      <c r="L1497">
        <v>1524.6777505397299</v>
      </c>
      <c r="M1497">
        <v>31.103687251913701</v>
      </c>
      <c r="N1497">
        <v>49.1352588649208</v>
      </c>
      <c r="O1497">
        <v>48.817905925282503</v>
      </c>
      <c r="P1497">
        <v>-0.15364362057215999</v>
      </c>
      <c r="Q1497">
        <v>3.5417578800763697E-2</v>
      </c>
      <c r="R1497">
        <v>0.99664689573452503</v>
      </c>
      <c r="S1497" t="s">
        <v>5329</v>
      </c>
      <c r="T1497" t="s">
        <v>7662</v>
      </c>
      <c r="U1497" t="s">
        <v>7662</v>
      </c>
      <c r="V1497" t="s">
        <v>7662</v>
      </c>
      <c r="W1497">
        <v>3</v>
      </c>
      <c r="X1497" t="s">
        <v>9159</v>
      </c>
      <c r="Y1497">
        <v>0.33086702151448583</v>
      </c>
      <c r="Z1497" t="str">
        <f>HYPERLINK("Melting_Curves/meltCurve_sp_Q13325_IFIT5_HUMAN_.pdf", "Melting_Curves/meltCurve_sp_Q13325_IFIT5_HUMAN_.pdf")</f>
        <v>Melting_Curves/meltCurve_sp_Q13325_IFIT5_HUMAN_.pdf</v>
      </c>
      <c r="AA1497" t="s">
        <v>12966</v>
      </c>
      <c r="AB1497" t="s">
        <v>16737</v>
      </c>
    </row>
    <row r="1498" spans="1:28" x14ac:dyDescent="0.25">
      <c r="A1498" t="s">
        <v>1502</v>
      </c>
      <c r="B1498">
        <v>0.98876768158843997</v>
      </c>
      <c r="C1498">
        <v>0.86341483101902805</v>
      </c>
      <c r="D1498">
        <v>0.92641033762229896</v>
      </c>
      <c r="E1498">
        <v>0.71872162985062205</v>
      </c>
      <c r="F1498">
        <v>0.246950082022828</v>
      </c>
      <c r="G1498">
        <v>0.12761356401013699</v>
      </c>
      <c r="H1498">
        <v>6.9608574072474602E-2</v>
      </c>
      <c r="I1498">
        <v>2.7295273532289999E-2</v>
      </c>
      <c r="J1498">
        <v>5.1995671190623698E-2</v>
      </c>
      <c r="K1498">
        <v>0</v>
      </c>
      <c r="L1498">
        <v>1588.48199563617</v>
      </c>
      <c r="M1498">
        <v>31.0459325298811</v>
      </c>
      <c r="N1498">
        <v>51.308392483131797</v>
      </c>
      <c r="O1498">
        <v>50.954662774235402</v>
      </c>
      <c r="P1498">
        <v>-0.14601472557079201</v>
      </c>
      <c r="Q1498">
        <v>4.1408897077130198E-2</v>
      </c>
      <c r="R1498">
        <v>0.982446993801393</v>
      </c>
      <c r="S1498" t="s">
        <v>5330</v>
      </c>
      <c r="T1498" t="s">
        <v>7662</v>
      </c>
      <c r="U1498" t="s">
        <v>7662</v>
      </c>
      <c r="V1498" t="s">
        <v>7662</v>
      </c>
      <c r="W1498">
        <v>1</v>
      </c>
      <c r="X1498" t="s">
        <v>9160</v>
      </c>
      <c r="Y1498">
        <v>0.40382466245817322</v>
      </c>
      <c r="Z1498" t="str">
        <f>HYPERLINK("Melting_Curves/meltCurve_sp_Q13330_3_MTA1_HUMAN_.pdf", "Melting_Curves/meltCurve_sp_Q13330_3_MTA1_HUMAN_.pdf")</f>
        <v>Melting_Curves/meltCurve_sp_Q13330_3_MTA1_HUMAN_.pdf</v>
      </c>
      <c r="AA1498" t="s">
        <v>12967</v>
      </c>
      <c r="AB1498" t="s">
        <v>16738</v>
      </c>
    </row>
    <row r="1499" spans="1:28" x14ac:dyDescent="0.25">
      <c r="A1499" t="s">
        <v>1503</v>
      </c>
      <c r="B1499">
        <v>0.98876768158843997</v>
      </c>
      <c r="C1499">
        <v>0.83584187088069895</v>
      </c>
      <c r="D1499">
        <v>0.66721532723201904</v>
      </c>
      <c r="E1499">
        <v>0.25224924091568501</v>
      </c>
      <c r="F1499">
        <v>0.135317624786645</v>
      </c>
      <c r="G1499">
        <v>7.5377548936853903E-2</v>
      </c>
      <c r="H1499">
        <v>5.4963823604424797E-2</v>
      </c>
      <c r="I1499">
        <v>4.91538069587035E-2</v>
      </c>
      <c r="J1499">
        <v>6.1327384180697303E-2</v>
      </c>
      <c r="K1499">
        <v>5.2057279572044403E-2</v>
      </c>
      <c r="L1499">
        <v>947.87692786010905</v>
      </c>
      <c r="M1499">
        <v>20.140944517314001</v>
      </c>
      <c r="N1499">
        <v>47.297948264314599</v>
      </c>
      <c r="O1499">
        <v>46.605615214120597</v>
      </c>
      <c r="P1499">
        <v>-0.102882257732929</v>
      </c>
      <c r="Q1499">
        <v>4.7762806882438599E-2</v>
      </c>
      <c r="R1499">
        <v>0.99666653279070805</v>
      </c>
      <c r="S1499" t="s">
        <v>5331</v>
      </c>
      <c r="T1499" t="s">
        <v>7662</v>
      </c>
      <c r="U1499" t="s">
        <v>7662</v>
      </c>
      <c r="V1499" t="s">
        <v>7662</v>
      </c>
      <c r="W1499">
        <v>5</v>
      </c>
      <c r="X1499" t="s">
        <v>9161</v>
      </c>
      <c r="Y1499">
        <v>0.28561767417724959</v>
      </c>
      <c r="Z1499" t="str">
        <f>HYPERLINK("Melting_Curves/meltCurve_sp_Q13347_EIF3I_HUMAN_.pdf", "Melting_Curves/meltCurve_sp_Q13347_EIF3I_HUMAN_.pdf")</f>
        <v>Melting_Curves/meltCurve_sp_Q13347_EIF3I_HUMAN_.pdf</v>
      </c>
      <c r="AA1499" t="s">
        <v>12968</v>
      </c>
      <c r="AB1499" t="s">
        <v>16739</v>
      </c>
    </row>
    <row r="1500" spans="1:28" x14ac:dyDescent="0.25">
      <c r="A1500" t="s">
        <v>1504</v>
      </c>
      <c r="B1500">
        <v>0.98876768158843997</v>
      </c>
      <c r="C1500">
        <v>0.97161825887540698</v>
      </c>
      <c r="D1500">
        <v>0.824573898896652</v>
      </c>
      <c r="E1500">
        <v>0.498777889333612</v>
      </c>
      <c r="F1500">
        <v>0.30890257008400501</v>
      </c>
      <c r="G1500">
        <v>0.179159224407648</v>
      </c>
      <c r="H1500">
        <v>0.11095762542418899</v>
      </c>
      <c r="I1500">
        <v>6.4630234331849501E-2</v>
      </c>
      <c r="J1500">
        <v>4.2401870017647003E-2</v>
      </c>
      <c r="K1500">
        <v>7.4766570616720304E-2</v>
      </c>
      <c r="L1500">
        <v>862.55924070338995</v>
      </c>
      <c r="M1500">
        <v>17.301146533781399</v>
      </c>
      <c r="N1500">
        <v>50.214836361820197</v>
      </c>
      <c r="O1500">
        <v>49.203849100050299</v>
      </c>
      <c r="P1500">
        <v>-8.2793456128341297E-2</v>
      </c>
      <c r="Q1500">
        <v>5.8207665628179597E-2</v>
      </c>
      <c r="R1500">
        <v>0.99790829252240498</v>
      </c>
      <c r="S1500" t="s">
        <v>5332</v>
      </c>
      <c r="T1500" t="s">
        <v>7662</v>
      </c>
      <c r="U1500" t="s">
        <v>7662</v>
      </c>
      <c r="V1500" t="s">
        <v>7662</v>
      </c>
      <c r="W1500">
        <v>11</v>
      </c>
      <c r="X1500" t="s">
        <v>9162</v>
      </c>
      <c r="Y1500">
        <v>0.38495576945201898</v>
      </c>
      <c r="Z1500" t="str">
        <f>HYPERLINK("Melting_Curves/meltCurve_sp_Q13363_2_CTBP1_HUMAN_.pdf", "Melting_Curves/meltCurve_sp_Q13363_2_CTBP1_HUMAN_.pdf")</f>
        <v>Melting_Curves/meltCurve_sp_Q13363_2_CTBP1_HUMAN_.pdf</v>
      </c>
      <c r="AA1500" t="s">
        <v>12969</v>
      </c>
      <c r="AB1500" t="s">
        <v>16740</v>
      </c>
    </row>
    <row r="1501" spans="1:28" x14ac:dyDescent="0.25">
      <c r="A1501" t="s">
        <v>1505</v>
      </c>
      <c r="B1501">
        <v>0.98876768158843997</v>
      </c>
      <c r="C1501">
        <v>1.18634808649475</v>
      </c>
      <c r="D1501">
        <v>0.80407676910881498</v>
      </c>
      <c r="E1501">
        <v>0.68451363655688902</v>
      </c>
      <c r="F1501">
        <v>0.86292268699000596</v>
      </c>
      <c r="G1501">
        <v>0.55028501642919903</v>
      </c>
      <c r="H1501">
        <v>0.28881843589453798</v>
      </c>
      <c r="I1501">
        <v>0.109630166072458</v>
      </c>
      <c r="J1501">
        <v>2.9320755535818799E-2</v>
      </c>
      <c r="K1501">
        <v>3.9174249067802903E-2</v>
      </c>
      <c r="L1501">
        <v>830.08096566587596</v>
      </c>
      <c r="M1501">
        <v>14.585364249968199</v>
      </c>
      <c r="N1501">
        <v>56.911911942298801</v>
      </c>
      <c r="O1501">
        <v>55.874171147021201</v>
      </c>
      <c r="P1501">
        <v>-6.5267226582482393E-2</v>
      </c>
      <c r="Q1501">
        <v>0</v>
      </c>
      <c r="R1501">
        <v>0.91708754803718495</v>
      </c>
      <c r="S1501" t="s">
        <v>5333</v>
      </c>
      <c r="T1501" t="s">
        <v>7662</v>
      </c>
      <c r="U1501" t="s">
        <v>7662</v>
      </c>
      <c r="V1501" t="s">
        <v>7662</v>
      </c>
      <c r="W1501">
        <v>9</v>
      </c>
      <c r="X1501" t="s">
        <v>9163</v>
      </c>
      <c r="Y1501">
        <v>0.57999215610118837</v>
      </c>
      <c r="Z1501" t="str">
        <f>HYPERLINK("Melting_Curves/meltCurve_sp_Q13404_UB2V1_HUMAN_.pdf", "Melting_Curves/meltCurve_sp_Q13404_UB2V1_HUMAN_.pdf")</f>
        <v>Melting_Curves/meltCurve_sp_Q13404_UB2V1_HUMAN_.pdf</v>
      </c>
      <c r="AA1501" t="s">
        <v>12970</v>
      </c>
      <c r="AB1501" t="s">
        <v>16741</v>
      </c>
    </row>
    <row r="1502" spans="1:28" x14ac:dyDescent="0.25">
      <c r="A1502" t="s">
        <v>1506</v>
      </c>
      <c r="B1502">
        <v>0.98876768158843997</v>
      </c>
      <c r="C1502">
        <v>1.0807892432383299</v>
      </c>
      <c r="D1502">
        <v>1.0900967174102101</v>
      </c>
      <c r="E1502">
        <v>0.58160166216658904</v>
      </c>
      <c r="F1502">
        <v>0.71819400919628495</v>
      </c>
      <c r="G1502">
        <v>0.36918766576053402</v>
      </c>
      <c r="H1502">
        <v>0.136828989349426</v>
      </c>
      <c r="I1502">
        <v>0.122641342879325</v>
      </c>
      <c r="J1502">
        <v>0.10452311225567799</v>
      </c>
      <c r="K1502">
        <v>0.137021534942983</v>
      </c>
      <c r="L1502">
        <v>860.50646276692999</v>
      </c>
      <c r="M1502">
        <v>15.961971331277301</v>
      </c>
      <c r="N1502">
        <v>54.430481414936203</v>
      </c>
      <c r="O1502">
        <v>53.084927457288799</v>
      </c>
      <c r="P1502">
        <v>-6.9855090998401106E-2</v>
      </c>
      <c r="Q1502">
        <v>7.0801786969166197E-2</v>
      </c>
      <c r="R1502">
        <v>0.93807363251722398</v>
      </c>
      <c r="S1502" t="s">
        <v>5334</v>
      </c>
      <c r="T1502" t="s">
        <v>7662</v>
      </c>
      <c r="U1502" t="s">
        <v>7662</v>
      </c>
      <c r="V1502" t="s">
        <v>7662</v>
      </c>
      <c r="W1502">
        <v>3</v>
      </c>
      <c r="X1502" t="s">
        <v>9164</v>
      </c>
      <c r="Y1502">
        <v>0.5193065069069116</v>
      </c>
      <c r="Z1502" t="str">
        <f>HYPERLINK("Melting_Curves/meltCurve_sp_Q13409_6_DC1I2_HUMAN_.pdf", "Melting_Curves/meltCurve_sp_Q13409_6_DC1I2_HUMAN_.pdf")</f>
        <v>Melting_Curves/meltCurve_sp_Q13409_6_DC1I2_HUMAN_.pdf</v>
      </c>
      <c r="AA1502" t="s">
        <v>12971</v>
      </c>
      <c r="AB1502" t="s">
        <v>16742</v>
      </c>
    </row>
    <row r="1503" spans="1:28" x14ac:dyDescent="0.25">
      <c r="A1503" t="s">
        <v>1507</v>
      </c>
      <c r="B1503">
        <v>0.98876768158843997</v>
      </c>
      <c r="C1503">
        <v>0.79351565005870095</v>
      </c>
      <c r="D1503">
        <v>0.69889195944080196</v>
      </c>
      <c r="E1503">
        <v>0.32737206469392999</v>
      </c>
      <c r="F1503">
        <v>0.13191364760695101</v>
      </c>
      <c r="G1503">
        <v>7.3192735798295605E-2</v>
      </c>
      <c r="H1503">
        <v>5.16618325865447E-2</v>
      </c>
      <c r="I1503">
        <v>3.9252233331240498E-2</v>
      </c>
      <c r="J1503">
        <v>5.7080181261883599E-2</v>
      </c>
      <c r="K1503">
        <v>3.9072980732934401E-2</v>
      </c>
      <c r="L1503">
        <v>821.04583821038705</v>
      </c>
      <c r="M1503">
        <v>17.274422819459399</v>
      </c>
      <c r="N1503">
        <v>47.697975124161196</v>
      </c>
      <c r="O1503">
        <v>46.906352216633003</v>
      </c>
      <c r="P1503">
        <v>-8.93504845366654E-2</v>
      </c>
      <c r="Q1503">
        <v>2.9580261655377998E-2</v>
      </c>
      <c r="R1503">
        <v>0.99108128096121995</v>
      </c>
      <c r="S1503" t="s">
        <v>5335</v>
      </c>
      <c r="T1503" t="s">
        <v>7662</v>
      </c>
      <c r="U1503" t="s">
        <v>7662</v>
      </c>
      <c r="V1503" t="s">
        <v>7662</v>
      </c>
      <c r="W1503">
        <v>14</v>
      </c>
      <c r="X1503" t="s">
        <v>9165</v>
      </c>
      <c r="Y1503">
        <v>0.29223420777604819</v>
      </c>
      <c r="Z1503" t="str">
        <f>HYPERLINK("Melting_Curves/meltCurve_sp_Q13418_ILK_HUMAN_.pdf", "Melting_Curves/meltCurve_sp_Q13418_ILK_HUMAN_.pdf")</f>
        <v>Melting_Curves/meltCurve_sp_Q13418_ILK_HUMAN_.pdf</v>
      </c>
      <c r="AA1503" t="s">
        <v>12972</v>
      </c>
      <c r="AB1503" t="s">
        <v>16743</v>
      </c>
    </row>
    <row r="1504" spans="1:28" x14ac:dyDescent="0.25">
      <c r="A1504" t="s">
        <v>1508</v>
      </c>
      <c r="B1504">
        <v>0.98876768158843997</v>
      </c>
      <c r="C1504">
        <v>0.88890013905134702</v>
      </c>
      <c r="D1504">
        <v>0.77015948553910696</v>
      </c>
      <c r="E1504">
        <v>0.394736742404312</v>
      </c>
      <c r="F1504">
        <v>0.291120953444584</v>
      </c>
      <c r="G1504">
        <v>0.14414351873971501</v>
      </c>
      <c r="H1504">
        <v>8.2963407063022798E-2</v>
      </c>
      <c r="I1504">
        <v>7.7267398380022306E-2</v>
      </c>
      <c r="J1504">
        <v>8.0180687000758796E-2</v>
      </c>
      <c r="K1504">
        <v>7.7337412552914805E-2</v>
      </c>
      <c r="L1504">
        <v>810.91898787632101</v>
      </c>
      <c r="M1504">
        <v>16.6586876736554</v>
      </c>
      <c r="N1504">
        <v>49.099516168652599</v>
      </c>
      <c r="O1504">
        <v>47.993205112223897</v>
      </c>
      <c r="P1504">
        <v>-8.10055548287517E-2</v>
      </c>
      <c r="Q1504">
        <v>6.6563690871166994E-2</v>
      </c>
      <c r="R1504">
        <v>0.99652517149661701</v>
      </c>
      <c r="S1504" t="s">
        <v>5336</v>
      </c>
      <c r="T1504" t="s">
        <v>7662</v>
      </c>
      <c r="U1504" t="s">
        <v>7662</v>
      </c>
      <c r="V1504" t="s">
        <v>7662</v>
      </c>
      <c r="W1504">
        <v>7</v>
      </c>
      <c r="X1504" t="s">
        <v>9166</v>
      </c>
      <c r="Y1504">
        <v>0.35559783653604371</v>
      </c>
      <c r="Z1504" t="str">
        <f>HYPERLINK("Melting_Curves/meltCurve_sp_Q13423_NNTM_HUMAN_.pdf", "Melting_Curves/meltCurve_sp_Q13423_NNTM_HUMAN_.pdf")</f>
        <v>Melting_Curves/meltCurve_sp_Q13423_NNTM_HUMAN_.pdf</v>
      </c>
      <c r="AA1504" t="s">
        <v>12973</v>
      </c>
      <c r="AB1504" t="s">
        <v>16744</v>
      </c>
    </row>
    <row r="1505" spans="1:28" x14ac:dyDescent="0.25">
      <c r="A1505" t="s">
        <v>1509</v>
      </c>
      <c r="B1505">
        <v>0.98876768158843997</v>
      </c>
      <c r="C1505">
        <v>0.947185240539268</v>
      </c>
      <c r="D1505">
        <v>0.85134543649326799</v>
      </c>
      <c r="E1505">
        <v>0.71773279864547201</v>
      </c>
      <c r="F1505">
        <v>0.80448856630665999</v>
      </c>
      <c r="G1505">
        <v>0.60329618397560303</v>
      </c>
      <c r="H1505">
        <v>0.39212434958732301</v>
      </c>
      <c r="I1505">
        <v>0.34331907261681699</v>
      </c>
      <c r="J1505">
        <v>0.34425930665431498</v>
      </c>
      <c r="K1505">
        <v>0.38045193181255799</v>
      </c>
      <c r="L1505">
        <v>488.84878409776502</v>
      </c>
      <c r="M1505">
        <v>8.7673908666066698</v>
      </c>
      <c r="N1505">
        <v>59.310926333465503</v>
      </c>
      <c r="O1505">
        <v>53.0850355048983</v>
      </c>
      <c r="P1505">
        <v>-3.2880405593672099E-2</v>
      </c>
      <c r="Q1505">
        <v>0.20429740498163401</v>
      </c>
      <c r="R1505">
        <v>0.94576802591153097</v>
      </c>
      <c r="S1505" t="s">
        <v>5337</v>
      </c>
      <c r="T1505" t="s">
        <v>7662</v>
      </c>
      <c r="U1505" t="s">
        <v>7662</v>
      </c>
      <c r="V1505" t="s">
        <v>7662</v>
      </c>
      <c r="W1505">
        <v>2</v>
      </c>
      <c r="X1505" t="s">
        <v>9167</v>
      </c>
      <c r="Y1505">
        <v>0.63989778886593696</v>
      </c>
      <c r="Z1505" t="str">
        <f>HYPERLINK("Melting_Curves/meltCurve_sp_Q13426_2_XRCC4_HUMAN_.pdf", "Melting_Curves/meltCurve_sp_Q13426_2_XRCC4_HUMAN_.pdf")</f>
        <v>Melting_Curves/meltCurve_sp_Q13426_2_XRCC4_HUMAN_.pdf</v>
      </c>
      <c r="AA1505" t="s">
        <v>12974</v>
      </c>
      <c r="AB1505" t="s">
        <v>16745</v>
      </c>
    </row>
    <row r="1506" spans="1:28" x14ac:dyDescent="0.25">
      <c r="A1506" t="s">
        <v>1510</v>
      </c>
      <c r="B1506">
        <v>0.98876768158843997</v>
      </c>
      <c r="C1506">
        <v>1.19440126230941</v>
      </c>
      <c r="D1506">
        <v>0.86731062339217202</v>
      </c>
      <c r="E1506">
        <v>0.82866325681476505</v>
      </c>
      <c r="F1506">
        <v>1.09877760089756</v>
      </c>
      <c r="G1506">
        <v>0.79660232013719201</v>
      </c>
      <c r="H1506">
        <v>0.61569003965219504</v>
      </c>
      <c r="I1506">
        <v>0.77444264004122298</v>
      </c>
      <c r="J1506">
        <v>0.722535103961639</v>
      </c>
      <c r="K1506">
        <v>1.1846954367029701</v>
      </c>
      <c r="L1506">
        <v>891.61778716694801</v>
      </c>
      <c r="M1506">
        <v>17.7592681948571</v>
      </c>
      <c r="O1506">
        <v>49.5821755812267</v>
      </c>
      <c r="P1506">
        <v>-1.46526517558737E-2</v>
      </c>
      <c r="Q1506">
        <v>0.83637332897980698</v>
      </c>
      <c r="R1506">
        <v>0.163648416263345</v>
      </c>
      <c r="S1506" t="s">
        <v>5338</v>
      </c>
      <c r="T1506" t="s">
        <v>7662</v>
      </c>
      <c r="U1506" t="s">
        <v>7662</v>
      </c>
      <c r="V1506" t="s">
        <v>7662</v>
      </c>
      <c r="W1506">
        <v>26</v>
      </c>
      <c r="X1506" t="s">
        <v>9168</v>
      </c>
      <c r="Y1506">
        <v>0.89489215214753404</v>
      </c>
      <c r="Z1506" t="str">
        <f>HYPERLINK("Melting_Curves/meltCurve_sp_Q13428_TCOF_HUMAN_.pdf", "Melting_Curves/meltCurve_sp_Q13428_TCOF_HUMAN_.pdf")</f>
        <v>Melting_Curves/meltCurve_sp_Q13428_TCOF_HUMAN_.pdf</v>
      </c>
      <c r="AA1506" t="s">
        <v>12975</v>
      </c>
      <c r="AB1506" t="s">
        <v>16746</v>
      </c>
    </row>
    <row r="1507" spans="1:28" x14ac:dyDescent="0.25">
      <c r="A1507" t="s">
        <v>1511</v>
      </c>
      <c r="B1507">
        <v>0.98876768158843997</v>
      </c>
      <c r="C1507">
        <v>1.0740172924456299</v>
      </c>
      <c r="D1507">
        <v>0.94887212114668495</v>
      </c>
      <c r="E1507">
        <v>0.81578773451106501</v>
      </c>
      <c r="F1507">
        <v>0.71143523098092898</v>
      </c>
      <c r="G1507">
        <v>0.50451925550991905</v>
      </c>
      <c r="H1507">
        <v>0.31475689359629799</v>
      </c>
      <c r="I1507">
        <v>0.304771730473264</v>
      </c>
      <c r="J1507">
        <v>0.31699150546555599</v>
      </c>
      <c r="K1507">
        <v>0.359419537922469</v>
      </c>
      <c r="L1507">
        <v>980.22375847588103</v>
      </c>
      <c r="M1507">
        <v>18.281514194320799</v>
      </c>
      <c r="N1507">
        <v>56.429737358783399</v>
      </c>
      <c r="O1507">
        <v>52.989083402106402</v>
      </c>
      <c r="P1507">
        <v>-6.0473370405671002E-2</v>
      </c>
      <c r="Q1507">
        <v>0.29890266142245497</v>
      </c>
      <c r="R1507">
        <v>0.98132980172692197</v>
      </c>
      <c r="S1507" t="s">
        <v>5339</v>
      </c>
      <c r="T1507" t="s">
        <v>7662</v>
      </c>
      <c r="U1507" t="s">
        <v>7662</v>
      </c>
      <c r="V1507" t="s">
        <v>7662</v>
      </c>
      <c r="W1507">
        <v>19</v>
      </c>
      <c r="X1507" t="s">
        <v>9169</v>
      </c>
      <c r="Y1507">
        <v>0.62822226160862304</v>
      </c>
      <c r="Z1507" t="str">
        <f>HYPERLINK("Melting_Curves/meltCurve_sp_Q13435_SF3B2_HUMAN_.pdf", "Melting_Curves/meltCurve_sp_Q13435_SF3B2_HUMAN_.pdf")</f>
        <v>Melting_Curves/meltCurve_sp_Q13435_SF3B2_HUMAN_.pdf</v>
      </c>
      <c r="AA1507" t="s">
        <v>12976</v>
      </c>
      <c r="AB1507" t="s">
        <v>16747</v>
      </c>
    </row>
    <row r="1508" spans="1:28" x14ac:dyDescent="0.25">
      <c r="A1508" t="s">
        <v>1512</v>
      </c>
      <c r="B1508">
        <v>0.98876768158843997</v>
      </c>
      <c r="C1508">
        <v>1.09693015065001</v>
      </c>
      <c r="D1508">
        <v>0.91082677700299797</v>
      </c>
      <c r="E1508">
        <v>0.78784658676679897</v>
      </c>
      <c r="F1508">
        <v>0.77623777108585701</v>
      </c>
      <c r="G1508">
        <v>0.55856857490628098</v>
      </c>
      <c r="H1508">
        <v>0.43278714979192601</v>
      </c>
      <c r="I1508">
        <v>0.48204599743246601</v>
      </c>
      <c r="J1508">
        <v>0.64796026424892506</v>
      </c>
      <c r="K1508">
        <v>0.65887475522104499</v>
      </c>
      <c r="L1508">
        <v>1084.0565567054</v>
      </c>
      <c r="M1508">
        <v>21.247157435993199</v>
      </c>
      <c r="O1508">
        <v>50.575740529934102</v>
      </c>
      <c r="P1508">
        <v>-4.7007129392630603E-2</v>
      </c>
      <c r="Q1508">
        <v>0.55243716210688998</v>
      </c>
      <c r="R1508">
        <v>0.84559178140064095</v>
      </c>
      <c r="S1508" t="s">
        <v>5340</v>
      </c>
      <c r="T1508" t="s">
        <v>7662</v>
      </c>
      <c r="U1508" t="s">
        <v>7662</v>
      </c>
      <c r="V1508" t="s">
        <v>7662</v>
      </c>
      <c r="W1508">
        <v>5</v>
      </c>
      <c r="X1508" t="s">
        <v>9170</v>
      </c>
      <c r="Y1508">
        <v>0.72240299331162583</v>
      </c>
      <c r="Z1508" t="str">
        <f>HYPERLINK("Melting_Curves/meltCurve_sp_Q13442_HAP28_HUMAN_.pdf", "Melting_Curves/meltCurve_sp_Q13442_HAP28_HUMAN_.pdf")</f>
        <v>Melting_Curves/meltCurve_sp_Q13442_HAP28_HUMAN_.pdf</v>
      </c>
      <c r="AA1508" t="s">
        <v>12977</v>
      </c>
      <c r="AB1508" t="s">
        <v>16748</v>
      </c>
    </row>
    <row r="1509" spans="1:28" x14ac:dyDescent="0.25">
      <c r="A1509" t="s">
        <v>1513</v>
      </c>
      <c r="B1509">
        <v>0.98876768158843997</v>
      </c>
      <c r="C1509">
        <v>0.95538732033692697</v>
      </c>
      <c r="D1509">
        <v>0.82035894463678405</v>
      </c>
      <c r="E1509">
        <v>0.37871945823404501</v>
      </c>
      <c r="F1509">
        <v>0.18529194455349501</v>
      </c>
      <c r="G1509">
        <v>0.10235052103902301</v>
      </c>
      <c r="H1509">
        <v>6.3200857116692502E-2</v>
      </c>
      <c r="I1509">
        <v>5.5238882168154098E-2</v>
      </c>
      <c r="J1509">
        <v>6.0938174065730599E-2</v>
      </c>
      <c r="K1509">
        <v>6.0016417448489998E-2</v>
      </c>
      <c r="L1509">
        <v>1152.07060350595</v>
      </c>
      <c r="M1509">
        <v>23.664213823797599</v>
      </c>
      <c r="N1509">
        <v>48.948304510175802</v>
      </c>
      <c r="O1509">
        <v>48.340398733850201</v>
      </c>
      <c r="P1509">
        <v>-0.115047253605399</v>
      </c>
      <c r="Q1509">
        <v>5.9957805327399603E-2</v>
      </c>
      <c r="R1509">
        <v>0.99960139015145499</v>
      </c>
      <c r="S1509" t="s">
        <v>5341</v>
      </c>
      <c r="T1509" t="s">
        <v>7662</v>
      </c>
      <c r="U1509" t="s">
        <v>7662</v>
      </c>
      <c r="V1509" t="s">
        <v>7662</v>
      </c>
      <c r="W1509">
        <v>24</v>
      </c>
      <c r="X1509" t="s">
        <v>9171</v>
      </c>
      <c r="Y1509">
        <v>0.34139321532968181</v>
      </c>
      <c r="Z1509" t="str">
        <f>HYPERLINK("Melting_Curves/meltCurve_sp_Q13451_FKBP5_HUMAN_.pdf", "Melting_Curves/meltCurve_sp_Q13451_FKBP5_HUMAN_.pdf")</f>
        <v>Melting_Curves/meltCurve_sp_Q13451_FKBP5_HUMAN_.pdf</v>
      </c>
      <c r="AA1509" t="s">
        <v>12978</v>
      </c>
      <c r="AB1509" t="s">
        <v>16749</v>
      </c>
    </row>
    <row r="1510" spans="1:28" x14ac:dyDescent="0.25">
      <c r="A1510" t="s">
        <v>1514</v>
      </c>
      <c r="B1510">
        <v>0.98876768158843997</v>
      </c>
      <c r="C1510">
        <v>0.92125553537511395</v>
      </c>
      <c r="D1510">
        <v>1.0709857216446399</v>
      </c>
      <c r="E1510">
        <v>0.86462216564934302</v>
      </c>
      <c r="F1510">
        <v>0.26509796761660198</v>
      </c>
      <c r="G1510">
        <v>0.13094070390134099</v>
      </c>
      <c r="H1510">
        <v>7.5673838263964496E-2</v>
      </c>
      <c r="I1510">
        <v>6.44064514281322E-2</v>
      </c>
      <c r="J1510">
        <v>7.3362744702975602E-2</v>
      </c>
      <c r="K1510">
        <v>6.8567086888442402E-2</v>
      </c>
      <c r="L1510">
        <v>2751.4280360433099</v>
      </c>
      <c r="M1510">
        <v>53.277658821914102</v>
      </c>
      <c r="N1510">
        <v>51.814680804913998</v>
      </c>
      <c r="O1510">
        <v>51.5705826986011</v>
      </c>
      <c r="P1510">
        <v>-0.23739899080722099</v>
      </c>
      <c r="Q1510">
        <v>8.0830792431764997E-2</v>
      </c>
      <c r="R1510">
        <v>0.99214077938994405</v>
      </c>
      <c r="S1510" t="s">
        <v>5342</v>
      </c>
      <c r="T1510" t="s">
        <v>7662</v>
      </c>
      <c r="U1510" t="s">
        <v>7662</v>
      </c>
      <c r="V1510" t="s">
        <v>7662</v>
      </c>
      <c r="W1510">
        <v>29</v>
      </c>
      <c r="X1510" t="s">
        <v>9172</v>
      </c>
      <c r="Y1510">
        <v>0.43940893656112018</v>
      </c>
      <c r="Z1510" t="str">
        <f>HYPERLINK("Melting_Curves/meltCurve_sp_Q13464_ROCK1_HUMAN_.pdf", "Melting_Curves/meltCurve_sp_Q13464_ROCK1_HUMAN_.pdf")</f>
        <v>Melting_Curves/meltCurve_sp_Q13464_ROCK1_HUMAN_.pdf</v>
      </c>
      <c r="AA1510" t="s">
        <v>12979</v>
      </c>
      <c r="AB1510" t="s">
        <v>16750</v>
      </c>
    </row>
    <row r="1511" spans="1:28" x14ac:dyDescent="0.25">
      <c r="A1511" t="s">
        <v>1515</v>
      </c>
      <c r="B1511">
        <v>0.98876768158843997</v>
      </c>
      <c r="C1511">
        <v>1.0329139586625999</v>
      </c>
      <c r="D1511">
        <v>0.829448906654078</v>
      </c>
      <c r="E1511">
        <v>0.54676508508243804</v>
      </c>
      <c r="F1511">
        <v>0.69239884693068898</v>
      </c>
      <c r="G1511">
        <v>0.29964294300221</v>
      </c>
      <c r="H1511">
        <v>0.16343324129367701</v>
      </c>
      <c r="I1511">
        <v>0.18759941270577901</v>
      </c>
      <c r="J1511">
        <v>0.221246409281115</v>
      </c>
      <c r="K1511">
        <v>0.27787483325357698</v>
      </c>
      <c r="L1511">
        <v>717.42481402042904</v>
      </c>
      <c r="M1511">
        <v>13.953155106886101</v>
      </c>
      <c r="N1511">
        <v>53.069926776602202</v>
      </c>
      <c r="O1511">
        <v>50.395099735829099</v>
      </c>
      <c r="P1511">
        <v>-5.7025803320300703E-2</v>
      </c>
      <c r="Q1511">
        <v>0.17626207472631</v>
      </c>
      <c r="R1511">
        <v>0.92524106627008995</v>
      </c>
      <c r="S1511" t="s">
        <v>5343</v>
      </c>
      <c r="T1511" t="s">
        <v>7662</v>
      </c>
      <c r="U1511" t="s">
        <v>7662</v>
      </c>
      <c r="V1511" t="s">
        <v>7662</v>
      </c>
      <c r="W1511">
        <v>9</v>
      </c>
      <c r="X1511" t="s">
        <v>9173</v>
      </c>
      <c r="Y1511">
        <v>0.51077456778184926</v>
      </c>
      <c r="Z1511" t="str">
        <f>HYPERLINK("Melting_Curves/meltCurve_sp_Q13492_3_PICAL_HUMAN_.pdf", "Melting_Curves/meltCurve_sp_Q13492_3_PICAL_HUMAN_.pdf")</f>
        <v>Melting_Curves/meltCurve_sp_Q13492_3_PICAL_HUMAN_.pdf</v>
      </c>
      <c r="AA1511" t="s">
        <v>12980</v>
      </c>
      <c r="AB1511" t="s">
        <v>16751</v>
      </c>
    </row>
    <row r="1512" spans="1:28" x14ac:dyDescent="0.25">
      <c r="A1512" t="s">
        <v>1516</v>
      </c>
      <c r="B1512">
        <v>0.98876768158843997</v>
      </c>
      <c r="C1512">
        <v>0.72481489509871</v>
      </c>
      <c r="D1512">
        <v>0.940492687789376</v>
      </c>
      <c r="E1512">
        <v>0.68697951538812696</v>
      </c>
      <c r="F1512">
        <v>0.36591621713066003</v>
      </c>
      <c r="G1512">
        <v>0.23614828921275699</v>
      </c>
      <c r="H1512">
        <v>0.121076023681099</v>
      </c>
      <c r="I1512">
        <v>8.1744235832832204E-2</v>
      </c>
      <c r="J1512">
        <v>9.8478515647632298E-2</v>
      </c>
      <c r="K1512">
        <v>9.1757276617846606E-2</v>
      </c>
      <c r="L1512">
        <v>758.55264307880998</v>
      </c>
      <c r="M1512">
        <v>14.748069420529101</v>
      </c>
      <c r="N1512">
        <v>51.8119377565056</v>
      </c>
      <c r="O1512">
        <v>50.516146486912596</v>
      </c>
      <c r="P1512">
        <v>-6.9272556599294793E-2</v>
      </c>
      <c r="Q1512">
        <v>5.0993113235333898E-2</v>
      </c>
      <c r="R1512">
        <v>0.94452790376463902</v>
      </c>
      <c r="S1512" t="s">
        <v>5344</v>
      </c>
      <c r="T1512" t="s">
        <v>7662</v>
      </c>
      <c r="U1512" t="s">
        <v>7662</v>
      </c>
      <c r="V1512" t="s">
        <v>7662</v>
      </c>
      <c r="W1512">
        <v>8</v>
      </c>
      <c r="X1512" t="s">
        <v>9174</v>
      </c>
      <c r="Y1512">
        <v>0.43490736420234338</v>
      </c>
      <c r="Z1512" t="str">
        <f>HYPERLINK("Melting_Curves/meltCurve_sp_Q13496_MTM1_HUMAN_.pdf", "Melting_Curves/meltCurve_sp_Q13496_MTM1_HUMAN_.pdf")</f>
        <v>Melting_Curves/meltCurve_sp_Q13496_MTM1_HUMAN_.pdf</v>
      </c>
      <c r="AA1512" t="s">
        <v>12981</v>
      </c>
      <c r="AB1512" t="s">
        <v>16752</v>
      </c>
    </row>
    <row r="1513" spans="1:28" x14ac:dyDescent="0.25">
      <c r="A1513" t="s">
        <v>1517</v>
      </c>
      <c r="B1513">
        <v>0.98876768158843997</v>
      </c>
      <c r="C1513">
        <v>0.97237314279386</v>
      </c>
      <c r="D1513">
        <v>0.93049590206337596</v>
      </c>
      <c r="E1513">
        <v>0.67431373213208101</v>
      </c>
      <c r="F1513">
        <v>0.57931234530632003</v>
      </c>
      <c r="G1513">
        <v>0.379218398019535</v>
      </c>
      <c r="H1513">
        <v>0.26954656813298</v>
      </c>
      <c r="I1513">
        <v>0.28649948967004202</v>
      </c>
      <c r="J1513">
        <v>0.42627094450576303</v>
      </c>
      <c r="K1513">
        <v>0.40944840092231399</v>
      </c>
      <c r="L1513">
        <v>1046.37483177173</v>
      </c>
      <c r="M1513">
        <v>20.722717910755001</v>
      </c>
      <c r="N1513">
        <v>53.4834988344534</v>
      </c>
      <c r="O1513">
        <v>50.030932248832499</v>
      </c>
      <c r="P1513">
        <v>-6.8035377515403894E-2</v>
      </c>
      <c r="Q1513">
        <v>0.34298637624738398</v>
      </c>
      <c r="R1513">
        <v>0.96171110308889596</v>
      </c>
      <c r="S1513" t="s">
        <v>5345</v>
      </c>
      <c r="T1513" t="s">
        <v>7662</v>
      </c>
      <c r="U1513" t="s">
        <v>7662</v>
      </c>
      <c r="V1513" t="s">
        <v>7662</v>
      </c>
      <c r="W1513">
        <v>4</v>
      </c>
      <c r="X1513" t="s">
        <v>9175</v>
      </c>
      <c r="Y1513">
        <v>0.58134210734590386</v>
      </c>
      <c r="Z1513" t="str">
        <f>HYPERLINK("Melting_Curves/meltCurve_sp_Q13501_2_SQSTM_HUMAN_.pdf", "Melting_Curves/meltCurve_sp_Q13501_2_SQSTM_HUMAN_.pdf")</f>
        <v>Melting_Curves/meltCurve_sp_Q13501_2_SQSTM_HUMAN_.pdf</v>
      </c>
      <c r="AA1513" t="s">
        <v>12982</v>
      </c>
      <c r="AB1513" t="s">
        <v>16753</v>
      </c>
    </row>
    <row r="1514" spans="1:28" x14ac:dyDescent="0.25">
      <c r="A1514" t="s">
        <v>1518</v>
      </c>
      <c r="B1514">
        <v>0.98876768158843997</v>
      </c>
      <c r="C1514">
        <v>0.74688130145103704</v>
      </c>
      <c r="D1514">
        <v>0.71695187411621997</v>
      </c>
      <c r="E1514">
        <v>0.35629085984707998</v>
      </c>
      <c r="F1514">
        <v>0.249898312768565</v>
      </c>
      <c r="G1514">
        <v>0.11915292175676601</v>
      </c>
      <c r="H1514">
        <v>2.3968641364495599E-2</v>
      </c>
      <c r="I1514">
        <v>0</v>
      </c>
      <c r="J1514">
        <v>2.90086965659496E-2</v>
      </c>
      <c r="K1514">
        <v>0</v>
      </c>
      <c r="L1514">
        <v>651.51033227945697</v>
      </c>
      <c r="M1514">
        <v>13.516977530846701</v>
      </c>
      <c r="N1514">
        <v>48.199403179011703</v>
      </c>
      <c r="O1514">
        <v>47.181150552570003</v>
      </c>
      <c r="P1514">
        <v>-7.1633642787507501E-2</v>
      </c>
      <c r="Q1514">
        <v>0</v>
      </c>
      <c r="R1514">
        <v>0.98468272567543103</v>
      </c>
      <c r="S1514" t="s">
        <v>5346</v>
      </c>
      <c r="T1514" t="s">
        <v>7662</v>
      </c>
      <c r="U1514" t="s">
        <v>7662</v>
      </c>
      <c r="V1514" t="s">
        <v>7662</v>
      </c>
      <c r="W1514">
        <v>12</v>
      </c>
      <c r="X1514" t="s">
        <v>9176</v>
      </c>
      <c r="Y1514">
        <v>0.30444575691700371</v>
      </c>
      <c r="Z1514" t="str">
        <f>HYPERLINK("Melting_Curves/meltCurve_sp_Q13509_TBB3_HUMAN_.pdf", "Melting_Curves/meltCurve_sp_Q13509_TBB3_HUMAN_.pdf")</f>
        <v>Melting_Curves/meltCurve_sp_Q13509_TBB3_HUMAN_.pdf</v>
      </c>
      <c r="AA1514" t="s">
        <v>12983</v>
      </c>
      <c r="AB1514" t="s">
        <v>16754</v>
      </c>
    </row>
    <row r="1515" spans="1:28" x14ac:dyDescent="0.25">
      <c r="A1515" t="s">
        <v>1519</v>
      </c>
      <c r="B1515">
        <v>0.98876768158843997</v>
      </c>
      <c r="C1515">
        <v>1.3325987042585701</v>
      </c>
      <c r="D1515">
        <v>1.0169812074285101</v>
      </c>
      <c r="E1515">
        <v>0.90630138066876698</v>
      </c>
      <c r="F1515">
        <v>0.80558817067937105</v>
      </c>
      <c r="G1515">
        <v>0.98458129569712205</v>
      </c>
      <c r="H1515">
        <v>0.92362977275039304</v>
      </c>
      <c r="I1515">
        <v>1.0485727561894</v>
      </c>
      <c r="J1515">
        <v>1.4896450098231599</v>
      </c>
      <c r="K1515">
        <v>1.57010945693396</v>
      </c>
      <c r="L1515">
        <v>8858.8115396724206</v>
      </c>
      <c r="M1515">
        <v>136.18350922323199</v>
      </c>
      <c r="O1515">
        <v>65.036522116853604</v>
      </c>
      <c r="P1515">
        <v>0.261744306977719</v>
      </c>
      <c r="Q1515">
        <v>1.5</v>
      </c>
      <c r="R1515">
        <v>0.72673042182309899</v>
      </c>
      <c r="S1515" t="s">
        <v>5347</v>
      </c>
      <c r="T1515" t="s">
        <v>7662</v>
      </c>
      <c r="U1515" t="s">
        <v>7662</v>
      </c>
      <c r="V1515" t="s">
        <v>7662</v>
      </c>
      <c r="W1515">
        <v>2</v>
      </c>
      <c r="X1515" t="s">
        <v>9177</v>
      </c>
      <c r="Y1515">
        <v>1.082299061878838</v>
      </c>
      <c r="Z1515" t="str">
        <f>HYPERLINK("Melting_Curves/meltCurve_sp_Q13522_PPR1A_HUMAN_.pdf", "Melting_Curves/meltCurve_sp_Q13522_PPR1A_HUMAN_.pdf")</f>
        <v>Melting_Curves/meltCurve_sp_Q13522_PPR1A_HUMAN_.pdf</v>
      </c>
      <c r="AA1515" t="s">
        <v>12984</v>
      </c>
      <c r="AB1515" t="s">
        <v>16755</v>
      </c>
    </row>
    <row r="1516" spans="1:28" x14ac:dyDescent="0.25">
      <c r="A1516" t="s">
        <v>1520</v>
      </c>
      <c r="B1516">
        <v>0.98876768158843997</v>
      </c>
      <c r="C1516">
        <v>1.1617990211924101</v>
      </c>
      <c r="D1516">
        <v>0.88723146413985099</v>
      </c>
      <c r="E1516">
        <v>0.78271282066454995</v>
      </c>
      <c r="F1516">
        <v>0.84444965758347901</v>
      </c>
      <c r="G1516">
        <v>0.51338294925147598</v>
      </c>
      <c r="H1516">
        <v>0.37488009060356298</v>
      </c>
      <c r="I1516">
        <v>0.41172089838425202</v>
      </c>
      <c r="J1516">
        <v>0.53489983227850402</v>
      </c>
      <c r="K1516">
        <v>0.61482367147085104</v>
      </c>
      <c r="L1516">
        <v>1120.32243488788</v>
      </c>
      <c r="M1516">
        <v>21.297847450373901</v>
      </c>
      <c r="N1516">
        <v>61.286446774153298</v>
      </c>
      <c r="O1516">
        <v>52.145470237461701</v>
      </c>
      <c r="P1516">
        <v>-5.3552426217600001E-2</v>
      </c>
      <c r="Q1516">
        <v>0.47554429933623599</v>
      </c>
      <c r="R1516">
        <v>0.82932353680800797</v>
      </c>
      <c r="S1516" t="s">
        <v>5348</v>
      </c>
      <c r="T1516" t="s">
        <v>7662</v>
      </c>
      <c r="U1516" t="s">
        <v>7662</v>
      </c>
      <c r="V1516" t="s">
        <v>7662</v>
      </c>
      <c r="W1516">
        <v>5</v>
      </c>
      <c r="X1516" t="s">
        <v>9178</v>
      </c>
      <c r="Y1516">
        <v>0.70233515264023505</v>
      </c>
      <c r="Z1516" t="str">
        <f>HYPERLINK("Melting_Curves/meltCurve_sp_Q13526_PIN1_HUMAN_.pdf", "Melting_Curves/meltCurve_sp_Q13526_PIN1_HUMAN_.pdf")</f>
        <v>Melting_Curves/meltCurve_sp_Q13526_PIN1_HUMAN_.pdf</v>
      </c>
      <c r="AA1516" t="s">
        <v>12985</v>
      </c>
      <c r="AB1516" t="s">
        <v>16756</v>
      </c>
    </row>
    <row r="1517" spans="1:28" x14ac:dyDescent="0.25">
      <c r="A1517" t="s">
        <v>1521</v>
      </c>
      <c r="B1517">
        <v>0.98876768158843997</v>
      </c>
      <c r="C1517">
        <v>0.86632890942888197</v>
      </c>
      <c r="D1517">
        <v>1.0623097968461499</v>
      </c>
      <c r="E1517">
        <v>0.97940397853388395</v>
      </c>
      <c r="F1517">
        <v>0.76802680392503897</v>
      </c>
      <c r="G1517">
        <v>0.56075836756667496</v>
      </c>
      <c r="H1517">
        <v>0.36568121217410698</v>
      </c>
      <c r="I1517">
        <v>0.23743816161278999</v>
      </c>
      <c r="J1517">
        <v>0.18170806072992099</v>
      </c>
      <c r="K1517">
        <v>0.18367399750549701</v>
      </c>
      <c r="L1517">
        <v>1005.6363613255201</v>
      </c>
      <c r="M1517">
        <v>17.703737455682798</v>
      </c>
      <c r="N1517">
        <v>57.9215909737554</v>
      </c>
      <c r="O1517">
        <v>56.093724327634199</v>
      </c>
      <c r="P1517">
        <v>-6.7487083499680495E-2</v>
      </c>
      <c r="Q1517">
        <v>0.14472241420298401</v>
      </c>
      <c r="R1517">
        <v>0.97493674558575105</v>
      </c>
      <c r="S1517" t="s">
        <v>5349</v>
      </c>
      <c r="T1517" t="s">
        <v>7662</v>
      </c>
      <c r="U1517" t="s">
        <v>7662</v>
      </c>
      <c r="V1517" t="s">
        <v>7662</v>
      </c>
      <c r="W1517">
        <v>2</v>
      </c>
      <c r="X1517" t="s">
        <v>9179</v>
      </c>
      <c r="Y1517">
        <v>0.63590886189546703</v>
      </c>
      <c r="Z1517" t="str">
        <f>HYPERLINK("Melting_Curves/meltCurve_sp_Q13541_4EBP1_HUMAN_.pdf", "Melting_Curves/meltCurve_sp_Q13541_4EBP1_HUMAN_.pdf")</f>
        <v>Melting_Curves/meltCurve_sp_Q13541_4EBP1_HUMAN_.pdf</v>
      </c>
      <c r="AA1517" t="s">
        <v>12986</v>
      </c>
      <c r="AB1517" t="s">
        <v>16757</v>
      </c>
    </row>
    <row r="1518" spans="1:28" x14ac:dyDescent="0.25">
      <c r="A1518" t="s">
        <v>1522</v>
      </c>
      <c r="B1518">
        <v>0.98876768158843997</v>
      </c>
      <c r="C1518">
        <v>1.0284625341205</v>
      </c>
      <c r="D1518">
        <v>0.80739259445981104</v>
      </c>
      <c r="E1518">
        <v>0.47301280843833099</v>
      </c>
      <c r="F1518">
        <v>0.22176287694373101</v>
      </c>
      <c r="G1518">
        <v>0.110614701069591</v>
      </c>
      <c r="H1518">
        <v>7.6548333802174795E-2</v>
      </c>
      <c r="I1518">
        <v>8.2001889400195302E-2</v>
      </c>
      <c r="J1518">
        <v>8.7985400525689303E-2</v>
      </c>
      <c r="K1518">
        <v>9.1675616962717699E-2</v>
      </c>
      <c r="L1518">
        <v>1119.1398620908401</v>
      </c>
      <c r="M1518">
        <v>22.751855981911199</v>
      </c>
      <c r="N1518">
        <v>49.5604616033404</v>
      </c>
      <c r="O1518">
        <v>48.813674728216</v>
      </c>
      <c r="P1518">
        <v>-0.10739060768707299</v>
      </c>
      <c r="Q1518">
        <v>7.8399965388821199E-2</v>
      </c>
      <c r="R1518">
        <v>0.99603267719966904</v>
      </c>
      <c r="S1518" t="s">
        <v>5350</v>
      </c>
      <c r="T1518" t="s">
        <v>7662</v>
      </c>
      <c r="U1518" t="s">
        <v>7662</v>
      </c>
      <c r="V1518" t="s">
        <v>7662</v>
      </c>
      <c r="W1518">
        <v>10</v>
      </c>
      <c r="X1518" t="s">
        <v>9180</v>
      </c>
      <c r="Y1518">
        <v>0.37060233752934563</v>
      </c>
      <c r="Z1518" t="str">
        <f>HYPERLINK("Melting_Curves/meltCurve_sp_Q13546_RIPK1_HUMAN_.pdf", "Melting_Curves/meltCurve_sp_Q13546_RIPK1_HUMAN_.pdf")</f>
        <v>Melting_Curves/meltCurve_sp_Q13546_RIPK1_HUMAN_.pdf</v>
      </c>
      <c r="AA1518" t="s">
        <v>12987</v>
      </c>
      <c r="AB1518" t="s">
        <v>16758</v>
      </c>
    </row>
    <row r="1519" spans="1:28" x14ac:dyDescent="0.25">
      <c r="A1519" t="s">
        <v>1523</v>
      </c>
      <c r="B1519">
        <v>0.98876768158843997</v>
      </c>
      <c r="C1519">
        <v>0.887932590693434</v>
      </c>
      <c r="D1519">
        <v>0.909552300696433</v>
      </c>
      <c r="E1519">
        <v>0.53461650520813997</v>
      </c>
      <c r="F1519">
        <v>0.207236805622417</v>
      </c>
      <c r="G1519">
        <v>9.89499846337559E-2</v>
      </c>
      <c r="H1519">
        <v>4.8197384300519501E-2</v>
      </c>
      <c r="I1519">
        <v>4.3695058996497199E-2</v>
      </c>
      <c r="J1519">
        <v>4.7770827081157097E-2</v>
      </c>
      <c r="K1519">
        <v>3.5482157818040601E-2</v>
      </c>
      <c r="L1519">
        <v>1211.1015017090101</v>
      </c>
      <c r="M1519">
        <v>24.223718161788099</v>
      </c>
      <c r="N1519">
        <v>50.163802344229097</v>
      </c>
      <c r="O1519">
        <v>49.659523102244897</v>
      </c>
      <c r="P1519">
        <v>-0.11721887930410201</v>
      </c>
      <c r="Q1519">
        <v>3.8802400726621798E-2</v>
      </c>
      <c r="R1519">
        <v>0.99300371462108705</v>
      </c>
      <c r="S1519" t="s">
        <v>5351</v>
      </c>
      <c r="T1519" t="s">
        <v>7662</v>
      </c>
      <c r="U1519" t="s">
        <v>7662</v>
      </c>
      <c r="V1519" t="s">
        <v>7662</v>
      </c>
      <c r="W1519">
        <v>3</v>
      </c>
      <c r="X1519" t="s">
        <v>9181</v>
      </c>
      <c r="Y1519">
        <v>0.36824249507609708</v>
      </c>
      <c r="Z1519" t="str">
        <f>HYPERLINK("Melting_Curves/meltCurve_sp_Q13547_HDAC1_HUMAN_.pdf", "Melting_Curves/meltCurve_sp_Q13547_HDAC1_HUMAN_.pdf")</f>
        <v>Melting_Curves/meltCurve_sp_Q13547_HDAC1_HUMAN_.pdf</v>
      </c>
      <c r="AA1519" t="s">
        <v>12988</v>
      </c>
      <c r="AB1519" t="s">
        <v>16759</v>
      </c>
    </row>
    <row r="1520" spans="1:28" x14ac:dyDescent="0.25">
      <c r="A1520" t="s">
        <v>1524</v>
      </c>
      <c r="B1520">
        <v>0.98876768158843997</v>
      </c>
      <c r="C1520">
        <v>0.99721095368199197</v>
      </c>
      <c r="D1520">
        <v>0.81244136418632795</v>
      </c>
      <c r="E1520">
        <v>0.63334162734408495</v>
      </c>
      <c r="F1520">
        <v>0.53606723297179004</v>
      </c>
      <c r="G1520">
        <v>0.30403107356083597</v>
      </c>
      <c r="H1520">
        <v>0.11716529324656</v>
      </c>
      <c r="I1520">
        <v>0.102036308006522</v>
      </c>
      <c r="J1520">
        <v>0.120669773362963</v>
      </c>
      <c r="K1520">
        <v>0.130560601495082</v>
      </c>
      <c r="L1520">
        <v>685.14899950365202</v>
      </c>
      <c r="M1520">
        <v>13.134760646928999</v>
      </c>
      <c r="N1520">
        <v>52.646805804950702</v>
      </c>
      <c r="O1520">
        <v>50.998361628221701</v>
      </c>
      <c r="P1520">
        <v>-6.0738134598056298E-2</v>
      </c>
      <c r="Q1520">
        <v>5.68477559485586E-2</v>
      </c>
      <c r="R1520">
        <v>0.98711943010332304</v>
      </c>
      <c r="S1520" t="s">
        <v>5352</v>
      </c>
      <c r="T1520" t="s">
        <v>7662</v>
      </c>
      <c r="U1520" t="s">
        <v>7662</v>
      </c>
      <c r="V1520" t="s">
        <v>7662</v>
      </c>
      <c r="W1520">
        <v>12</v>
      </c>
      <c r="X1520" t="s">
        <v>9182</v>
      </c>
      <c r="Y1520">
        <v>0.46459612677660272</v>
      </c>
      <c r="Z1520" t="str">
        <f>HYPERLINK("Melting_Curves/meltCurve_sp_Q13557_8_KCC2D_HUMAN_.pdf", "Melting_Curves/meltCurve_sp_Q13557_8_KCC2D_HUMAN_.pdf")</f>
        <v>Melting_Curves/meltCurve_sp_Q13557_8_KCC2D_HUMAN_.pdf</v>
      </c>
      <c r="AA1520" t="s">
        <v>12989</v>
      </c>
      <c r="AB1520" t="s">
        <v>16760</v>
      </c>
    </row>
    <row r="1521" spans="1:28" x14ac:dyDescent="0.25">
      <c r="A1521" t="s">
        <v>1525</v>
      </c>
      <c r="B1521">
        <v>0.98876768158843997</v>
      </c>
      <c r="C1521">
        <v>0.93806206586850904</v>
      </c>
      <c r="D1521">
        <v>0.98934808119842998</v>
      </c>
      <c r="E1521">
        <v>0.685119635089941</v>
      </c>
      <c r="F1521">
        <v>0.62281260020845597</v>
      </c>
      <c r="G1521">
        <v>0.46255181524109101</v>
      </c>
      <c r="H1521">
        <v>0.340898369463215</v>
      </c>
      <c r="I1521">
        <v>0.34451930045615797</v>
      </c>
      <c r="J1521">
        <v>0.43447823793358598</v>
      </c>
      <c r="K1521">
        <v>0.45730829168270198</v>
      </c>
      <c r="L1521">
        <v>1034.16758042331</v>
      </c>
      <c r="M1521">
        <v>20.393066783002102</v>
      </c>
      <c r="N1521">
        <v>54.871671441986102</v>
      </c>
      <c r="O1521">
        <v>50.231644874639699</v>
      </c>
      <c r="P1521">
        <v>-6.1563163237381799E-2</v>
      </c>
      <c r="Q1521">
        <v>0.39345547514082502</v>
      </c>
      <c r="R1521">
        <v>0.95962188680653804</v>
      </c>
      <c r="S1521" t="s">
        <v>5353</v>
      </c>
      <c r="T1521" t="s">
        <v>7662</v>
      </c>
      <c r="U1521" t="s">
        <v>7662</v>
      </c>
      <c r="V1521" t="s">
        <v>7662</v>
      </c>
      <c r="W1521">
        <v>16</v>
      </c>
      <c r="X1521" t="s">
        <v>9183</v>
      </c>
      <c r="Y1521">
        <v>0.61814668429859454</v>
      </c>
      <c r="Z1521" t="str">
        <f>HYPERLINK("Melting_Curves/meltCurve_sp_Q13561_DCTN2_HUMAN_.pdf", "Melting_Curves/meltCurve_sp_Q13561_DCTN2_HUMAN_.pdf")</f>
        <v>Melting_Curves/meltCurve_sp_Q13561_DCTN2_HUMAN_.pdf</v>
      </c>
      <c r="AA1521" t="s">
        <v>12990</v>
      </c>
      <c r="AB1521" t="s">
        <v>16761</v>
      </c>
    </row>
    <row r="1522" spans="1:28" x14ac:dyDescent="0.25">
      <c r="A1522" t="s">
        <v>1526</v>
      </c>
      <c r="B1522">
        <v>0.98876768158843997</v>
      </c>
      <c r="C1522">
        <v>1.00310097982129</v>
      </c>
      <c r="D1522">
        <v>0.86554808616509005</v>
      </c>
      <c r="E1522">
        <v>0.65067294792100605</v>
      </c>
      <c r="F1522">
        <v>0.61704593562683796</v>
      </c>
      <c r="G1522">
        <v>0.44575656283370801</v>
      </c>
      <c r="H1522">
        <v>0.335923513140932</v>
      </c>
      <c r="I1522">
        <v>0.43426842235922097</v>
      </c>
      <c r="J1522">
        <v>0.51395023812428697</v>
      </c>
      <c r="K1522">
        <v>0.56799059441924904</v>
      </c>
      <c r="L1522">
        <v>1017.41743223726</v>
      </c>
      <c r="M1522">
        <v>20.826029093226701</v>
      </c>
      <c r="N1522">
        <v>55.666183835802997</v>
      </c>
      <c r="O1522">
        <v>48.409424768620397</v>
      </c>
      <c r="P1522">
        <v>-5.79808465990483E-2</v>
      </c>
      <c r="Q1522">
        <v>0.46091663026820001</v>
      </c>
      <c r="R1522">
        <v>0.91871556556221401</v>
      </c>
      <c r="S1522" t="s">
        <v>5354</v>
      </c>
      <c r="T1522" t="s">
        <v>7662</v>
      </c>
      <c r="U1522" t="s">
        <v>7662</v>
      </c>
      <c r="V1522" t="s">
        <v>7662</v>
      </c>
      <c r="W1522">
        <v>8</v>
      </c>
      <c r="X1522" t="s">
        <v>9184</v>
      </c>
      <c r="Y1522">
        <v>0.62696328116685174</v>
      </c>
      <c r="Z1522" t="str">
        <f>HYPERLINK("Melting_Curves/meltCurve_sp_Q13573_SNW1_HUMAN_.pdf", "Melting_Curves/meltCurve_sp_Q13573_SNW1_HUMAN_.pdf")</f>
        <v>Melting_Curves/meltCurve_sp_Q13573_SNW1_HUMAN_.pdf</v>
      </c>
      <c r="AA1522" t="s">
        <v>12991</v>
      </c>
      <c r="AB1522" t="s">
        <v>16762</v>
      </c>
    </row>
    <row r="1523" spans="1:28" x14ac:dyDescent="0.25">
      <c r="A1523" t="s">
        <v>1527</v>
      </c>
      <c r="B1523">
        <v>0.98876768158843997</v>
      </c>
      <c r="C1523">
        <v>0.60414984028736796</v>
      </c>
      <c r="D1523">
        <v>0.43556035097592799</v>
      </c>
      <c r="E1523">
        <v>0.20460198347196501</v>
      </c>
      <c r="F1523">
        <v>0.112577860092148</v>
      </c>
      <c r="G1523">
        <v>5.69499397276928E-2</v>
      </c>
      <c r="H1523">
        <v>3.34425546250052E-2</v>
      </c>
      <c r="I1523">
        <v>2.80683957844165E-2</v>
      </c>
      <c r="J1523">
        <v>3.2782416453173702E-2</v>
      </c>
      <c r="K1523">
        <v>2.70924235007548E-2</v>
      </c>
      <c r="L1523">
        <v>738.30956085525895</v>
      </c>
      <c r="M1523">
        <v>16.454257587737299</v>
      </c>
      <c r="N1523">
        <v>45.038670742140297</v>
      </c>
      <c r="O1523">
        <v>44.223387317162</v>
      </c>
      <c r="P1523">
        <v>-9.0251848275649096E-2</v>
      </c>
      <c r="Q1523">
        <v>2.9804634559429201E-2</v>
      </c>
      <c r="R1523">
        <v>0.97978464827765199</v>
      </c>
      <c r="S1523" t="s">
        <v>5355</v>
      </c>
      <c r="T1523" t="s">
        <v>7662</v>
      </c>
      <c r="U1523" t="s">
        <v>7662</v>
      </c>
      <c r="V1523" t="s">
        <v>7662</v>
      </c>
      <c r="W1523">
        <v>68</v>
      </c>
      <c r="X1523" t="s">
        <v>9185</v>
      </c>
      <c r="Y1523">
        <v>0.21324434692261329</v>
      </c>
      <c r="Z1523" t="str">
        <f>HYPERLINK("Melting_Curves/meltCurve_sp_Q13576_IQGA2_HUMAN_.pdf", "Melting_Curves/meltCurve_sp_Q13576_IQGA2_HUMAN_.pdf")</f>
        <v>Melting_Curves/meltCurve_sp_Q13576_IQGA2_HUMAN_.pdf</v>
      </c>
      <c r="AA1523" t="s">
        <v>12992</v>
      </c>
      <c r="AB1523" t="s">
        <v>16763</v>
      </c>
    </row>
    <row r="1524" spans="1:28" x14ac:dyDescent="0.25">
      <c r="A1524" t="s">
        <v>1528</v>
      </c>
      <c r="B1524">
        <v>0.98876768158843997</v>
      </c>
      <c r="C1524">
        <v>0.975094331969105</v>
      </c>
      <c r="D1524">
        <v>0.87981187847890996</v>
      </c>
      <c r="E1524">
        <v>0.60556174116984796</v>
      </c>
      <c r="F1524">
        <v>0.26548843806465899</v>
      </c>
      <c r="G1524">
        <v>0.139886332393341</v>
      </c>
      <c r="H1524">
        <v>8.2125927603193899E-2</v>
      </c>
      <c r="I1524">
        <v>8.4274013033662207E-2</v>
      </c>
      <c r="J1524">
        <v>9.3627988685740002E-2</v>
      </c>
      <c r="K1524">
        <v>9.7869861112907797E-2</v>
      </c>
      <c r="L1524">
        <v>1201.19386700973</v>
      </c>
      <c r="M1524">
        <v>23.877614294674402</v>
      </c>
      <c r="N1524">
        <v>50.689216102757896</v>
      </c>
      <c r="O1524">
        <v>49.957410015035997</v>
      </c>
      <c r="P1524">
        <v>-0.109630572236337</v>
      </c>
      <c r="Q1524">
        <v>8.2526267315740504E-2</v>
      </c>
      <c r="R1524">
        <v>0.99760544977546295</v>
      </c>
      <c r="S1524" t="s">
        <v>5356</v>
      </c>
      <c r="T1524" t="s">
        <v>7662</v>
      </c>
      <c r="U1524" t="s">
        <v>7662</v>
      </c>
      <c r="V1524" t="s">
        <v>7662</v>
      </c>
      <c r="W1524">
        <v>13</v>
      </c>
      <c r="X1524" t="s">
        <v>9186</v>
      </c>
      <c r="Y1524">
        <v>0.4067322683771859</v>
      </c>
      <c r="Z1524" t="str">
        <f>HYPERLINK("Melting_Curves/meltCurve_sp_Q13596_SNX1_HUMAN_.pdf", "Melting_Curves/meltCurve_sp_Q13596_SNX1_HUMAN_.pdf")</f>
        <v>Melting_Curves/meltCurve_sp_Q13596_SNX1_HUMAN_.pdf</v>
      </c>
      <c r="AA1524" t="s">
        <v>12993</v>
      </c>
      <c r="AB1524" t="s">
        <v>16764</v>
      </c>
    </row>
    <row r="1525" spans="1:28" x14ac:dyDescent="0.25">
      <c r="A1525" t="s">
        <v>1529</v>
      </c>
      <c r="B1525">
        <v>0.98876768158843997</v>
      </c>
      <c r="C1525">
        <v>0.79408249624526595</v>
      </c>
      <c r="D1525">
        <v>1.4103523180766999</v>
      </c>
      <c r="E1525">
        <v>1.2354856110149799</v>
      </c>
      <c r="F1525">
        <v>0.37125443880319398</v>
      </c>
      <c r="G1525">
        <v>0.33470341837752399</v>
      </c>
      <c r="H1525">
        <v>0.29242285215840402</v>
      </c>
      <c r="I1525">
        <v>0.27196613957014198</v>
      </c>
      <c r="J1525">
        <v>0.117176812198702</v>
      </c>
      <c r="K1525">
        <v>0</v>
      </c>
      <c r="L1525">
        <v>13180.053585187399</v>
      </c>
      <c r="M1525">
        <v>250</v>
      </c>
      <c r="N1525">
        <v>52.830465953425701</v>
      </c>
      <c r="O1525">
        <v>52.716840639738699</v>
      </c>
      <c r="P1525">
        <v>-0.94460610698715897</v>
      </c>
      <c r="Q1525">
        <v>0.20325360783424801</v>
      </c>
      <c r="R1525">
        <v>0.84055107855613498</v>
      </c>
      <c r="S1525" t="s">
        <v>5357</v>
      </c>
      <c r="T1525" t="s">
        <v>7662</v>
      </c>
      <c r="U1525" t="s">
        <v>7662</v>
      </c>
      <c r="V1525" t="s">
        <v>7662</v>
      </c>
      <c r="W1525">
        <v>1</v>
      </c>
      <c r="X1525" t="s">
        <v>9187</v>
      </c>
      <c r="Y1525">
        <v>0.54115348811030062</v>
      </c>
      <c r="Z1525" t="str">
        <f>HYPERLINK("Melting_Curves/meltCurve_sp_Q13608_PEX6_HUMAN_.pdf", "Melting_Curves/meltCurve_sp_Q13608_PEX6_HUMAN_.pdf")</f>
        <v>Melting_Curves/meltCurve_sp_Q13608_PEX6_HUMAN_.pdf</v>
      </c>
      <c r="AA1525" t="s">
        <v>12994</v>
      </c>
      <c r="AB1525" t="s">
        <v>16765</v>
      </c>
    </row>
    <row r="1526" spans="1:28" x14ac:dyDescent="0.25">
      <c r="A1526" t="s">
        <v>1530</v>
      </c>
      <c r="B1526">
        <v>0.98876768158843997</v>
      </c>
      <c r="C1526">
        <v>0.98735402523651705</v>
      </c>
      <c r="D1526">
        <v>0.85997870609313998</v>
      </c>
      <c r="E1526">
        <v>0.65907125983356696</v>
      </c>
      <c r="F1526">
        <v>0.51768413518275302</v>
      </c>
      <c r="G1526">
        <v>0.372007278341768</v>
      </c>
      <c r="H1526">
        <v>0.19190369799698101</v>
      </c>
      <c r="I1526">
        <v>0.102606031012447</v>
      </c>
      <c r="J1526">
        <v>0.121734896087729</v>
      </c>
      <c r="K1526">
        <v>0.11216247084639699</v>
      </c>
      <c r="L1526">
        <v>644.94445140604603</v>
      </c>
      <c r="M1526">
        <v>12.1873713739854</v>
      </c>
      <c r="N1526">
        <v>53.335089338090498</v>
      </c>
      <c r="O1526">
        <v>51.554782284928201</v>
      </c>
      <c r="P1526">
        <v>-5.6432206324637101E-2</v>
      </c>
      <c r="Q1526">
        <v>4.5342961214780299E-2</v>
      </c>
      <c r="R1526">
        <v>0.99397421473533298</v>
      </c>
      <c r="S1526" t="s">
        <v>5358</v>
      </c>
      <c r="T1526" t="s">
        <v>7662</v>
      </c>
      <c r="U1526" t="s">
        <v>7662</v>
      </c>
      <c r="V1526" t="s">
        <v>7662</v>
      </c>
      <c r="W1526">
        <v>3</v>
      </c>
      <c r="X1526" t="s">
        <v>9188</v>
      </c>
      <c r="Y1526">
        <v>0.4833248354903727</v>
      </c>
      <c r="Z1526" t="str">
        <f>HYPERLINK("Melting_Curves/meltCurve_sp_Q13610_PWP1_HUMAN_.pdf", "Melting_Curves/meltCurve_sp_Q13610_PWP1_HUMAN_.pdf")</f>
        <v>Melting_Curves/meltCurve_sp_Q13610_PWP1_HUMAN_.pdf</v>
      </c>
      <c r="AA1526" t="s">
        <v>12995</v>
      </c>
      <c r="AB1526" t="s">
        <v>16766</v>
      </c>
    </row>
    <row r="1527" spans="1:28" x14ac:dyDescent="0.25">
      <c r="A1527" t="s">
        <v>1531</v>
      </c>
      <c r="B1527">
        <v>0.98876768158843997</v>
      </c>
      <c r="C1527">
        <v>0.87799079601807795</v>
      </c>
      <c r="D1527">
        <v>1.06300501369967</v>
      </c>
      <c r="E1527">
        <v>1.0201108726846</v>
      </c>
      <c r="F1527">
        <v>0.61304326867588599</v>
      </c>
      <c r="G1527">
        <v>0.48819163945320299</v>
      </c>
      <c r="H1527">
        <v>0.37254196311200599</v>
      </c>
      <c r="I1527">
        <v>9.0074761327320299E-2</v>
      </c>
      <c r="J1527">
        <v>7.6864433586711398E-2</v>
      </c>
      <c r="K1527">
        <v>6.6143472995085495E-2</v>
      </c>
      <c r="L1527">
        <v>852.40198726823598</v>
      </c>
      <c r="M1527">
        <v>14.9926467352301</v>
      </c>
      <c r="N1527">
        <v>56.854670330636502</v>
      </c>
      <c r="O1527">
        <v>55.871938315617399</v>
      </c>
      <c r="P1527">
        <v>-6.7091649848328702E-2</v>
      </c>
      <c r="Q1527">
        <v>0</v>
      </c>
      <c r="R1527">
        <v>0.95022291882910803</v>
      </c>
      <c r="S1527" t="s">
        <v>5359</v>
      </c>
      <c r="T1527" t="s">
        <v>7662</v>
      </c>
      <c r="U1527" t="s">
        <v>7662</v>
      </c>
      <c r="V1527" t="s">
        <v>7662</v>
      </c>
      <c r="W1527">
        <v>24</v>
      </c>
      <c r="X1527" t="s">
        <v>9189</v>
      </c>
      <c r="Y1527">
        <v>0.57795320010853646</v>
      </c>
      <c r="Z1527" t="str">
        <f>HYPERLINK("Melting_Curves/meltCurve_sp_Q13616_CUL1_HUMAN_.pdf", "Melting_Curves/meltCurve_sp_Q13616_CUL1_HUMAN_.pdf")</f>
        <v>Melting_Curves/meltCurve_sp_Q13616_CUL1_HUMAN_.pdf</v>
      </c>
      <c r="AA1527" t="s">
        <v>12996</v>
      </c>
      <c r="AB1527" t="s">
        <v>16767</v>
      </c>
    </row>
    <row r="1528" spans="1:28" x14ac:dyDescent="0.25">
      <c r="A1528" t="s">
        <v>1532</v>
      </c>
      <c r="B1528">
        <v>0.98876768158843997</v>
      </c>
      <c r="C1528">
        <v>0.88370488464033503</v>
      </c>
      <c r="D1528">
        <v>1.0376895361126599</v>
      </c>
      <c r="E1528">
        <v>0.91929754132645802</v>
      </c>
      <c r="F1528">
        <v>0.49758515075033799</v>
      </c>
      <c r="G1528">
        <v>0.16949523225051</v>
      </c>
      <c r="H1528">
        <v>8.2822562768884E-2</v>
      </c>
      <c r="I1528">
        <v>6.1171590690374401E-2</v>
      </c>
      <c r="J1528">
        <v>7.4896306657732198E-2</v>
      </c>
      <c r="K1528">
        <v>5.5308675592434298E-2</v>
      </c>
      <c r="L1528">
        <v>1920.3375748891201</v>
      </c>
      <c r="M1528">
        <v>36.322291014294599</v>
      </c>
      <c r="N1528">
        <v>53.098632502293</v>
      </c>
      <c r="O1528">
        <v>52.709907488171602</v>
      </c>
      <c r="P1528">
        <v>-0.15977352166237899</v>
      </c>
      <c r="Q1528">
        <v>7.2567112586545704E-2</v>
      </c>
      <c r="R1528">
        <v>0.98950698188433295</v>
      </c>
      <c r="S1528" t="s">
        <v>5360</v>
      </c>
      <c r="T1528" t="s">
        <v>7662</v>
      </c>
      <c r="U1528" t="s">
        <v>7662</v>
      </c>
      <c r="V1528" t="s">
        <v>7662</v>
      </c>
      <c r="W1528">
        <v>16</v>
      </c>
      <c r="X1528" t="s">
        <v>9190</v>
      </c>
      <c r="Y1528">
        <v>0.47452497197710469</v>
      </c>
      <c r="Z1528" t="str">
        <f>HYPERLINK("Melting_Curves/meltCurve_sp_Q13617_CUL2_HUMAN_.pdf", "Melting_Curves/meltCurve_sp_Q13617_CUL2_HUMAN_.pdf")</f>
        <v>Melting_Curves/meltCurve_sp_Q13617_CUL2_HUMAN_.pdf</v>
      </c>
      <c r="AA1528" t="s">
        <v>12997</v>
      </c>
      <c r="AB1528" t="s">
        <v>16768</v>
      </c>
    </row>
    <row r="1529" spans="1:28" x14ac:dyDescent="0.25">
      <c r="A1529" t="s">
        <v>1533</v>
      </c>
      <c r="B1529">
        <v>0.98876768158843997</v>
      </c>
      <c r="C1529">
        <v>0.91895497118824399</v>
      </c>
      <c r="D1529">
        <v>1.05794828121757</v>
      </c>
      <c r="E1529">
        <v>1.0149898279184499</v>
      </c>
      <c r="F1529">
        <v>0.61453535450928698</v>
      </c>
      <c r="G1529">
        <v>0.239677630865509</v>
      </c>
      <c r="H1529">
        <v>6.8152704820460194E-2</v>
      </c>
      <c r="I1529">
        <v>5.8030132220194597E-2</v>
      </c>
      <c r="J1529">
        <v>6.7505152410763394E-2</v>
      </c>
      <c r="K1529">
        <v>5.7292312032357302E-2</v>
      </c>
      <c r="L1529">
        <v>1797.04243823975</v>
      </c>
      <c r="M1529">
        <v>33.345347270882399</v>
      </c>
      <c r="N1529">
        <v>54.112425874697898</v>
      </c>
      <c r="O1529">
        <v>53.699133201698999</v>
      </c>
      <c r="P1529">
        <v>-0.145377137317966</v>
      </c>
      <c r="Q1529">
        <v>6.3546372106473001E-2</v>
      </c>
      <c r="R1529">
        <v>0.98842300237466896</v>
      </c>
      <c r="S1529" t="s">
        <v>5361</v>
      </c>
      <c r="T1529" t="s">
        <v>7662</v>
      </c>
      <c r="U1529" t="s">
        <v>7662</v>
      </c>
      <c r="V1529" t="s">
        <v>7662</v>
      </c>
      <c r="W1529">
        <v>21</v>
      </c>
      <c r="X1529" t="s">
        <v>9191</v>
      </c>
      <c r="Y1529">
        <v>0.5021803061932758</v>
      </c>
      <c r="Z1529" t="str">
        <f>HYPERLINK("Melting_Curves/meltCurve_sp_Q13618_2_CUL3_HUMAN_.pdf", "Melting_Curves/meltCurve_sp_Q13618_2_CUL3_HUMAN_.pdf")</f>
        <v>Melting_Curves/meltCurve_sp_Q13618_2_CUL3_HUMAN_.pdf</v>
      </c>
      <c r="AA1529" t="s">
        <v>12998</v>
      </c>
      <c r="AB1529" t="s">
        <v>16769</v>
      </c>
    </row>
    <row r="1530" spans="1:28" x14ac:dyDescent="0.25">
      <c r="A1530" t="s">
        <v>1534</v>
      </c>
      <c r="B1530">
        <v>0.98876768158843997</v>
      </c>
      <c r="C1530">
        <v>0.88073105247387296</v>
      </c>
      <c r="D1530">
        <v>1.0168809731334501</v>
      </c>
      <c r="E1530">
        <v>0.80143756523377696</v>
      </c>
      <c r="F1530">
        <v>0.33287389539380702</v>
      </c>
      <c r="G1530">
        <v>0.19688124307195701</v>
      </c>
      <c r="H1530">
        <v>0.11787065738251901</v>
      </c>
      <c r="I1530">
        <v>9.8797005501060103E-2</v>
      </c>
      <c r="J1530">
        <v>0.113069770369917</v>
      </c>
      <c r="K1530">
        <v>0.102055255162795</v>
      </c>
      <c r="L1530">
        <v>1986.01960747716</v>
      </c>
      <c r="M1530">
        <v>38.525930241860102</v>
      </c>
      <c r="N1530">
        <v>51.915957351185199</v>
      </c>
      <c r="O1530">
        <v>51.411892625513097</v>
      </c>
      <c r="P1530">
        <v>-0.16507396224772</v>
      </c>
      <c r="Q1530">
        <v>0.11885366230663</v>
      </c>
      <c r="R1530">
        <v>0.98698374949928702</v>
      </c>
      <c r="S1530" t="s">
        <v>5362</v>
      </c>
      <c r="T1530" t="s">
        <v>7662</v>
      </c>
      <c r="U1530" t="s">
        <v>7662</v>
      </c>
      <c r="V1530" t="s">
        <v>7662</v>
      </c>
      <c r="W1530">
        <v>16</v>
      </c>
      <c r="X1530" t="s">
        <v>9192</v>
      </c>
      <c r="Y1530">
        <v>0.46148630470562352</v>
      </c>
      <c r="Z1530" t="str">
        <f>HYPERLINK("Melting_Curves/meltCurve_sp_Q13619_CUL4A_HUMAN_.pdf", "Melting_Curves/meltCurve_sp_Q13619_CUL4A_HUMAN_.pdf")</f>
        <v>Melting_Curves/meltCurve_sp_Q13619_CUL4A_HUMAN_.pdf</v>
      </c>
      <c r="AA1530" t="s">
        <v>12999</v>
      </c>
      <c r="AB1530" t="s">
        <v>16770</v>
      </c>
    </row>
    <row r="1531" spans="1:28" x14ac:dyDescent="0.25">
      <c r="A1531" t="s">
        <v>1535</v>
      </c>
      <c r="B1531">
        <v>0.98876768158843997</v>
      </c>
      <c r="C1531">
        <v>0.93802018601801995</v>
      </c>
      <c r="D1531">
        <v>1.0395199389119001</v>
      </c>
      <c r="E1531">
        <v>0.91667615949714498</v>
      </c>
      <c r="F1531">
        <v>0.52281081827890996</v>
      </c>
      <c r="G1531">
        <v>0.25877159339491201</v>
      </c>
      <c r="H1531">
        <v>0.129529123268805</v>
      </c>
      <c r="I1531">
        <v>0.122844952878691</v>
      </c>
      <c r="J1531">
        <v>0.14127316259325201</v>
      </c>
      <c r="K1531">
        <v>0.129480541382861</v>
      </c>
      <c r="L1531">
        <v>1749.9819397547601</v>
      </c>
      <c r="M1531">
        <v>33.095677964361897</v>
      </c>
      <c r="N1531">
        <v>53.389147454606999</v>
      </c>
      <c r="O1531">
        <v>52.684508268650902</v>
      </c>
      <c r="P1531">
        <v>-0.13566792541227601</v>
      </c>
      <c r="Q1531">
        <v>0.136132794734655</v>
      </c>
      <c r="R1531">
        <v>0.99278557551258795</v>
      </c>
      <c r="S1531" t="s">
        <v>5363</v>
      </c>
      <c r="T1531" t="s">
        <v>7662</v>
      </c>
      <c r="U1531" t="s">
        <v>7662</v>
      </c>
      <c r="V1531" t="s">
        <v>7662</v>
      </c>
      <c r="W1531">
        <v>16</v>
      </c>
      <c r="X1531" t="s">
        <v>9193</v>
      </c>
      <c r="Y1531">
        <v>0.51152398228814555</v>
      </c>
      <c r="Z1531" t="str">
        <f>HYPERLINK("Melting_Curves/meltCurve_sp_Q13620_1_CUL4B_HUMAN_.pdf", "Melting_Curves/meltCurve_sp_Q13620_1_CUL4B_HUMAN_.pdf")</f>
        <v>Melting_Curves/meltCurve_sp_Q13620_1_CUL4B_HUMAN_.pdf</v>
      </c>
      <c r="AA1531" t="s">
        <v>13000</v>
      </c>
      <c r="AB1531" t="s">
        <v>16771</v>
      </c>
    </row>
    <row r="1532" spans="1:28" x14ac:dyDescent="0.25">
      <c r="A1532" t="s">
        <v>1536</v>
      </c>
      <c r="B1532">
        <v>0.98876768158843997</v>
      </c>
      <c r="C1532">
        <v>1.04112151482324</v>
      </c>
      <c r="D1532">
        <v>0.89253430928908395</v>
      </c>
      <c r="E1532">
        <v>0.81599561968145295</v>
      </c>
      <c r="F1532">
        <v>0.62723528088550395</v>
      </c>
      <c r="G1532">
        <v>0.19650178622564099</v>
      </c>
      <c r="H1532">
        <v>6.1553170952012598E-2</v>
      </c>
      <c r="I1532">
        <v>4.58162748194978E-2</v>
      </c>
      <c r="J1532">
        <v>5.0231366172092402E-2</v>
      </c>
      <c r="K1532">
        <v>4.0090559241383099E-2</v>
      </c>
      <c r="L1532">
        <v>1211.52869349649</v>
      </c>
      <c r="M1532">
        <v>22.574728669163399</v>
      </c>
      <c r="N1532">
        <v>53.772849747984097</v>
      </c>
      <c r="O1532">
        <v>53.251667559714498</v>
      </c>
      <c r="P1532">
        <v>-0.103690423936943</v>
      </c>
      <c r="Q1532">
        <v>2.16357826496614E-2</v>
      </c>
      <c r="R1532">
        <v>0.99161046719657597</v>
      </c>
      <c r="S1532" t="s">
        <v>5364</v>
      </c>
      <c r="T1532" t="s">
        <v>7662</v>
      </c>
      <c r="U1532" t="s">
        <v>7662</v>
      </c>
      <c r="V1532" t="s">
        <v>7662</v>
      </c>
      <c r="W1532">
        <v>13</v>
      </c>
      <c r="X1532" t="s">
        <v>9194</v>
      </c>
      <c r="Y1532">
        <v>0.47823040534131922</v>
      </c>
      <c r="Z1532" t="str">
        <f>HYPERLINK("Melting_Curves/meltCurve_sp_Q13630_FCL_HUMAN_.pdf", "Melting_Curves/meltCurve_sp_Q13630_FCL_HUMAN_.pdf")</f>
        <v>Melting_Curves/meltCurve_sp_Q13630_FCL_HUMAN_.pdf</v>
      </c>
      <c r="AA1532" t="s">
        <v>13001</v>
      </c>
      <c r="AB1532" t="s">
        <v>16772</v>
      </c>
    </row>
    <row r="1533" spans="1:28" x14ac:dyDescent="0.25">
      <c r="A1533" t="s">
        <v>1537</v>
      </c>
      <c r="B1533">
        <v>0.98876768158843997</v>
      </c>
      <c r="C1533">
        <v>1.0601314026964199</v>
      </c>
      <c r="D1533">
        <v>0.87581553211739605</v>
      </c>
      <c r="E1533">
        <v>0.76197882832158204</v>
      </c>
      <c r="F1533">
        <v>0.84470076346868805</v>
      </c>
      <c r="G1533">
        <v>0.64687520883663496</v>
      </c>
      <c r="H1533">
        <v>0.51476814454300102</v>
      </c>
      <c r="I1533">
        <v>0.57014350738154895</v>
      </c>
      <c r="J1533">
        <v>0.75083230312658</v>
      </c>
      <c r="K1533">
        <v>0.95099935743761399</v>
      </c>
      <c r="L1533">
        <v>1093.7244387061801</v>
      </c>
      <c r="M1533">
        <v>22.8635766839752</v>
      </c>
      <c r="O1533">
        <v>47.475534044379302</v>
      </c>
      <c r="P1533">
        <v>-3.5930899612233697E-2</v>
      </c>
      <c r="Q1533">
        <v>0.70156796053386905</v>
      </c>
      <c r="R1533">
        <v>0.51568444473975905</v>
      </c>
      <c r="S1533" t="s">
        <v>5365</v>
      </c>
      <c r="T1533" t="s">
        <v>7662</v>
      </c>
      <c r="U1533" t="s">
        <v>7662</v>
      </c>
      <c r="V1533" t="s">
        <v>7662</v>
      </c>
      <c r="W1533">
        <v>10</v>
      </c>
      <c r="X1533" t="s">
        <v>9195</v>
      </c>
      <c r="Y1533">
        <v>0.78272355761036039</v>
      </c>
      <c r="Z1533" t="str">
        <f>HYPERLINK("Melting_Curves/meltCurve_sp_Q13642_1_FHL1_HUMAN_.pdf", "Melting_Curves/meltCurve_sp_Q13642_1_FHL1_HUMAN_.pdf")</f>
        <v>Melting_Curves/meltCurve_sp_Q13642_1_FHL1_HUMAN_.pdf</v>
      </c>
      <c r="AA1533" t="s">
        <v>13002</v>
      </c>
      <c r="AB1533" t="s">
        <v>16773</v>
      </c>
    </row>
    <row r="1534" spans="1:28" x14ac:dyDescent="0.25">
      <c r="A1534" t="s">
        <v>1538</v>
      </c>
      <c r="B1534">
        <v>0.98876768158843997</v>
      </c>
      <c r="C1534">
        <v>1.13498114146773</v>
      </c>
      <c r="D1534">
        <v>0.90293731210404504</v>
      </c>
      <c r="E1534">
        <v>0.72590698101778495</v>
      </c>
      <c r="F1534">
        <v>0.86618403175411895</v>
      </c>
      <c r="G1534">
        <v>0.56268930615992996</v>
      </c>
      <c r="H1534">
        <v>0.38756830321830799</v>
      </c>
      <c r="I1534">
        <v>0.43955452484561103</v>
      </c>
      <c r="J1534">
        <v>0.50152033429443199</v>
      </c>
      <c r="K1534">
        <v>0.71279877876160402</v>
      </c>
      <c r="L1534">
        <v>947.67236289423704</v>
      </c>
      <c r="M1534">
        <v>18.270500591286201</v>
      </c>
      <c r="O1534">
        <v>51.259584660787901</v>
      </c>
      <c r="P1534">
        <v>-4.3868590224674799E-2</v>
      </c>
      <c r="Q1534">
        <v>0.507713301259341</v>
      </c>
      <c r="R1534">
        <v>0.764578968684273</v>
      </c>
      <c r="S1534" t="s">
        <v>5366</v>
      </c>
      <c r="T1534" t="s">
        <v>7662</v>
      </c>
      <c r="U1534" t="s">
        <v>7662</v>
      </c>
      <c r="V1534" t="s">
        <v>7662</v>
      </c>
      <c r="W1534">
        <v>7</v>
      </c>
      <c r="X1534" t="s">
        <v>9196</v>
      </c>
      <c r="Y1534">
        <v>0.71047626334466663</v>
      </c>
      <c r="Z1534" t="str">
        <f>HYPERLINK("Melting_Curves/meltCurve_sp_Q13796_SHRM2_HUMAN_.pdf", "Melting_Curves/meltCurve_sp_Q13796_SHRM2_HUMAN_.pdf")</f>
        <v>Melting_Curves/meltCurve_sp_Q13796_SHRM2_HUMAN_.pdf</v>
      </c>
      <c r="AA1534" t="s">
        <v>13003</v>
      </c>
      <c r="AB1534" t="s">
        <v>16774</v>
      </c>
    </row>
    <row r="1535" spans="1:28" x14ac:dyDescent="0.25">
      <c r="A1535" t="s">
        <v>1539</v>
      </c>
      <c r="B1535">
        <v>0.98876768158843997</v>
      </c>
      <c r="C1535">
        <v>0.842232218717196</v>
      </c>
      <c r="D1535">
        <v>1.2512482167107699</v>
      </c>
      <c r="E1535">
        <v>1.07553883470399</v>
      </c>
      <c r="F1535">
        <v>0.587003606083914</v>
      </c>
      <c r="G1535">
        <v>0.42741541027944702</v>
      </c>
      <c r="H1535">
        <v>0.116777440359862</v>
      </c>
      <c r="I1535">
        <v>6.04436414337578E-2</v>
      </c>
      <c r="J1535">
        <v>7.4943910937601596E-2</v>
      </c>
      <c r="K1535">
        <v>8.4003183070115894E-2</v>
      </c>
      <c r="L1535">
        <v>1353.44147321836</v>
      </c>
      <c r="M1535">
        <v>24.634503506330901</v>
      </c>
      <c r="N1535">
        <v>55.250622488059498</v>
      </c>
      <c r="O1535">
        <v>54.582677830258902</v>
      </c>
      <c r="P1535">
        <v>-0.10555563207914501</v>
      </c>
      <c r="Q1535">
        <v>6.4494654753168207E-2</v>
      </c>
      <c r="R1535">
        <v>0.92499016119202104</v>
      </c>
      <c r="S1535" t="s">
        <v>5367</v>
      </c>
      <c r="T1535" t="s">
        <v>7662</v>
      </c>
      <c r="U1535" t="s">
        <v>7662</v>
      </c>
      <c r="V1535" t="s">
        <v>7662</v>
      </c>
      <c r="W1535">
        <v>134</v>
      </c>
      <c r="X1535" t="s">
        <v>9197</v>
      </c>
      <c r="Y1535">
        <v>0.53928659755244546</v>
      </c>
      <c r="Z1535" t="str">
        <f>HYPERLINK("Melting_Curves/meltCurve_sp_Q13813_2_SPTN1_HUMAN_.pdf", "Melting_Curves/meltCurve_sp_Q13813_2_SPTN1_HUMAN_.pdf")</f>
        <v>Melting_Curves/meltCurve_sp_Q13813_2_SPTN1_HUMAN_.pdf</v>
      </c>
      <c r="AA1535" t="s">
        <v>13004</v>
      </c>
      <c r="AB1535" t="s">
        <v>16775</v>
      </c>
    </row>
    <row r="1536" spans="1:28" x14ac:dyDescent="0.25">
      <c r="A1536" t="s">
        <v>1540</v>
      </c>
      <c r="B1536">
        <v>0.98876768158843997</v>
      </c>
      <c r="C1536">
        <v>0.88565294944981698</v>
      </c>
      <c r="D1536">
        <v>1.20757519935742</v>
      </c>
      <c r="E1536">
        <v>0.95234569754897302</v>
      </c>
      <c r="F1536">
        <v>0.66901148793195997</v>
      </c>
      <c r="G1536">
        <v>0.45404396325929203</v>
      </c>
      <c r="H1536">
        <v>0.202790410187528</v>
      </c>
      <c r="I1536">
        <v>0.153271873640551</v>
      </c>
      <c r="J1536">
        <v>0.155554801224219</v>
      </c>
      <c r="K1536">
        <v>0.168240698494311</v>
      </c>
      <c r="L1536">
        <v>1269.10482273097</v>
      </c>
      <c r="M1536">
        <v>23.130715897798201</v>
      </c>
      <c r="N1536">
        <v>55.692820929461703</v>
      </c>
      <c r="O1536">
        <v>54.4614962362661</v>
      </c>
      <c r="P1536">
        <v>-9.0760714971241205E-2</v>
      </c>
      <c r="Q1536">
        <v>0.145227772063732</v>
      </c>
      <c r="R1536">
        <v>0.95288423352759599</v>
      </c>
      <c r="S1536" t="s">
        <v>5368</v>
      </c>
      <c r="T1536" t="s">
        <v>7662</v>
      </c>
      <c r="U1536" t="s">
        <v>7662</v>
      </c>
      <c r="V1536" t="s">
        <v>7662</v>
      </c>
      <c r="W1536">
        <v>134</v>
      </c>
      <c r="X1536" t="s">
        <v>9198</v>
      </c>
      <c r="Y1536">
        <v>0.57786010464942639</v>
      </c>
      <c r="Z1536" t="str">
        <f>HYPERLINK("Melting_Curves/meltCurve_sp_Q13813_SPTN1_HUMAN_.pdf", "Melting_Curves/meltCurve_sp_Q13813_SPTN1_HUMAN_.pdf")</f>
        <v>Melting_Curves/meltCurve_sp_Q13813_SPTN1_HUMAN_.pdf</v>
      </c>
      <c r="AA1536" t="s">
        <v>13004</v>
      </c>
      <c r="AB1536" t="s">
        <v>16776</v>
      </c>
    </row>
    <row r="1537" spans="1:28" x14ac:dyDescent="0.25">
      <c r="A1537" t="s">
        <v>1541</v>
      </c>
      <c r="B1537">
        <v>0.98876768158843997</v>
      </c>
      <c r="C1537">
        <v>0.94592769829534495</v>
      </c>
      <c r="D1537">
        <v>1.01969405512226</v>
      </c>
      <c r="E1537">
        <v>0.95107457473767898</v>
      </c>
      <c r="F1537">
        <v>0.63916727039402998</v>
      </c>
      <c r="G1537">
        <v>0.48034012743712201</v>
      </c>
      <c r="H1537">
        <v>0.27451137046739399</v>
      </c>
      <c r="I1537">
        <v>7.3805090136519799E-2</v>
      </c>
      <c r="J1537">
        <v>4.0157303001850997E-2</v>
      </c>
      <c r="K1537">
        <v>3.00682593835686E-2</v>
      </c>
      <c r="L1537">
        <v>918.53983291822306</v>
      </c>
      <c r="M1537">
        <v>16.328891795789499</v>
      </c>
      <c r="N1537">
        <v>56.2524293966651</v>
      </c>
      <c r="O1537">
        <v>55.429035531834799</v>
      </c>
      <c r="P1537">
        <v>-7.3653054331426202E-2</v>
      </c>
      <c r="Q1537">
        <v>0</v>
      </c>
      <c r="R1537">
        <v>0.98435800815496799</v>
      </c>
      <c r="S1537" t="s">
        <v>5369</v>
      </c>
      <c r="T1537" t="s">
        <v>7662</v>
      </c>
      <c r="U1537" t="s">
        <v>7662</v>
      </c>
      <c r="V1537" t="s">
        <v>7662</v>
      </c>
      <c r="W1537">
        <v>13</v>
      </c>
      <c r="X1537" t="s">
        <v>9199</v>
      </c>
      <c r="Y1537">
        <v>0.55781116940891018</v>
      </c>
      <c r="Z1537" t="str">
        <f>HYPERLINK("Melting_Curves/meltCurve_sp_Q13825_AUHM_HUMAN_.pdf", "Melting_Curves/meltCurve_sp_Q13825_AUHM_HUMAN_.pdf")</f>
        <v>Melting_Curves/meltCurve_sp_Q13825_AUHM_HUMAN_.pdf</v>
      </c>
      <c r="AA1537" t="s">
        <v>13005</v>
      </c>
      <c r="AB1537" t="s">
        <v>16777</v>
      </c>
    </row>
    <row r="1538" spans="1:28" x14ac:dyDescent="0.25">
      <c r="A1538" t="s">
        <v>1542</v>
      </c>
      <c r="B1538">
        <v>0.98876768158843997</v>
      </c>
      <c r="C1538">
        <v>0.99036591081453795</v>
      </c>
      <c r="D1538">
        <v>0.85644869395062495</v>
      </c>
      <c r="E1538">
        <v>0.71941940908694002</v>
      </c>
      <c r="F1538">
        <v>0.59990039358889302</v>
      </c>
      <c r="G1538">
        <v>0.12995716856030601</v>
      </c>
      <c r="H1538">
        <v>5.2364395404765902E-2</v>
      </c>
      <c r="I1538">
        <v>4.0335655774942601E-2</v>
      </c>
      <c r="J1538">
        <v>4.9873443514957198E-2</v>
      </c>
      <c r="K1538">
        <v>3.3158455879904999E-2</v>
      </c>
      <c r="L1538">
        <v>981.62420161264697</v>
      </c>
      <c r="M1538">
        <v>18.530246218054899</v>
      </c>
      <c r="N1538">
        <v>52.974158597538299</v>
      </c>
      <c r="O1538">
        <v>52.368770131081298</v>
      </c>
      <c r="P1538">
        <v>-8.8464278233389801E-2</v>
      </c>
      <c r="Q1538">
        <v>0</v>
      </c>
      <c r="R1538">
        <v>0.98253579825831305</v>
      </c>
      <c r="S1538" t="s">
        <v>5370</v>
      </c>
      <c r="T1538" t="s">
        <v>7662</v>
      </c>
      <c r="U1538" t="s">
        <v>7662</v>
      </c>
      <c r="V1538" t="s">
        <v>7662</v>
      </c>
      <c r="W1538">
        <v>15</v>
      </c>
      <c r="X1538" t="s">
        <v>9200</v>
      </c>
      <c r="Y1538">
        <v>0.44810166856366429</v>
      </c>
      <c r="Z1538" t="str">
        <f>HYPERLINK("Melting_Curves/meltCurve_sp_Q13838_DX39B_HUMAN_.pdf", "Melting_Curves/meltCurve_sp_Q13838_DX39B_HUMAN_.pdf")</f>
        <v>Melting_Curves/meltCurve_sp_Q13838_DX39B_HUMAN_.pdf</v>
      </c>
      <c r="AA1538" t="s">
        <v>13006</v>
      </c>
      <c r="AB1538" t="s">
        <v>16778</v>
      </c>
    </row>
    <row r="1539" spans="1:28" x14ac:dyDescent="0.25">
      <c r="A1539" t="s">
        <v>1543</v>
      </c>
      <c r="B1539">
        <v>0.98876768158843997</v>
      </c>
      <c r="C1539">
        <v>0.78592891020385802</v>
      </c>
      <c r="D1539">
        <v>0.98302144751942799</v>
      </c>
      <c r="E1539">
        <v>0.75098035907706595</v>
      </c>
      <c r="F1539">
        <v>0.47687869145752398</v>
      </c>
      <c r="G1539">
        <v>0.43083915548873403</v>
      </c>
      <c r="H1539">
        <v>0.35738160689236198</v>
      </c>
      <c r="I1539">
        <v>0.21922736917426</v>
      </c>
      <c r="J1539">
        <v>0.22531548135996801</v>
      </c>
      <c r="K1539">
        <v>0.119592344284028</v>
      </c>
      <c r="L1539">
        <v>510.83766315113502</v>
      </c>
      <c r="M1539">
        <v>9.4052820817139402</v>
      </c>
      <c r="N1539">
        <v>54.993698888004303</v>
      </c>
      <c r="O1539">
        <v>52.0283021573524</v>
      </c>
      <c r="P1539">
        <v>-4.2739228167771599E-2</v>
      </c>
      <c r="Q1539">
        <v>5.4878341069892998E-2</v>
      </c>
      <c r="R1539">
        <v>0.93965106989583702</v>
      </c>
      <c r="S1539" t="s">
        <v>5371</v>
      </c>
      <c r="T1539" t="s">
        <v>7662</v>
      </c>
      <c r="U1539" t="s">
        <v>7662</v>
      </c>
      <c r="V1539" t="s">
        <v>7662</v>
      </c>
      <c r="W1539">
        <v>8</v>
      </c>
      <c r="X1539" t="s">
        <v>9201</v>
      </c>
      <c r="Y1539">
        <v>0.53407397154617331</v>
      </c>
      <c r="Z1539" t="str">
        <f>HYPERLINK("Melting_Curves/meltCurve_sp_Q13867_BLMH_HUMAN_.pdf", "Melting_Curves/meltCurve_sp_Q13867_BLMH_HUMAN_.pdf")</f>
        <v>Melting_Curves/meltCurve_sp_Q13867_BLMH_HUMAN_.pdf</v>
      </c>
      <c r="AA1539" t="s">
        <v>13007</v>
      </c>
      <c r="AB1539" t="s">
        <v>16779</v>
      </c>
    </row>
    <row r="1540" spans="1:28" x14ac:dyDescent="0.25">
      <c r="A1540" t="s">
        <v>1544</v>
      </c>
      <c r="B1540">
        <v>0.98876768158843997</v>
      </c>
      <c r="C1540">
        <v>1.0085100117764401</v>
      </c>
      <c r="D1540">
        <v>0.88868705095118405</v>
      </c>
      <c r="E1540">
        <v>0.45133563931943699</v>
      </c>
      <c r="F1540">
        <v>0.19740794140283699</v>
      </c>
      <c r="G1540">
        <v>0.116020801833618</v>
      </c>
      <c r="H1540">
        <v>7.7591424953805305E-2</v>
      </c>
      <c r="I1540">
        <v>6.5277480267598095E-2</v>
      </c>
      <c r="J1540">
        <v>9.26643156902065E-2</v>
      </c>
      <c r="K1540">
        <v>8.0999662476361201E-2</v>
      </c>
      <c r="L1540">
        <v>1373.0688409914301</v>
      </c>
      <c r="M1540">
        <v>27.845379498017</v>
      </c>
      <c r="N1540">
        <v>49.624821774078598</v>
      </c>
      <c r="O1540">
        <v>49.058271918908702</v>
      </c>
      <c r="P1540">
        <v>-0.130427957202503</v>
      </c>
      <c r="Q1540">
        <v>8.0851214587817993E-2</v>
      </c>
      <c r="R1540">
        <v>0.99913140781492304</v>
      </c>
      <c r="S1540" t="s">
        <v>5372</v>
      </c>
      <c r="T1540" t="s">
        <v>7662</v>
      </c>
      <c r="U1540" t="s">
        <v>7662</v>
      </c>
      <c r="V1540" t="s">
        <v>7662</v>
      </c>
      <c r="W1540">
        <v>11</v>
      </c>
      <c r="X1540" t="s">
        <v>9202</v>
      </c>
      <c r="Y1540">
        <v>0.37265672429488178</v>
      </c>
      <c r="Z1540" t="str">
        <f>HYPERLINK("Melting_Curves/meltCurve_sp_Q13884_SNTB1_HUMAN_.pdf", "Melting_Curves/meltCurve_sp_Q13884_SNTB1_HUMAN_.pdf")</f>
        <v>Melting_Curves/meltCurve_sp_Q13884_SNTB1_HUMAN_.pdf</v>
      </c>
      <c r="AA1540" t="s">
        <v>13008</v>
      </c>
      <c r="AB1540" t="s">
        <v>16780</v>
      </c>
    </row>
    <row r="1541" spans="1:28" x14ac:dyDescent="0.25">
      <c r="A1541" t="s">
        <v>1545</v>
      </c>
      <c r="B1541">
        <v>0.98876768158843997</v>
      </c>
      <c r="C1541">
        <v>0.68412650229042504</v>
      </c>
      <c r="D1541">
        <v>0.60535006185593299</v>
      </c>
      <c r="E1541">
        <v>0.29866567556296802</v>
      </c>
      <c r="F1541">
        <v>0.130265265030276</v>
      </c>
      <c r="G1541">
        <v>7.5540438495665899E-2</v>
      </c>
      <c r="H1541">
        <v>4.2166363878444302E-2</v>
      </c>
      <c r="I1541">
        <v>4.37805983753956E-2</v>
      </c>
      <c r="J1541">
        <v>5.4861299447941297E-2</v>
      </c>
      <c r="K1541">
        <v>5.18615228324871E-2</v>
      </c>
      <c r="L1541">
        <v>686.57335649414199</v>
      </c>
      <c r="M1541">
        <v>14.768301786275</v>
      </c>
      <c r="N1541">
        <v>46.670024904914399</v>
      </c>
      <c r="O1541">
        <v>45.662219667792897</v>
      </c>
      <c r="P1541">
        <v>-7.8621890531378399E-2</v>
      </c>
      <c r="Q1541">
        <v>2.7738022480827101E-2</v>
      </c>
      <c r="R1541">
        <v>0.98143810949282795</v>
      </c>
      <c r="S1541" t="s">
        <v>5373</v>
      </c>
      <c r="T1541" t="s">
        <v>7662</v>
      </c>
      <c r="U1541" t="s">
        <v>7662</v>
      </c>
      <c r="V1541" t="s">
        <v>7662</v>
      </c>
      <c r="W1541">
        <v>16</v>
      </c>
      <c r="X1541" t="s">
        <v>9203</v>
      </c>
      <c r="Y1541">
        <v>0.26629662002313942</v>
      </c>
      <c r="Z1541" t="str">
        <f>HYPERLINK("Melting_Curves/meltCurve_sp_Q13885_TBB2A_HUMAN_.pdf", "Melting_Curves/meltCurve_sp_Q13885_TBB2A_HUMAN_.pdf")</f>
        <v>Melting_Curves/meltCurve_sp_Q13885_TBB2A_HUMAN_.pdf</v>
      </c>
      <c r="AA1541" t="s">
        <v>13009</v>
      </c>
      <c r="AB1541" t="s">
        <v>16781</v>
      </c>
    </row>
    <row r="1542" spans="1:28" x14ac:dyDescent="0.25">
      <c r="A1542" t="s">
        <v>1546</v>
      </c>
      <c r="B1542">
        <v>0.98876768158843997</v>
      </c>
      <c r="C1542">
        <v>1.11199264616175</v>
      </c>
      <c r="D1542">
        <v>0.87572732971117095</v>
      </c>
      <c r="E1542">
        <v>0.77313335782737402</v>
      </c>
      <c r="F1542">
        <v>0.819406472664021</v>
      </c>
      <c r="G1542">
        <v>0.513995274810786</v>
      </c>
      <c r="H1542">
        <v>0.300172454523081</v>
      </c>
      <c r="I1542">
        <v>0.259123538271745</v>
      </c>
      <c r="J1542">
        <v>0.24439990177579901</v>
      </c>
      <c r="K1542">
        <v>0.239556379766381</v>
      </c>
      <c r="L1542">
        <v>796.17434192701796</v>
      </c>
      <c r="M1542">
        <v>14.3334904352074</v>
      </c>
      <c r="N1542">
        <v>57.193199830439099</v>
      </c>
      <c r="O1542">
        <v>54.498804927818803</v>
      </c>
      <c r="P1542">
        <v>-5.4641427437463599E-2</v>
      </c>
      <c r="Q1542">
        <v>0.16906963454368501</v>
      </c>
      <c r="R1542">
        <v>0.95837035383859404</v>
      </c>
      <c r="S1542" t="s">
        <v>5374</v>
      </c>
      <c r="T1542" t="s">
        <v>7662</v>
      </c>
      <c r="U1542" t="s">
        <v>7662</v>
      </c>
      <c r="V1542" t="s">
        <v>7662</v>
      </c>
      <c r="W1542">
        <v>11</v>
      </c>
      <c r="X1542" t="s">
        <v>9204</v>
      </c>
      <c r="Y1542">
        <v>0.61567717005431533</v>
      </c>
      <c r="Z1542" t="str">
        <f>HYPERLINK("Melting_Curves/meltCurve_sp_Q13907_IDI1_HUMAN_.pdf", "Melting_Curves/meltCurve_sp_Q13907_IDI1_HUMAN_.pdf")</f>
        <v>Melting_Curves/meltCurve_sp_Q13907_IDI1_HUMAN_.pdf</v>
      </c>
      <c r="AA1542" t="s">
        <v>13010</v>
      </c>
      <c r="AB1542" t="s">
        <v>16782</v>
      </c>
    </row>
    <row r="1543" spans="1:28" x14ac:dyDescent="0.25">
      <c r="A1543" t="s">
        <v>1547</v>
      </c>
      <c r="B1543">
        <v>0.98876768158843997</v>
      </c>
      <c r="C1543">
        <v>1.1099326672440599</v>
      </c>
      <c r="D1543">
        <v>0.84646696860017101</v>
      </c>
      <c r="E1543">
        <v>0.65563412061877402</v>
      </c>
      <c r="F1543">
        <v>0.60212694546065004</v>
      </c>
      <c r="G1543">
        <v>0.30016785036951799</v>
      </c>
      <c r="H1543">
        <v>0.124927590673444</v>
      </c>
      <c r="I1543">
        <v>0.114413131331202</v>
      </c>
      <c r="J1543">
        <v>0.15493982827616701</v>
      </c>
      <c r="K1543">
        <v>0.13895038291144099</v>
      </c>
      <c r="L1543">
        <v>807.77962688286004</v>
      </c>
      <c r="M1543">
        <v>15.359149396876401</v>
      </c>
      <c r="N1543">
        <v>53.274368513103497</v>
      </c>
      <c r="O1543">
        <v>51.725373663768899</v>
      </c>
      <c r="P1543">
        <v>-6.7618171443575195E-2</v>
      </c>
      <c r="Q1543">
        <v>8.92065555374916E-2</v>
      </c>
      <c r="R1543">
        <v>0.969853707026192</v>
      </c>
      <c r="S1543" t="s">
        <v>5375</v>
      </c>
      <c r="T1543" t="s">
        <v>7662</v>
      </c>
      <c r="U1543" t="s">
        <v>7662</v>
      </c>
      <c r="V1543" t="s">
        <v>7662</v>
      </c>
      <c r="W1543">
        <v>1</v>
      </c>
      <c r="X1543" t="s">
        <v>9205</v>
      </c>
      <c r="Y1543">
        <v>0.4907657151759004</v>
      </c>
      <c r="Z1543" t="str">
        <f>HYPERLINK("Melting_Curves/meltCurve_sp_Q13951_2_PEBB_HUMAN_.pdf", "Melting_Curves/meltCurve_sp_Q13951_2_PEBB_HUMAN_.pdf")</f>
        <v>Melting_Curves/meltCurve_sp_Q13951_2_PEBB_HUMAN_.pdf</v>
      </c>
      <c r="AA1543" t="s">
        <v>13011</v>
      </c>
      <c r="AB1543" t="s">
        <v>16783</v>
      </c>
    </row>
    <row r="1544" spans="1:28" x14ac:dyDescent="0.25">
      <c r="A1544" t="s">
        <v>1548</v>
      </c>
      <c r="B1544">
        <v>0.98876768158843997</v>
      </c>
      <c r="C1544">
        <v>1.0001967527437501</v>
      </c>
      <c r="D1544">
        <v>0.91706194490487303</v>
      </c>
      <c r="E1544">
        <v>0.592215693357245</v>
      </c>
      <c r="F1544">
        <v>0.27006584406743001</v>
      </c>
      <c r="G1544">
        <v>0.13336707732976499</v>
      </c>
      <c r="H1544">
        <v>8.2010397770739402E-2</v>
      </c>
      <c r="I1544">
        <v>6.4518065040525693E-2</v>
      </c>
      <c r="J1544">
        <v>5.92053407737934E-2</v>
      </c>
      <c r="K1544">
        <v>4.0106661219381202E-2</v>
      </c>
      <c r="L1544">
        <v>1229.23509603703</v>
      </c>
      <c r="M1544">
        <v>24.342619759721099</v>
      </c>
      <c r="N1544">
        <v>50.755536124033497</v>
      </c>
      <c r="O1544">
        <v>50.160152169421302</v>
      </c>
      <c r="P1544">
        <v>-0.11425816658278801</v>
      </c>
      <c r="Q1544">
        <v>5.8257262304254799E-2</v>
      </c>
      <c r="R1544">
        <v>0.99910939353196104</v>
      </c>
      <c r="S1544" t="s">
        <v>5376</v>
      </c>
      <c r="T1544" t="s">
        <v>7662</v>
      </c>
      <c r="U1544" t="s">
        <v>7662</v>
      </c>
      <c r="V1544" t="s">
        <v>7662</v>
      </c>
      <c r="W1544">
        <v>7</v>
      </c>
      <c r="X1544" t="s">
        <v>9206</v>
      </c>
      <c r="Y1544">
        <v>0.39670155657527639</v>
      </c>
      <c r="Z1544" t="str">
        <f>HYPERLINK("Melting_Curves/meltCurve_sp_Q14008_2_CKAP5_HUMAN_.pdf", "Melting_Curves/meltCurve_sp_Q14008_2_CKAP5_HUMAN_.pdf")</f>
        <v>Melting_Curves/meltCurve_sp_Q14008_2_CKAP5_HUMAN_.pdf</v>
      </c>
      <c r="AA1544" t="s">
        <v>13012</v>
      </c>
      <c r="AB1544" t="s">
        <v>16784</v>
      </c>
    </row>
    <row r="1545" spans="1:28" x14ac:dyDescent="0.25">
      <c r="A1545" t="s">
        <v>1549</v>
      </c>
      <c r="B1545">
        <v>0.98876768158843997</v>
      </c>
      <c r="C1545">
        <v>0.92869599941796899</v>
      </c>
      <c r="D1545">
        <v>0.80078694144217899</v>
      </c>
      <c r="E1545">
        <v>0.54405280374230403</v>
      </c>
      <c r="F1545">
        <v>0.36456188879229101</v>
      </c>
      <c r="G1545">
        <v>0.186368931203831</v>
      </c>
      <c r="H1545">
        <v>0.111405774429473</v>
      </c>
      <c r="I1545">
        <v>9.1888260434711794E-2</v>
      </c>
      <c r="J1545">
        <v>9.2149223994583196E-2</v>
      </c>
      <c r="K1545">
        <v>7.1331496541049394E-2</v>
      </c>
      <c r="L1545">
        <v>744.44158227378102</v>
      </c>
      <c r="M1545">
        <v>14.824933899369301</v>
      </c>
      <c r="N1545">
        <v>50.6300928927282</v>
      </c>
      <c r="O1545">
        <v>49.328365844429896</v>
      </c>
      <c r="P1545">
        <v>-7.0846936221834605E-2</v>
      </c>
      <c r="Q1545">
        <v>5.7157595888389798E-2</v>
      </c>
      <c r="R1545">
        <v>0.99952373851879495</v>
      </c>
      <c r="S1545" t="s">
        <v>5377</v>
      </c>
      <c r="T1545" t="s">
        <v>7662</v>
      </c>
      <c r="U1545" t="s">
        <v>7662</v>
      </c>
      <c r="V1545" t="s">
        <v>7662</v>
      </c>
      <c r="W1545">
        <v>6</v>
      </c>
      <c r="X1545" t="s">
        <v>9207</v>
      </c>
      <c r="Y1545">
        <v>0.40100137280055048</v>
      </c>
      <c r="Z1545" t="str">
        <f>HYPERLINK("Melting_Curves/meltCurve_sp_Q14012_KCC1A_HUMAN_.pdf", "Melting_Curves/meltCurve_sp_Q14012_KCC1A_HUMAN_.pdf")</f>
        <v>Melting_Curves/meltCurve_sp_Q14012_KCC1A_HUMAN_.pdf</v>
      </c>
      <c r="AA1545" t="s">
        <v>13013</v>
      </c>
      <c r="AB1545" t="s">
        <v>16785</v>
      </c>
    </row>
    <row r="1546" spans="1:28" x14ac:dyDescent="0.25">
      <c r="A1546" t="s">
        <v>1550</v>
      </c>
      <c r="B1546">
        <v>0.98876768158843997</v>
      </c>
      <c r="C1546">
        <v>1.2409271068638801</v>
      </c>
      <c r="D1546">
        <v>0.87879903616009003</v>
      </c>
      <c r="E1546">
        <v>0.82126101775435001</v>
      </c>
      <c r="F1546">
        <v>1.06897844420515</v>
      </c>
      <c r="G1546">
        <v>0.73025006176825502</v>
      </c>
      <c r="H1546">
        <v>0.41891769544157198</v>
      </c>
      <c r="I1546">
        <v>0.207671987467203</v>
      </c>
      <c r="J1546">
        <v>8.8967690507196301E-2</v>
      </c>
      <c r="K1546">
        <v>6.0172431688359999E-2</v>
      </c>
      <c r="L1546">
        <v>1363.4271749735201</v>
      </c>
      <c r="M1546">
        <v>22.773572815511699</v>
      </c>
      <c r="N1546">
        <v>59.9785378822002</v>
      </c>
      <c r="O1546">
        <v>59.412962467477598</v>
      </c>
      <c r="P1546">
        <v>-9.3874514078332402E-2</v>
      </c>
      <c r="Q1546">
        <v>2.0399266343954298E-2</v>
      </c>
      <c r="R1546">
        <v>0.92917393307771001</v>
      </c>
      <c r="S1546" t="s">
        <v>5378</v>
      </c>
      <c r="T1546" t="s">
        <v>7662</v>
      </c>
      <c r="U1546" t="s">
        <v>7662</v>
      </c>
      <c r="V1546" t="s">
        <v>7662</v>
      </c>
      <c r="W1546">
        <v>5</v>
      </c>
      <c r="X1546" t="s">
        <v>9208</v>
      </c>
      <c r="Y1546">
        <v>0.67714029374546836</v>
      </c>
      <c r="Z1546" t="str">
        <f>HYPERLINK("Melting_Curves/meltCurve_sp_Q14019_COTL1_HUMAN_.pdf", "Melting_Curves/meltCurve_sp_Q14019_COTL1_HUMAN_.pdf")</f>
        <v>Melting_Curves/meltCurve_sp_Q14019_COTL1_HUMAN_.pdf</v>
      </c>
      <c r="AA1546" t="s">
        <v>13014</v>
      </c>
      <c r="AB1546" t="s">
        <v>16786</v>
      </c>
    </row>
    <row r="1547" spans="1:28" x14ac:dyDescent="0.25">
      <c r="A1547" t="s">
        <v>1551</v>
      </c>
      <c r="B1547">
        <v>0.98876768158843997</v>
      </c>
      <c r="C1547">
        <v>1.00440863970343</v>
      </c>
      <c r="D1547">
        <v>0.89379186732384497</v>
      </c>
      <c r="E1547">
        <v>0.657279247642232</v>
      </c>
      <c r="F1547">
        <v>0.26938963698562202</v>
      </c>
      <c r="G1547">
        <v>0.13406086166873801</v>
      </c>
      <c r="H1547">
        <v>6.7984221122603994E-2</v>
      </c>
      <c r="I1547">
        <v>4.9236399959488399E-2</v>
      </c>
      <c r="J1547">
        <v>3.5975822682607399E-2</v>
      </c>
      <c r="K1547">
        <v>3.2057620420242197E-2</v>
      </c>
      <c r="L1547">
        <v>1231.5053089328101</v>
      </c>
      <c r="M1547">
        <v>24.194493249269801</v>
      </c>
      <c r="N1547">
        <v>51.081754579968198</v>
      </c>
      <c r="O1547">
        <v>50.556308782968898</v>
      </c>
      <c r="P1547">
        <v>-0.11471474636079999</v>
      </c>
      <c r="Q1547">
        <v>4.1192150675020599E-2</v>
      </c>
      <c r="R1547">
        <v>0.99670675397139596</v>
      </c>
      <c r="S1547" t="s">
        <v>5379</v>
      </c>
      <c r="T1547" t="s">
        <v>7662</v>
      </c>
      <c r="U1547" t="s">
        <v>7662</v>
      </c>
      <c r="V1547" t="s">
        <v>7662</v>
      </c>
      <c r="W1547">
        <v>15</v>
      </c>
      <c r="X1547" t="s">
        <v>9209</v>
      </c>
      <c r="Y1547">
        <v>0.39879455946968101</v>
      </c>
      <c r="Z1547" t="str">
        <f>HYPERLINK("Melting_Curves/meltCurve_sp_Q14032_BAAT_HUMAN_.pdf", "Melting_Curves/meltCurve_sp_Q14032_BAAT_HUMAN_.pdf")</f>
        <v>Melting_Curves/meltCurve_sp_Q14032_BAAT_HUMAN_.pdf</v>
      </c>
      <c r="AA1547" t="s">
        <v>13015</v>
      </c>
      <c r="AB1547" t="s">
        <v>16787</v>
      </c>
    </row>
    <row r="1548" spans="1:28" x14ac:dyDescent="0.25">
      <c r="A1548" t="s">
        <v>1552</v>
      </c>
      <c r="B1548">
        <v>0.98876768158843997</v>
      </c>
      <c r="C1548">
        <v>1.1293780199860499</v>
      </c>
      <c r="D1548">
        <v>0.86523917710266196</v>
      </c>
      <c r="E1548">
        <v>0.81414506034171197</v>
      </c>
      <c r="F1548">
        <v>0.988531034858109</v>
      </c>
      <c r="G1548">
        <v>0.77135388251530002</v>
      </c>
      <c r="H1548">
        <v>0.57483330511909603</v>
      </c>
      <c r="I1548">
        <v>0.695020545810623</v>
      </c>
      <c r="J1548">
        <v>0.69121060137089196</v>
      </c>
      <c r="K1548">
        <v>1.0599868554695699</v>
      </c>
      <c r="L1548">
        <v>859.06657586547101</v>
      </c>
      <c r="M1548">
        <v>17.361017595363499</v>
      </c>
      <c r="O1548">
        <v>48.839974810144497</v>
      </c>
      <c r="P1548">
        <v>-2.0493592773654E-2</v>
      </c>
      <c r="Q1548">
        <v>0.76940300695476105</v>
      </c>
      <c r="R1548">
        <v>0.32807606335848399</v>
      </c>
      <c r="S1548" t="s">
        <v>5380</v>
      </c>
      <c r="T1548" t="s">
        <v>7662</v>
      </c>
      <c r="U1548" t="s">
        <v>7662</v>
      </c>
      <c r="V1548" t="s">
        <v>7662</v>
      </c>
      <c r="W1548">
        <v>8</v>
      </c>
      <c r="X1548" t="s">
        <v>9210</v>
      </c>
      <c r="Y1548">
        <v>0.84653980148543395</v>
      </c>
      <c r="Z1548" t="str">
        <f>HYPERLINK("Melting_Curves/meltCurve_sp_Q14061_COX17_HUMAN_.pdf", "Melting_Curves/meltCurve_sp_Q14061_COX17_HUMAN_.pdf")</f>
        <v>Melting_Curves/meltCurve_sp_Q14061_COX17_HUMAN_.pdf</v>
      </c>
      <c r="AA1548" t="s">
        <v>13016</v>
      </c>
      <c r="AB1548" t="s">
        <v>16788</v>
      </c>
    </row>
    <row r="1549" spans="1:28" x14ac:dyDescent="0.25">
      <c r="A1549" t="s">
        <v>1553</v>
      </c>
      <c r="B1549">
        <v>0.98876768158843997</v>
      </c>
      <c r="C1549">
        <v>1.0734056705385</v>
      </c>
      <c r="D1549">
        <v>0.90591369400180399</v>
      </c>
      <c r="E1549">
        <v>0.81326193750287001</v>
      </c>
      <c r="F1549">
        <v>0.86951753067711901</v>
      </c>
      <c r="G1549">
        <v>0.44385438727556797</v>
      </c>
      <c r="H1549">
        <v>0.536477499334573</v>
      </c>
      <c r="I1549">
        <v>0.57490628543384104</v>
      </c>
      <c r="J1549">
        <v>0.64637096873703004</v>
      </c>
      <c r="K1549">
        <v>0.72412637645116995</v>
      </c>
      <c r="L1549">
        <v>1269.7634097467701</v>
      </c>
      <c r="M1549">
        <v>24.6313771208997</v>
      </c>
      <c r="O1549">
        <v>51.214463022284903</v>
      </c>
      <c r="P1549">
        <v>-4.8952770235834102E-2</v>
      </c>
      <c r="Q1549">
        <v>0.59286823746774997</v>
      </c>
      <c r="R1549">
        <v>0.75960362380055402</v>
      </c>
      <c r="S1549" t="s">
        <v>5381</v>
      </c>
      <c r="T1549" t="s">
        <v>7662</v>
      </c>
      <c r="U1549" t="s">
        <v>7662</v>
      </c>
      <c r="V1549" t="s">
        <v>7662</v>
      </c>
      <c r="W1549">
        <v>10</v>
      </c>
      <c r="X1549" t="s">
        <v>9211</v>
      </c>
      <c r="Y1549">
        <v>0.75343080634449511</v>
      </c>
      <c r="Z1549" t="str">
        <f>HYPERLINK("Melting_Curves/meltCurve_sp_Q14103_3_HNRPD_HUMAN_.pdf", "Melting_Curves/meltCurve_sp_Q14103_3_HNRPD_HUMAN_.pdf")</f>
        <v>Melting_Curves/meltCurve_sp_Q14103_3_HNRPD_HUMAN_.pdf</v>
      </c>
      <c r="AA1549" t="s">
        <v>13017</v>
      </c>
      <c r="AB1549" t="s">
        <v>16789</v>
      </c>
    </row>
    <row r="1550" spans="1:28" x14ac:dyDescent="0.25">
      <c r="A1550" t="s">
        <v>1554</v>
      </c>
      <c r="B1550">
        <v>0.98876768158843997</v>
      </c>
      <c r="C1550">
        <v>1.2122537058876801</v>
      </c>
      <c r="D1550">
        <v>0.93346624210087703</v>
      </c>
      <c r="E1550">
        <v>0.77657512968496401</v>
      </c>
      <c r="F1550">
        <v>1.0004458881893901</v>
      </c>
      <c r="G1550">
        <v>0.68059365882507095</v>
      </c>
      <c r="H1550">
        <v>0.46325451530994699</v>
      </c>
      <c r="I1550">
        <v>0.35613094145375901</v>
      </c>
      <c r="J1550">
        <v>0.27289180039796601</v>
      </c>
      <c r="K1550">
        <v>0.13268308901881301</v>
      </c>
      <c r="L1550">
        <v>770.19915499576496</v>
      </c>
      <c r="M1550">
        <v>12.6622824041635</v>
      </c>
      <c r="N1550">
        <v>60.826250068995797</v>
      </c>
      <c r="O1550">
        <v>59.368977846067203</v>
      </c>
      <c r="P1550">
        <v>-5.3330716637986997E-2</v>
      </c>
      <c r="Q1550">
        <v>0</v>
      </c>
      <c r="R1550">
        <v>0.91680376542985198</v>
      </c>
      <c r="S1550" t="s">
        <v>5382</v>
      </c>
      <c r="T1550" t="s">
        <v>7662</v>
      </c>
      <c r="U1550" t="s">
        <v>7662</v>
      </c>
      <c r="V1550" t="s">
        <v>7662</v>
      </c>
      <c r="W1550">
        <v>3</v>
      </c>
      <c r="X1550" t="s">
        <v>9212</v>
      </c>
      <c r="Y1550">
        <v>0.69318038920199965</v>
      </c>
      <c r="Z1550" t="str">
        <f>HYPERLINK("Melting_Curves/meltCurve_sp_Q14116_2_IL18_HUMAN_.pdf", "Melting_Curves/meltCurve_sp_Q14116_2_IL18_HUMAN_.pdf")</f>
        <v>Melting_Curves/meltCurve_sp_Q14116_2_IL18_HUMAN_.pdf</v>
      </c>
      <c r="AA1550" t="s">
        <v>13018</v>
      </c>
      <c r="AB1550" t="s">
        <v>16790</v>
      </c>
    </row>
    <row r="1551" spans="1:28" x14ac:dyDescent="0.25">
      <c r="A1551" t="s">
        <v>1555</v>
      </c>
      <c r="B1551">
        <v>0.98876768158843997</v>
      </c>
      <c r="C1551">
        <v>0.93650872713244704</v>
      </c>
      <c r="D1551">
        <v>1.0365809789148599</v>
      </c>
      <c r="E1551">
        <v>0.99225757222197897</v>
      </c>
      <c r="F1551">
        <v>0.69924745859626503</v>
      </c>
      <c r="G1551">
        <v>0.46562561898920601</v>
      </c>
      <c r="H1551">
        <v>0.115635308505874</v>
      </c>
      <c r="I1551">
        <v>5.9441996705273399E-2</v>
      </c>
      <c r="J1551">
        <v>5.53388811773401E-2</v>
      </c>
      <c r="K1551">
        <v>4.7916677775552398E-2</v>
      </c>
      <c r="L1551">
        <v>1218.2580008722</v>
      </c>
      <c r="M1551">
        <v>21.791482856026899</v>
      </c>
      <c r="N1551">
        <v>56.001555822552902</v>
      </c>
      <c r="O1551">
        <v>55.440835346744997</v>
      </c>
      <c r="P1551">
        <v>-9.6459428652729703E-2</v>
      </c>
      <c r="Q1551">
        <v>1.8393198772422601E-2</v>
      </c>
      <c r="R1551">
        <v>0.98798157002340103</v>
      </c>
      <c r="S1551" t="s">
        <v>5383</v>
      </c>
      <c r="T1551" t="s">
        <v>7662</v>
      </c>
      <c r="U1551" t="s">
        <v>7662</v>
      </c>
      <c r="V1551" t="s">
        <v>7662</v>
      </c>
      <c r="W1551">
        <v>28</v>
      </c>
      <c r="X1551" t="s">
        <v>9213</v>
      </c>
      <c r="Y1551">
        <v>0.55003645109796229</v>
      </c>
      <c r="Z1551" t="str">
        <f>HYPERLINK("Melting_Curves/meltCurve_sp_Q14117_DPYS_HUMAN_.pdf", "Melting_Curves/meltCurve_sp_Q14117_DPYS_HUMAN_.pdf")</f>
        <v>Melting_Curves/meltCurve_sp_Q14117_DPYS_HUMAN_.pdf</v>
      </c>
      <c r="AA1551" t="s">
        <v>13019</v>
      </c>
      <c r="AB1551" t="s">
        <v>16791</v>
      </c>
    </row>
    <row r="1552" spans="1:28" x14ac:dyDescent="0.25">
      <c r="A1552" t="s">
        <v>1556</v>
      </c>
      <c r="B1552">
        <v>0.98876768158843997</v>
      </c>
      <c r="C1552">
        <v>1.0539326013749299</v>
      </c>
      <c r="D1552">
        <v>0.85660408441706803</v>
      </c>
      <c r="E1552">
        <v>0.76393249980857703</v>
      </c>
      <c r="F1552">
        <v>0.77171086826298196</v>
      </c>
      <c r="G1552">
        <v>0.52963893132853301</v>
      </c>
      <c r="H1552">
        <v>0.414446617062603</v>
      </c>
      <c r="I1552">
        <v>0.49701721870260401</v>
      </c>
      <c r="J1552">
        <v>0.73817583224855199</v>
      </c>
      <c r="K1552">
        <v>0.56635439475258598</v>
      </c>
      <c r="L1552">
        <v>905.59801616612003</v>
      </c>
      <c r="M1552">
        <v>18.075864786482502</v>
      </c>
      <c r="O1552">
        <v>49.498740012088398</v>
      </c>
      <c r="P1552">
        <v>-4.1318102115436399E-2</v>
      </c>
      <c r="Q1552">
        <v>0.54744193551894105</v>
      </c>
      <c r="R1552">
        <v>0.79099750776595301</v>
      </c>
      <c r="S1552" t="s">
        <v>5384</v>
      </c>
      <c r="T1552" t="s">
        <v>7662</v>
      </c>
      <c r="U1552" t="s">
        <v>7662</v>
      </c>
      <c r="V1552" t="s">
        <v>7662</v>
      </c>
      <c r="W1552">
        <v>4</v>
      </c>
      <c r="X1552" t="s">
        <v>9214</v>
      </c>
      <c r="Y1552">
        <v>0.70744754124620546</v>
      </c>
      <c r="Z1552" t="str">
        <f>HYPERLINK("Melting_Curves/meltCurve_sp_Q14118_DAG1_HUMAN_.pdf", "Melting_Curves/meltCurve_sp_Q14118_DAG1_HUMAN_.pdf")</f>
        <v>Melting_Curves/meltCurve_sp_Q14118_DAG1_HUMAN_.pdf</v>
      </c>
      <c r="AA1552" t="s">
        <v>13020</v>
      </c>
      <c r="AB1552" t="s">
        <v>16792</v>
      </c>
    </row>
    <row r="1553" spans="1:28" x14ac:dyDescent="0.25">
      <c r="A1553" t="s">
        <v>1557</v>
      </c>
      <c r="B1553">
        <v>0.98876768158843997</v>
      </c>
      <c r="C1553">
        <v>1.0556031376858099</v>
      </c>
      <c r="D1553">
        <v>0.96318910632466803</v>
      </c>
      <c r="E1553">
        <v>0.85066960004167103</v>
      </c>
      <c r="F1553">
        <v>0.79646341932637399</v>
      </c>
      <c r="G1553">
        <v>0.59713782356516298</v>
      </c>
      <c r="H1553">
        <v>0.445317968343096</v>
      </c>
      <c r="I1553">
        <v>0.51662152691197205</v>
      </c>
      <c r="J1553">
        <v>0.57956241587355195</v>
      </c>
      <c r="K1553">
        <v>0.64457160973568695</v>
      </c>
      <c r="L1553">
        <v>1265.05837967045</v>
      </c>
      <c r="M1553">
        <v>24.105639800752702</v>
      </c>
      <c r="O1553">
        <v>52.122602400037103</v>
      </c>
      <c r="P1553">
        <v>-5.2665064773413803E-2</v>
      </c>
      <c r="Q1553">
        <v>0.54450533150856995</v>
      </c>
      <c r="R1553">
        <v>0.91984801824249096</v>
      </c>
      <c r="S1553" t="s">
        <v>5385</v>
      </c>
      <c r="T1553" t="s">
        <v>7662</v>
      </c>
      <c r="U1553" t="s">
        <v>7662</v>
      </c>
      <c r="V1553" t="s">
        <v>7662</v>
      </c>
      <c r="W1553">
        <v>3</v>
      </c>
      <c r="X1553" t="s">
        <v>9215</v>
      </c>
      <c r="Y1553">
        <v>0.73846250360305443</v>
      </c>
      <c r="Z1553" t="str">
        <f>HYPERLINK("Melting_Curves/meltCurve_sp_Q14126_DSG2_HUMAN_.pdf", "Melting_Curves/meltCurve_sp_Q14126_DSG2_HUMAN_.pdf")</f>
        <v>Melting_Curves/meltCurve_sp_Q14126_DSG2_HUMAN_.pdf</v>
      </c>
      <c r="AA1553" t="s">
        <v>13021</v>
      </c>
      <c r="AB1553" t="s">
        <v>16793</v>
      </c>
    </row>
    <row r="1554" spans="1:28" x14ac:dyDescent="0.25">
      <c r="A1554" t="s">
        <v>1558</v>
      </c>
      <c r="B1554">
        <v>0.98876768158843997</v>
      </c>
      <c r="C1554">
        <v>1.04112508080239</v>
      </c>
      <c r="D1554">
        <v>1.01500797818486</v>
      </c>
      <c r="E1554">
        <v>0.80908907576627798</v>
      </c>
      <c r="F1554">
        <v>0.52868580403701804</v>
      </c>
      <c r="G1554">
        <v>0.45428871774823698</v>
      </c>
      <c r="H1554">
        <v>0.31369099490478702</v>
      </c>
      <c r="I1554">
        <v>0.37153411136971498</v>
      </c>
      <c r="J1554">
        <v>0.49148666945245201</v>
      </c>
      <c r="K1554">
        <v>0.36821008757381501</v>
      </c>
      <c r="L1554">
        <v>1795.39328509186</v>
      </c>
      <c r="M1554">
        <v>35.105726025014597</v>
      </c>
      <c r="N1554">
        <v>53.526214332109198</v>
      </c>
      <c r="O1554">
        <v>50.977365334036001</v>
      </c>
      <c r="P1554">
        <v>-0.104109574363208</v>
      </c>
      <c r="Q1554">
        <v>0.39528803518559402</v>
      </c>
      <c r="R1554">
        <v>0.97151976798438899</v>
      </c>
      <c r="S1554" t="s">
        <v>5386</v>
      </c>
      <c r="T1554" t="s">
        <v>7662</v>
      </c>
      <c r="U1554" t="s">
        <v>7662</v>
      </c>
      <c r="V1554" t="s">
        <v>7662</v>
      </c>
      <c r="W1554">
        <v>1</v>
      </c>
      <c r="X1554" t="s">
        <v>9216</v>
      </c>
      <c r="Y1554">
        <v>0.6226672481181853</v>
      </c>
      <c r="Z1554" t="str">
        <f>HYPERLINK("Melting_Curves/meltCurve_sp_Q14137_BOP1_HUMAN_.pdf", "Melting_Curves/meltCurve_sp_Q14137_BOP1_HUMAN_.pdf")</f>
        <v>Melting_Curves/meltCurve_sp_Q14137_BOP1_HUMAN_.pdf</v>
      </c>
      <c r="AA1554" t="s">
        <v>13022</v>
      </c>
      <c r="AB1554" t="s">
        <v>16794</v>
      </c>
    </row>
    <row r="1555" spans="1:28" x14ac:dyDescent="0.25">
      <c r="A1555" t="s">
        <v>1559</v>
      </c>
      <c r="B1555">
        <v>0.98876768158843997</v>
      </c>
      <c r="C1555">
        <v>0.85604627550401102</v>
      </c>
      <c r="D1555">
        <v>0.92367841438703802</v>
      </c>
      <c r="E1555">
        <v>0.57718466377456201</v>
      </c>
      <c r="F1555">
        <v>0.154505687034175</v>
      </c>
      <c r="G1555">
        <v>9.5244831623693293E-2</v>
      </c>
      <c r="H1555">
        <v>5.8117058203656299E-2</v>
      </c>
      <c r="I1555">
        <v>4.9015213175179699E-2</v>
      </c>
      <c r="J1555">
        <v>5.11871136883408E-2</v>
      </c>
      <c r="K1555">
        <v>2.8569076996759799E-2</v>
      </c>
      <c r="L1555">
        <v>1601.1413953112999</v>
      </c>
      <c r="M1555">
        <v>31.906489903781701</v>
      </c>
      <c r="N1555">
        <v>50.336610062162798</v>
      </c>
      <c r="O1555">
        <v>49.986407356764701</v>
      </c>
      <c r="P1555">
        <v>-0.15214254127381899</v>
      </c>
      <c r="Q1555">
        <v>4.6586223696207602E-2</v>
      </c>
      <c r="R1555">
        <v>0.984198365677173</v>
      </c>
      <c r="S1555" t="s">
        <v>5387</v>
      </c>
      <c r="T1555" t="s">
        <v>7662</v>
      </c>
      <c r="U1555" t="s">
        <v>7662</v>
      </c>
      <c r="V1555" t="s">
        <v>7662</v>
      </c>
      <c r="W1555">
        <v>10</v>
      </c>
      <c r="X1555" t="s">
        <v>9217</v>
      </c>
      <c r="Y1555">
        <v>0.3754070104648945</v>
      </c>
      <c r="Z1555" t="str">
        <f>HYPERLINK("Melting_Curves/meltCurve_sp_Q14139_UBE4A_HUMAN_.pdf", "Melting_Curves/meltCurve_sp_Q14139_UBE4A_HUMAN_.pdf")</f>
        <v>Melting_Curves/meltCurve_sp_Q14139_UBE4A_HUMAN_.pdf</v>
      </c>
      <c r="AA1555" t="s">
        <v>13023</v>
      </c>
      <c r="AB1555" t="s">
        <v>16795</v>
      </c>
    </row>
    <row r="1556" spans="1:28" x14ac:dyDescent="0.25">
      <c r="A1556" t="s">
        <v>1560</v>
      </c>
      <c r="B1556">
        <v>0.98876768158843997</v>
      </c>
      <c r="C1556">
        <v>1.1152030850844801</v>
      </c>
      <c r="D1556">
        <v>0.97289713152975998</v>
      </c>
      <c r="E1556">
        <v>0.90374423375128399</v>
      </c>
      <c r="F1556">
        <v>0.67767636474924697</v>
      </c>
      <c r="G1556">
        <v>0.41298878904768099</v>
      </c>
      <c r="H1556">
        <v>0.297416931154528</v>
      </c>
      <c r="I1556">
        <v>0.179304097264253</v>
      </c>
      <c r="J1556">
        <v>0.120375012685817</v>
      </c>
      <c r="K1556">
        <v>0.11440497562566</v>
      </c>
      <c r="L1556">
        <v>960.10964842394696</v>
      </c>
      <c r="M1556">
        <v>17.392846445951601</v>
      </c>
      <c r="N1556">
        <v>55.932723310271697</v>
      </c>
      <c r="O1556">
        <v>54.487188838085501</v>
      </c>
      <c r="P1556">
        <v>-7.1690406894462502E-2</v>
      </c>
      <c r="Q1556">
        <v>0.101702387003918</v>
      </c>
      <c r="R1556">
        <v>0.98586451507738704</v>
      </c>
      <c r="S1556" t="s">
        <v>5388</v>
      </c>
      <c r="T1556" t="s">
        <v>7662</v>
      </c>
      <c r="U1556" t="s">
        <v>7662</v>
      </c>
      <c r="V1556" t="s">
        <v>7662</v>
      </c>
      <c r="W1556">
        <v>8</v>
      </c>
      <c r="X1556" t="s">
        <v>9218</v>
      </c>
      <c r="Y1556">
        <v>0.57128651304589007</v>
      </c>
      <c r="Z1556" t="str">
        <f>HYPERLINK("Melting_Curves/meltCurve_sp_Q14141_2_SEPT6_HUMAN_.pdf", "Melting_Curves/meltCurve_sp_Q14141_2_SEPT6_HUMAN_.pdf")</f>
        <v>Melting_Curves/meltCurve_sp_Q14141_2_SEPT6_HUMAN_.pdf</v>
      </c>
      <c r="AA1556" t="s">
        <v>13024</v>
      </c>
      <c r="AB1556" t="s">
        <v>16796</v>
      </c>
    </row>
    <row r="1557" spans="1:28" x14ac:dyDescent="0.25">
      <c r="A1557" t="s">
        <v>1561</v>
      </c>
      <c r="B1557">
        <v>0.98876768158843997</v>
      </c>
      <c r="C1557">
        <v>1.04920640198891</v>
      </c>
      <c r="D1557">
        <v>0.93749539976576801</v>
      </c>
      <c r="E1557">
        <v>0.76632608706648597</v>
      </c>
      <c r="F1557">
        <v>0.79240933725273199</v>
      </c>
      <c r="G1557">
        <v>0.58078870820126605</v>
      </c>
      <c r="H1557">
        <v>0.43373987181579798</v>
      </c>
      <c r="I1557">
        <v>0.47163460434802601</v>
      </c>
      <c r="J1557">
        <v>0.61061144812164903</v>
      </c>
      <c r="K1557">
        <v>0.59280035826366495</v>
      </c>
      <c r="L1557">
        <v>962.89168697281798</v>
      </c>
      <c r="M1557">
        <v>18.688453139243201</v>
      </c>
      <c r="O1557">
        <v>50.944281074446003</v>
      </c>
      <c r="P1557">
        <v>-4.37024201715785E-2</v>
      </c>
      <c r="Q1557">
        <v>0.52349321819047401</v>
      </c>
      <c r="R1557">
        <v>0.89611316633425397</v>
      </c>
      <c r="S1557" t="s">
        <v>5389</v>
      </c>
      <c r="T1557" t="s">
        <v>7662</v>
      </c>
      <c r="U1557" t="s">
        <v>7662</v>
      </c>
      <c r="V1557" t="s">
        <v>7662</v>
      </c>
      <c r="W1557">
        <v>6</v>
      </c>
      <c r="X1557" t="s">
        <v>9219</v>
      </c>
      <c r="Y1557">
        <v>0.71399162703989105</v>
      </c>
      <c r="Z1557" t="str">
        <f>HYPERLINK("Melting_Curves/meltCurve_sp_Q14151_SAFB2_HUMAN_.pdf", "Melting_Curves/meltCurve_sp_Q14151_SAFB2_HUMAN_.pdf")</f>
        <v>Melting_Curves/meltCurve_sp_Q14151_SAFB2_HUMAN_.pdf</v>
      </c>
      <c r="AA1557" t="s">
        <v>13025</v>
      </c>
      <c r="AB1557" t="s">
        <v>16797</v>
      </c>
    </row>
    <row r="1558" spans="1:28" x14ac:dyDescent="0.25">
      <c r="A1558" t="s">
        <v>1562</v>
      </c>
      <c r="B1558">
        <v>0.98876768158843997</v>
      </c>
      <c r="C1558">
        <v>0.96601078287928299</v>
      </c>
      <c r="D1558">
        <v>0.97009440081929799</v>
      </c>
      <c r="E1558">
        <v>0.409166316146644</v>
      </c>
      <c r="F1558">
        <v>0.27167903972569801</v>
      </c>
      <c r="G1558">
        <v>0.17595543457739601</v>
      </c>
      <c r="H1558">
        <v>0.13449722625025301</v>
      </c>
      <c r="I1558">
        <v>0.146753089678066</v>
      </c>
      <c r="J1558">
        <v>0.186200327301386</v>
      </c>
      <c r="K1558">
        <v>0.18905678967862499</v>
      </c>
      <c r="L1558">
        <v>1943.49155847631</v>
      </c>
      <c r="M1558">
        <v>39.674488354678097</v>
      </c>
      <c r="N1558">
        <v>49.521516295785297</v>
      </c>
      <c r="O1558">
        <v>48.861968329509899</v>
      </c>
      <c r="P1558">
        <v>-0.16758073990919201</v>
      </c>
      <c r="Q1558">
        <v>0.174451128093151</v>
      </c>
      <c r="R1558">
        <v>0.99331185090899199</v>
      </c>
      <c r="S1558" t="s">
        <v>5390</v>
      </c>
      <c r="T1558" t="s">
        <v>7662</v>
      </c>
      <c r="U1558" t="s">
        <v>7662</v>
      </c>
      <c r="V1558" t="s">
        <v>7662</v>
      </c>
      <c r="W1558">
        <v>31</v>
      </c>
      <c r="X1558" t="s">
        <v>9220</v>
      </c>
      <c r="Y1558">
        <v>0.42457357248906907</v>
      </c>
      <c r="Z1558" t="str">
        <f>HYPERLINK("Melting_Curves/meltCurve_sp_Q14152_EIF3A_HUMAN_.pdf", "Melting_Curves/meltCurve_sp_Q14152_EIF3A_HUMAN_.pdf")</f>
        <v>Melting_Curves/meltCurve_sp_Q14152_EIF3A_HUMAN_.pdf</v>
      </c>
      <c r="AA1558" t="s">
        <v>13026</v>
      </c>
      <c r="AB1558" t="s">
        <v>16798</v>
      </c>
    </row>
    <row r="1559" spans="1:28" x14ac:dyDescent="0.25">
      <c r="A1559" t="s">
        <v>1563</v>
      </c>
      <c r="B1559">
        <v>0.98876768158843997</v>
      </c>
      <c r="C1559">
        <v>1.09552777576741</v>
      </c>
      <c r="D1559">
        <v>0.85860688174343902</v>
      </c>
      <c r="E1559">
        <v>0.63425393630659699</v>
      </c>
      <c r="F1559">
        <v>0.78875820346439895</v>
      </c>
      <c r="G1559">
        <v>0.56279867540039996</v>
      </c>
      <c r="H1559">
        <v>0.45127864682295599</v>
      </c>
      <c r="I1559">
        <v>0.55128954090022797</v>
      </c>
      <c r="J1559">
        <v>0.67619844482635605</v>
      </c>
      <c r="K1559">
        <v>0.77805280509786601</v>
      </c>
      <c r="L1559">
        <v>11521.153482199799</v>
      </c>
      <c r="M1559">
        <v>250</v>
      </c>
      <c r="O1559">
        <v>46.081664896284899</v>
      </c>
      <c r="P1559">
        <v>-0.495504200568682</v>
      </c>
      <c r="Q1559">
        <v>0.63466146463458395</v>
      </c>
      <c r="R1559">
        <v>0.72825897378984605</v>
      </c>
      <c r="S1559" t="s">
        <v>5391</v>
      </c>
      <c r="T1559" t="s">
        <v>7662</v>
      </c>
      <c r="U1559" t="s">
        <v>7662</v>
      </c>
      <c r="V1559" t="s">
        <v>7662</v>
      </c>
      <c r="W1559">
        <v>11</v>
      </c>
      <c r="X1559" t="s">
        <v>9221</v>
      </c>
      <c r="Y1559">
        <v>0.70878914377139968</v>
      </c>
      <c r="Z1559" t="str">
        <f>HYPERLINK("Melting_Curves/meltCurve_sp_Q14157_UBP2L_HUMAN_.pdf", "Melting_Curves/meltCurve_sp_Q14157_UBP2L_HUMAN_.pdf")</f>
        <v>Melting_Curves/meltCurve_sp_Q14157_UBP2L_HUMAN_.pdf</v>
      </c>
      <c r="AA1559" t="s">
        <v>13027</v>
      </c>
      <c r="AB1559" t="s">
        <v>16799</v>
      </c>
    </row>
    <row r="1560" spans="1:28" x14ac:dyDescent="0.25">
      <c r="A1560" t="s">
        <v>1564</v>
      </c>
      <c r="B1560">
        <v>0.98876768158843997</v>
      </c>
      <c r="C1560">
        <v>1.0354388614296799</v>
      </c>
      <c r="D1560">
        <v>0.82511434545079398</v>
      </c>
      <c r="E1560">
        <v>0.54232349924075396</v>
      </c>
      <c r="F1560">
        <v>0.44478943106173302</v>
      </c>
      <c r="G1560">
        <v>0.29048274155784498</v>
      </c>
      <c r="H1560">
        <v>0.222025845591863</v>
      </c>
      <c r="I1560">
        <v>0.247684979079037</v>
      </c>
      <c r="J1560">
        <v>0.334771583160904</v>
      </c>
      <c r="K1560">
        <v>0.33719533666157703</v>
      </c>
      <c r="L1560">
        <v>1063.5087798621</v>
      </c>
      <c r="M1560">
        <v>21.7637370668103</v>
      </c>
      <c r="N1560">
        <v>50.823389408638299</v>
      </c>
      <c r="O1560">
        <v>48.459153050640403</v>
      </c>
      <c r="P1560">
        <v>-8.0421892417785301E-2</v>
      </c>
      <c r="Q1560">
        <v>0.283747102451537</v>
      </c>
      <c r="R1560">
        <v>0.97625449416664201</v>
      </c>
      <c r="S1560" t="s">
        <v>5392</v>
      </c>
      <c r="T1560" t="s">
        <v>7662</v>
      </c>
      <c r="U1560" t="s">
        <v>7662</v>
      </c>
      <c r="V1560" t="s">
        <v>7662</v>
      </c>
      <c r="W1560">
        <v>18</v>
      </c>
      <c r="X1560" t="s">
        <v>9222</v>
      </c>
      <c r="Y1560">
        <v>0.50387157882234113</v>
      </c>
      <c r="Z1560" t="str">
        <f>HYPERLINK("Melting_Curves/meltCurve_sp_Q14160_2_SCRIB_HUMAN_.pdf", "Melting_Curves/meltCurve_sp_Q14160_2_SCRIB_HUMAN_.pdf")</f>
        <v>Melting_Curves/meltCurve_sp_Q14160_2_SCRIB_HUMAN_.pdf</v>
      </c>
      <c r="AA1560" t="s">
        <v>13028</v>
      </c>
      <c r="AB1560" t="s">
        <v>16800</v>
      </c>
    </row>
    <row r="1561" spans="1:28" x14ac:dyDescent="0.25">
      <c r="A1561" t="s">
        <v>1565</v>
      </c>
      <c r="B1561">
        <v>0.98876768158843997</v>
      </c>
      <c r="C1561">
        <v>1.07399132538807</v>
      </c>
      <c r="D1561">
        <v>0.99830132275507599</v>
      </c>
      <c r="E1561">
        <v>0.73649826470594104</v>
      </c>
      <c r="F1561">
        <v>0.425295872170459</v>
      </c>
      <c r="G1561">
        <v>0.29127617831501501</v>
      </c>
      <c r="H1561">
        <v>0.21477899831646299</v>
      </c>
      <c r="I1561">
        <v>0.23171696077576401</v>
      </c>
      <c r="J1561">
        <v>0.229128438279597</v>
      </c>
      <c r="K1561">
        <v>0.22138253035324101</v>
      </c>
      <c r="L1561">
        <v>1550.7900622811301</v>
      </c>
      <c r="M1561">
        <v>30.3174604553293</v>
      </c>
      <c r="N1561">
        <v>52.2036890127224</v>
      </c>
      <c r="O1561">
        <v>50.930711193938002</v>
      </c>
      <c r="P1561">
        <v>-0.11480139957897301</v>
      </c>
      <c r="Q1561">
        <v>0.228579148476343</v>
      </c>
      <c r="R1561">
        <v>0.99349720938757902</v>
      </c>
      <c r="S1561" t="s">
        <v>5393</v>
      </c>
      <c r="T1561" t="s">
        <v>7662</v>
      </c>
      <c r="U1561" t="s">
        <v>7662</v>
      </c>
      <c r="V1561" t="s">
        <v>7662</v>
      </c>
      <c r="W1561">
        <v>3</v>
      </c>
      <c r="X1561" t="s">
        <v>9223</v>
      </c>
      <c r="Y1561">
        <v>0.52009563702734996</v>
      </c>
      <c r="Z1561" t="str">
        <f>HYPERLINK("Melting_Curves/meltCurve_sp_Q14161_3_GIT2_HUMAN_.pdf", "Melting_Curves/meltCurve_sp_Q14161_3_GIT2_HUMAN_.pdf")</f>
        <v>Melting_Curves/meltCurve_sp_Q14161_3_GIT2_HUMAN_.pdf</v>
      </c>
      <c r="AA1561" t="s">
        <v>13029</v>
      </c>
      <c r="AB1561" t="s">
        <v>16801</v>
      </c>
    </row>
    <row r="1562" spans="1:28" x14ac:dyDescent="0.25">
      <c r="A1562" t="s">
        <v>1566</v>
      </c>
      <c r="B1562">
        <v>0.98876768158843997</v>
      </c>
      <c r="C1562">
        <v>0.793601512387765</v>
      </c>
      <c r="D1562">
        <v>0.46181455857514903</v>
      </c>
      <c r="E1562">
        <v>0.235095834103452</v>
      </c>
      <c r="F1562">
        <v>0.14663947706224401</v>
      </c>
      <c r="G1562">
        <v>9.0993707411409497E-2</v>
      </c>
      <c r="H1562">
        <v>5.3834715620012699E-2</v>
      </c>
      <c r="I1562">
        <v>5.3741962702820799E-2</v>
      </c>
      <c r="J1562">
        <v>7.1178528679245498E-2</v>
      </c>
      <c r="K1562">
        <v>3.9688725198934301E-2</v>
      </c>
      <c r="L1562">
        <v>879.69505858971195</v>
      </c>
      <c r="M1562">
        <v>19.2703242952323</v>
      </c>
      <c r="N1562">
        <v>45.961625058758997</v>
      </c>
      <c r="O1562">
        <v>45.167168226207998</v>
      </c>
      <c r="P1562">
        <v>-0.100137785915292</v>
      </c>
      <c r="Q1562">
        <v>6.1194901960657397E-2</v>
      </c>
      <c r="R1562">
        <v>0.994608774287426</v>
      </c>
      <c r="S1562" t="s">
        <v>5394</v>
      </c>
      <c r="T1562" t="s">
        <v>7662</v>
      </c>
      <c r="U1562" t="s">
        <v>7662</v>
      </c>
      <c r="V1562" t="s">
        <v>7662</v>
      </c>
      <c r="W1562">
        <v>7</v>
      </c>
      <c r="X1562" t="s">
        <v>9224</v>
      </c>
      <c r="Y1562">
        <v>0.25425341397640339</v>
      </c>
      <c r="Z1562" t="str">
        <f>HYPERLINK("Melting_Curves/meltCurve_sp_Q14166_TTL12_HUMAN_.pdf", "Melting_Curves/meltCurve_sp_Q14166_TTL12_HUMAN_.pdf")</f>
        <v>Melting_Curves/meltCurve_sp_Q14166_TTL12_HUMAN_.pdf</v>
      </c>
      <c r="AA1562" t="s">
        <v>13030</v>
      </c>
      <c r="AB1562" t="s">
        <v>16802</v>
      </c>
    </row>
    <row r="1563" spans="1:28" x14ac:dyDescent="0.25">
      <c r="A1563" t="s">
        <v>1567</v>
      </c>
      <c r="B1563">
        <v>0.98876768158843997</v>
      </c>
      <c r="C1563">
        <v>1.1119067812823</v>
      </c>
      <c r="D1563">
        <v>1.01162903255321</v>
      </c>
      <c r="E1563">
        <v>0.73669232900673398</v>
      </c>
      <c r="F1563">
        <v>0.74694206448053002</v>
      </c>
      <c r="G1563">
        <v>0.47799676842370797</v>
      </c>
      <c r="H1563">
        <v>0.378435467498206</v>
      </c>
      <c r="I1563">
        <v>0.43570437895324199</v>
      </c>
      <c r="J1563">
        <v>0.60104267699943803</v>
      </c>
      <c r="K1563">
        <v>0.66043921049779797</v>
      </c>
      <c r="L1563">
        <v>1315.0971238857801</v>
      </c>
      <c r="M1563">
        <v>25.8409376546159</v>
      </c>
      <c r="O1563">
        <v>50.5901805154313</v>
      </c>
      <c r="P1563">
        <v>-6.2019467314266399E-2</v>
      </c>
      <c r="Q1563">
        <v>0.51433066990029397</v>
      </c>
      <c r="R1563">
        <v>0.84364652649049698</v>
      </c>
      <c r="S1563" t="s">
        <v>5395</v>
      </c>
      <c r="T1563" t="s">
        <v>7662</v>
      </c>
      <c r="U1563" t="s">
        <v>7662</v>
      </c>
      <c r="V1563" t="s">
        <v>7662</v>
      </c>
      <c r="W1563">
        <v>6</v>
      </c>
      <c r="X1563" t="s">
        <v>9225</v>
      </c>
      <c r="Y1563">
        <v>0.6947660582151769</v>
      </c>
      <c r="Z1563" t="str">
        <f>HYPERLINK("Melting_Curves/meltCurve_sp_Q14192_FHL2_HUMAN_.pdf", "Melting_Curves/meltCurve_sp_Q14192_FHL2_HUMAN_.pdf")</f>
        <v>Melting_Curves/meltCurve_sp_Q14192_FHL2_HUMAN_.pdf</v>
      </c>
      <c r="AA1563" t="s">
        <v>13031</v>
      </c>
      <c r="AB1563" t="s">
        <v>16803</v>
      </c>
    </row>
    <row r="1564" spans="1:28" x14ac:dyDescent="0.25">
      <c r="A1564" t="s">
        <v>1568</v>
      </c>
      <c r="B1564">
        <v>0.98876768158843997</v>
      </c>
      <c r="C1564">
        <v>0.92434072310287296</v>
      </c>
      <c r="D1564">
        <v>0.93346795431026097</v>
      </c>
      <c r="E1564">
        <v>0.49580067440348702</v>
      </c>
      <c r="F1564">
        <v>0.24866810726178801</v>
      </c>
      <c r="G1564">
        <v>0.117066275297385</v>
      </c>
      <c r="H1564">
        <v>7.3393308867049603E-2</v>
      </c>
      <c r="I1564">
        <v>6.1813549716043699E-2</v>
      </c>
      <c r="J1564">
        <v>6.9673839232963594E-2</v>
      </c>
      <c r="K1564">
        <v>5.9552251364103102E-2</v>
      </c>
      <c r="L1564">
        <v>1244.3700713317</v>
      </c>
      <c r="M1564">
        <v>24.966400626394499</v>
      </c>
      <c r="N1564">
        <v>50.124754730173201</v>
      </c>
      <c r="O1564">
        <v>49.525324851455203</v>
      </c>
      <c r="P1564">
        <v>-0.117746269681637</v>
      </c>
      <c r="Q1564">
        <v>6.5729476214761898E-2</v>
      </c>
      <c r="R1564">
        <v>0.99610161571107403</v>
      </c>
      <c r="S1564" t="s">
        <v>5396</v>
      </c>
      <c r="T1564" t="s">
        <v>7662</v>
      </c>
      <c r="U1564" t="s">
        <v>7662</v>
      </c>
      <c r="V1564" t="s">
        <v>7662</v>
      </c>
      <c r="W1564">
        <v>28</v>
      </c>
      <c r="X1564" t="s">
        <v>9226</v>
      </c>
      <c r="Y1564">
        <v>0.38058570693800903</v>
      </c>
      <c r="Z1564" t="str">
        <f>HYPERLINK("Melting_Curves/meltCurve_sp_Q14203_3_DCTN1_HUMAN_.pdf", "Melting_Curves/meltCurve_sp_Q14203_3_DCTN1_HUMAN_.pdf")</f>
        <v>Melting_Curves/meltCurve_sp_Q14203_3_DCTN1_HUMAN_.pdf</v>
      </c>
      <c r="AA1564" t="s">
        <v>13032</v>
      </c>
      <c r="AB1564" t="s">
        <v>16804</v>
      </c>
    </row>
    <row r="1565" spans="1:28" x14ac:dyDescent="0.25">
      <c r="A1565" t="s">
        <v>1569</v>
      </c>
      <c r="B1565">
        <v>0.98876768158843997</v>
      </c>
      <c r="C1565">
        <v>0.95032379195204297</v>
      </c>
      <c r="D1565">
        <v>1.0181573149268699</v>
      </c>
      <c r="E1565">
        <v>0.43955538031117503</v>
      </c>
      <c r="F1565">
        <v>0.20459042769867999</v>
      </c>
      <c r="G1565">
        <v>0.14143103797399101</v>
      </c>
      <c r="H1565">
        <v>0.122472434304105</v>
      </c>
      <c r="I1565">
        <v>0.114604026396999</v>
      </c>
      <c r="J1565">
        <v>0.110420421366934</v>
      </c>
      <c r="K1565">
        <v>5.9585971148777797E-2</v>
      </c>
      <c r="L1565">
        <v>2202.2666689461698</v>
      </c>
      <c r="M1565">
        <v>44.5200469484354</v>
      </c>
      <c r="N1565">
        <v>49.762333755487802</v>
      </c>
      <c r="O1565">
        <v>49.367354286100003</v>
      </c>
      <c r="P1565">
        <v>-0.19926715410749099</v>
      </c>
      <c r="Q1565">
        <v>0.116148310401368</v>
      </c>
      <c r="R1565">
        <v>0.99271921765864302</v>
      </c>
      <c r="S1565" t="s">
        <v>5397</v>
      </c>
      <c r="T1565" t="s">
        <v>7662</v>
      </c>
      <c r="U1565" t="s">
        <v>7662</v>
      </c>
      <c r="V1565" t="s">
        <v>7662</v>
      </c>
      <c r="W1565">
        <v>100</v>
      </c>
      <c r="X1565" t="s">
        <v>9227</v>
      </c>
      <c r="Y1565">
        <v>0.39749470263220288</v>
      </c>
      <c r="Z1565" t="str">
        <f>HYPERLINK("Melting_Curves/meltCurve_sp_Q14204_DYHC1_HUMAN_.pdf", "Melting_Curves/meltCurve_sp_Q14204_DYHC1_HUMAN_.pdf")</f>
        <v>Melting_Curves/meltCurve_sp_Q14204_DYHC1_HUMAN_.pdf</v>
      </c>
      <c r="AA1565" t="s">
        <v>13033</v>
      </c>
      <c r="AB1565" t="s">
        <v>16805</v>
      </c>
    </row>
    <row r="1566" spans="1:28" x14ac:dyDescent="0.25">
      <c r="A1566" t="s">
        <v>1570</v>
      </c>
      <c r="B1566">
        <v>0.98876768158843997</v>
      </c>
      <c r="C1566">
        <v>1.0380000581375799</v>
      </c>
      <c r="D1566">
        <v>1.00044663228315</v>
      </c>
      <c r="E1566">
        <v>0.84692158596128198</v>
      </c>
      <c r="F1566">
        <v>0.80825381886089098</v>
      </c>
      <c r="G1566">
        <v>0.422962678040952</v>
      </c>
      <c r="H1566">
        <v>0.11463963046021</v>
      </c>
      <c r="I1566">
        <v>9.4934129793876595E-2</v>
      </c>
      <c r="J1566">
        <v>8.5409467603389799E-2</v>
      </c>
      <c r="K1566">
        <v>9.0908130662640002E-2</v>
      </c>
      <c r="L1566">
        <v>1287.26663412684</v>
      </c>
      <c r="M1566">
        <v>23.127319968514101</v>
      </c>
      <c r="N1566">
        <v>55.949416999320498</v>
      </c>
      <c r="O1566">
        <v>55.2488705172171</v>
      </c>
      <c r="P1566">
        <v>-9.8752538285569194E-2</v>
      </c>
      <c r="Q1566">
        <v>5.6377322826640298E-2</v>
      </c>
      <c r="R1566">
        <v>0.99100580390872095</v>
      </c>
      <c r="S1566" t="s">
        <v>5398</v>
      </c>
      <c r="T1566" t="s">
        <v>7662</v>
      </c>
      <c r="U1566" t="s">
        <v>7662</v>
      </c>
      <c r="V1566" t="s">
        <v>7662</v>
      </c>
      <c r="W1566">
        <v>8</v>
      </c>
      <c r="X1566" t="s">
        <v>9228</v>
      </c>
      <c r="Y1566">
        <v>0.55883536918954235</v>
      </c>
      <c r="Z1566" t="str">
        <f>HYPERLINK("Melting_Curves/meltCurve_sp_Q14232_EI2BA_HUMAN_.pdf", "Melting_Curves/meltCurve_sp_Q14232_EI2BA_HUMAN_.pdf")</f>
        <v>Melting_Curves/meltCurve_sp_Q14232_EI2BA_HUMAN_.pdf</v>
      </c>
      <c r="AA1566" t="s">
        <v>13034</v>
      </c>
      <c r="AB1566" t="s">
        <v>16806</v>
      </c>
    </row>
    <row r="1567" spans="1:28" x14ac:dyDescent="0.25">
      <c r="A1567" t="s">
        <v>1571</v>
      </c>
      <c r="B1567">
        <v>0.98876768158843997</v>
      </c>
      <c r="C1567">
        <v>0.94895461037948403</v>
      </c>
      <c r="D1567">
        <v>0.92592384595108601</v>
      </c>
      <c r="E1567">
        <v>0.77578585854104598</v>
      </c>
      <c r="F1567">
        <v>0.69468304358117405</v>
      </c>
      <c r="G1567">
        <v>0.36898027276166601</v>
      </c>
      <c r="H1567">
        <v>7.7810221374012098E-2</v>
      </c>
      <c r="I1567">
        <v>6.3643083642711595E-2</v>
      </c>
      <c r="J1567">
        <v>6.0268112029429097E-2</v>
      </c>
      <c r="K1567">
        <v>6.3239821572270205E-2</v>
      </c>
      <c r="L1567">
        <v>915.48736385771804</v>
      </c>
      <c r="M1567">
        <v>16.7121664103665</v>
      </c>
      <c r="N1567">
        <v>54.7797155247601</v>
      </c>
      <c r="O1567">
        <v>54.013382066437799</v>
      </c>
      <c r="P1567">
        <v>-7.7357084044192198E-2</v>
      </c>
      <c r="Q1567">
        <v>0</v>
      </c>
      <c r="R1567">
        <v>0.98808541926191595</v>
      </c>
      <c r="S1567" t="s">
        <v>5399</v>
      </c>
      <c r="T1567" t="s">
        <v>7662</v>
      </c>
      <c r="U1567" t="s">
        <v>7662</v>
      </c>
      <c r="V1567" t="s">
        <v>7662</v>
      </c>
      <c r="W1567">
        <v>19</v>
      </c>
      <c r="X1567" t="s">
        <v>9229</v>
      </c>
      <c r="Y1567">
        <v>0.50987404891692945</v>
      </c>
      <c r="Z1567" t="str">
        <f>HYPERLINK("Melting_Curves/meltCurve_sp_Q14240_IF4A2_HUMAN_.pdf", "Melting_Curves/meltCurve_sp_Q14240_IF4A2_HUMAN_.pdf")</f>
        <v>Melting_Curves/meltCurve_sp_Q14240_IF4A2_HUMAN_.pdf</v>
      </c>
      <c r="AA1567" t="s">
        <v>13035</v>
      </c>
      <c r="AB1567" t="s">
        <v>16807</v>
      </c>
    </row>
    <row r="1568" spans="1:28" x14ac:dyDescent="0.25">
      <c r="A1568" t="s">
        <v>1572</v>
      </c>
      <c r="B1568">
        <v>0.98876768158843997</v>
      </c>
      <c r="C1568">
        <v>1.0340230525668901</v>
      </c>
      <c r="D1568">
        <v>0.85292238392654296</v>
      </c>
      <c r="E1568">
        <v>0.63750452664370005</v>
      </c>
      <c r="F1568">
        <v>0.67263168199859802</v>
      </c>
      <c r="G1568">
        <v>0.51347524627796703</v>
      </c>
      <c r="H1568">
        <v>0.38937517655644299</v>
      </c>
      <c r="I1568">
        <v>0.45412794680809998</v>
      </c>
      <c r="J1568">
        <v>0.57876684291398295</v>
      </c>
      <c r="K1568">
        <v>0.66922688889065796</v>
      </c>
      <c r="L1568">
        <v>1095.3894826902699</v>
      </c>
      <c r="M1568">
        <v>22.794810565254799</v>
      </c>
      <c r="O1568">
        <v>47.689081631866699</v>
      </c>
      <c r="P1568">
        <v>-5.6214964620595997E-2</v>
      </c>
      <c r="Q1568">
        <v>0.52957923154961495</v>
      </c>
      <c r="R1568">
        <v>0.85169395982514895</v>
      </c>
      <c r="S1568" t="s">
        <v>5400</v>
      </c>
      <c r="T1568" t="s">
        <v>7662</v>
      </c>
      <c r="U1568" t="s">
        <v>7662</v>
      </c>
      <c r="V1568" t="s">
        <v>7662</v>
      </c>
      <c r="W1568">
        <v>7</v>
      </c>
      <c r="X1568" t="s">
        <v>9230</v>
      </c>
      <c r="Y1568">
        <v>0.66093515248260082</v>
      </c>
      <c r="Z1568" t="str">
        <f>HYPERLINK("Melting_Curves/meltCurve_sp_Q14241_ELOA1_HUMAN_.pdf", "Melting_Curves/meltCurve_sp_Q14241_ELOA1_HUMAN_.pdf")</f>
        <v>Melting_Curves/meltCurve_sp_Q14241_ELOA1_HUMAN_.pdf</v>
      </c>
      <c r="AA1568" t="s">
        <v>13036</v>
      </c>
      <c r="AB1568" t="s">
        <v>16808</v>
      </c>
    </row>
    <row r="1569" spans="1:28" x14ac:dyDescent="0.25">
      <c r="A1569" t="s">
        <v>1573</v>
      </c>
      <c r="B1569">
        <v>0.98876768158843997</v>
      </c>
      <c r="C1569">
        <v>1.1207622416733001</v>
      </c>
      <c r="D1569">
        <v>0.91181684046733003</v>
      </c>
      <c r="E1569">
        <v>0.823331733681264</v>
      </c>
      <c r="F1569">
        <v>0.91300019731918503</v>
      </c>
      <c r="G1569">
        <v>0.65253057282603399</v>
      </c>
      <c r="H1569">
        <v>0.49101979688111103</v>
      </c>
      <c r="I1569">
        <v>0.56453185666911698</v>
      </c>
      <c r="J1569">
        <v>0.66480550708156305</v>
      </c>
      <c r="K1569">
        <v>0.84429234677529297</v>
      </c>
      <c r="L1569">
        <v>1142.2794393972799</v>
      </c>
      <c r="M1569">
        <v>21.857768719699401</v>
      </c>
      <c r="O1569">
        <v>51.828126213615697</v>
      </c>
      <c r="P1569">
        <v>-3.79754609856046E-2</v>
      </c>
      <c r="Q1569">
        <v>0.63982565105146105</v>
      </c>
      <c r="R1569">
        <v>0.67013653698807796</v>
      </c>
      <c r="S1569" t="s">
        <v>5401</v>
      </c>
      <c r="T1569" t="s">
        <v>7662</v>
      </c>
      <c r="U1569" t="s">
        <v>7662</v>
      </c>
      <c r="V1569" t="s">
        <v>7662</v>
      </c>
      <c r="W1569">
        <v>11</v>
      </c>
      <c r="X1569" t="s">
        <v>9231</v>
      </c>
      <c r="Y1569">
        <v>0.79125394125225368</v>
      </c>
      <c r="Z1569" t="str">
        <f>HYPERLINK("Melting_Curves/meltCurve_sp_Q14244_3_MAP7_HUMAN_.pdf", "Melting_Curves/meltCurve_sp_Q14244_3_MAP7_HUMAN_.pdf")</f>
        <v>Melting_Curves/meltCurve_sp_Q14244_3_MAP7_HUMAN_.pdf</v>
      </c>
      <c r="AA1569" t="s">
        <v>13037</v>
      </c>
      <c r="AB1569" t="s">
        <v>16809</v>
      </c>
    </row>
    <row r="1570" spans="1:28" x14ac:dyDescent="0.25">
      <c r="A1570" t="s">
        <v>1574</v>
      </c>
      <c r="B1570">
        <v>0.98876768158843997</v>
      </c>
      <c r="C1570">
        <v>1.0851539651288999</v>
      </c>
      <c r="D1570">
        <v>0.86811060765774595</v>
      </c>
      <c r="E1570">
        <v>0.73012786009212305</v>
      </c>
      <c r="F1570">
        <v>0.91088948076783105</v>
      </c>
      <c r="G1570">
        <v>0.67943743844430804</v>
      </c>
      <c r="H1570">
        <v>0.535095411988328</v>
      </c>
      <c r="I1570">
        <v>0.65707330810299303</v>
      </c>
      <c r="J1570">
        <v>0.71970597939923397</v>
      </c>
      <c r="K1570">
        <v>0.94802382915912498</v>
      </c>
      <c r="L1570">
        <v>11498.6446747687</v>
      </c>
      <c r="M1570">
        <v>250</v>
      </c>
      <c r="O1570">
        <v>45.991635375375999</v>
      </c>
      <c r="P1570">
        <v>-0.35325652965250798</v>
      </c>
      <c r="Q1570">
        <v>0.740050472349849</v>
      </c>
      <c r="R1570">
        <v>0.50918368102542599</v>
      </c>
      <c r="S1570" t="s">
        <v>5402</v>
      </c>
      <c r="T1570" t="s">
        <v>7662</v>
      </c>
      <c r="U1570" t="s">
        <v>7662</v>
      </c>
      <c r="V1570" t="s">
        <v>7662</v>
      </c>
      <c r="W1570">
        <v>35</v>
      </c>
      <c r="X1570" t="s">
        <v>9232</v>
      </c>
      <c r="Y1570">
        <v>0.7920143854587478</v>
      </c>
      <c r="Z1570" t="str">
        <f>HYPERLINK("Melting_Curves/meltCurve_sp_Q14247_SRC8_HUMAN_.pdf", "Melting_Curves/meltCurve_sp_Q14247_SRC8_HUMAN_.pdf")</f>
        <v>Melting_Curves/meltCurve_sp_Q14247_SRC8_HUMAN_.pdf</v>
      </c>
      <c r="AA1570" t="s">
        <v>13038</v>
      </c>
      <c r="AB1570" t="s">
        <v>16810</v>
      </c>
    </row>
    <row r="1571" spans="1:28" x14ac:dyDescent="0.25">
      <c r="A1571" t="s">
        <v>1575</v>
      </c>
      <c r="B1571">
        <v>0.98876768158843997</v>
      </c>
      <c r="C1571">
        <v>1.0278342692595399</v>
      </c>
      <c r="D1571">
        <v>0.88489775810842697</v>
      </c>
      <c r="E1571">
        <v>0.67204867762026199</v>
      </c>
      <c r="F1571">
        <v>0.37720109678369901</v>
      </c>
      <c r="G1571">
        <v>0.22340137766413001</v>
      </c>
      <c r="H1571">
        <v>0.17365475684683701</v>
      </c>
      <c r="I1571">
        <v>0.18140094321724801</v>
      </c>
      <c r="J1571">
        <v>0.32468008929750303</v>
      </c>
      <c r="K1571">
        <v>0.21003832902935299</v>
      </c>
      <c r="L1571">
        <v>1318.69150553195</v>
      </c>
      <c r="M1571">
        <v>26.169582892135999</v>
      </c>
      <c r="N1571">
        <v>51.486981694333302</v>
      </c>
      <c r="O1571">
        <v>50.098763097184403</v>
      </c>
      <c r="P1571">
        <v>-0.102688590240587</v>
      </c>
      <c r="Q1571">
        <v>0.213665278734543</v>
      </c>
      <c r="R1571">
        <v>0.98064202419920998</v>
      </c>
      <c r="S1571" t="s">
        <v>5403</v>
      </c>
      <c r="T1571" t="s">
        <v>7662</v>
      </c>
      <c r="U1571" t="s">
        <v>7662</v>
      </c>
      <c r="V1571" t="s">
        <v>7662</v>
      </c>
      <c r="W1571">
        <v>14</v>
      </c>
      <c r="X1571" t="s">
        <v>9233</v>
      </c>
      <c r="Y1571">
        <v>0.49244621942683858</v>
      </c>
      <c r="Z1571" t="str">
        <f>HYPERLINK("Melting_Curves/meltCurve_sp_Q14258_TRI25_HUMAN_.pdf", "Melting_Curves/meltCurve_sp_Q14258_TRI25_HUMAN_.pdf")</f>
        <v>Melting_Curves/meltCurve_sp_Q14258_TRI25_HUMAN_.pdf</v>
      </c>
      <c r="AA1571" t="s">
        <v>13039</v>
      </c>
      <c r="AB1571" t="s">
        <v>16811</v>
      </c>
    </row>
    <row r="1572" spans="1:28" x14ac:dyDescent="0.25">
      <c r="A1572" t="s">
        <v>1576</v>
      </c>
      <c r="B1572">
        <v>0.98876768158843997</v>
      </c>
      <c r="C1572">
        <v>0.96698913371453399</v>
      </c>
      <c r="D1572">
        <v>0.830069994303549</v>
      </c>
      <c r="E1572">
        <v>0.53685765913958305</v>
      </c>
      <c r="F1572">
        <v>0.28639494469381799</v>
      </c>
      <c r="G1572">
        <v>0.132822434276782</v>
      </c>
      <c r="H1572">
        <v>9.0482592747675894E-2</v>
      </c>
      <c r="I1572">
        <v>7.1584638897549999E-2</v>
      </c>
      <c r="J1572">
        <v>0.11539092172381001</v>
      </c>
      <c r="K1572">
        <v>9.0791204733210201E-2</v>
      </c>
      <c r="L1572">
        <v>988.63562153696796</v>
      </c>
      <c r="M1572">
        <v>19.862783664378401</v>
      </c>
      <c r="N1572">
        <v>50.207174343949298</v>
      </c>
      <c r="O1572">
        <v>49.276996697101801</v>
      </c>
      <c r="P1572">
        <v>-9.2826609958992404E-2</v>
      </c>
      <c r="Q1572">
        <v>7.8867551634959898E-2</v>
      </c>
      <c r="R1572">
        <v>0.99815586900106701</v>
      </c>
      <c r="S1572" t="s">
        <v>5404</v>
      </c>
      <c r="T1572" t="s">
        <v>7662</v>
      </c>
      <c r="U1572" t="s">
        <v>7662</v>
      </c>
      <c r="V1572" t="s">
        <v>7662</v>
      </c>
      <c r="W1572">
        <v>6</v>
      </c>
      <c r="X1572" t="s">
        <v>9234</v>
      </c>
      <c r="Y1572">
        <v>0.39196074228674482</v>
      </c>
      <c r="Z1572" t="str">
        <f>HYPERLINK("Melting_Curves/meltCurve_sp_Q14318_2_FKBP8_HUMAN_.pdf", "Melting_Curves/meltCurve_sp_Q14318_2_FKBP8_HUMAN_.pdf")</f>
        <v>Melting_Curves/meltCurve_sp_Q14318_2_FKBP8_HUMAN_.pdf</v>
      </c>
      <c r="AA1572" t="s">
        <v>13040</v>
      </c>
      <c r="AB1572" t="s">
        <v>16812</v>
      </c>
    </row>
    <row r="1573" spans="1:28" x14ac:dyDescent="0.25">
      <c r="A1573" t="s">
        <v>1577</v>
      </c>
      <c r="B1573">
        <v>0.98876768158843997</v>
      </c>
      <c r="C1573">
        <v>1.15012790341871</v>
      </c>
      <c r="D1573">
        <v>0.87242713621678902</v>
      </c>
      <c r="E1573">
        <v>0.71474743287582099</v>
      </c>
      <c r="F1573">
        <v>0.86820380970307598</v>
      </c>
      <c r="G1573">
        <v>0.53041741319073898</v>
      </c>
      <c r="H1573">
        <v>0.28346056594434998</v>
      </c>
      <c r="I1573">
        <v>0.214861717964583</v>
      </c>
      <c r="J1573">
        <v>0.25500878875834099</v>
      </c>
      <c r="K1573">
        <v>0.23670264513071901</v>
      </c>
      <c r="L1573">
        <v>792.80124230677302</v>
      </c>
      <c r="M1573">
        <v>14.2109223250949</v>
      </c>
      <c r="N1573">
        <v>57.248590157930003</v>
      </c>
      <c r="O1573">
        <v>54.718319320022999</v>
      </c>
      <c r="P1573">
        <v>-5.5062823662323103E-2</v>
      </c>
      <c r="Q1573">
        <v>0.152041217257496</v>
      </c>
      <c r="R1573">
        <v>0.92330559056060202</v>
      </c>
      <c r="S1573" t="s">
        <v>5405</v>
      </c>
      <c r="T1573" t="s">
        <v>7662</v>
      </c>
      <c r="U1573" t="s">
        <v>7662</v>
      </c>
      <c r="V1573" t="s">
        <v>7662</v>
      </c>
      <c r="W1573">
        <v>4</v>
      </c>
      <c r="X1573" t="s">
        <v>9235</v>
      </c>
      <c r="Y1573">
        <v>0.61436273206233527</v>
      </c>
      <c r="Z1573" t="str">
        <f>HYPERLINK("Melting_Curves/meltCurve_sp_Q14320_FA50A_HUMAN_.pdf", "Melting_Curves/meltCurve_sp_Q14320_FA50A_HUMAN_.pdf")</f>
        <v>Melting_Curves/meltCurve_sp_Q14320_FA50A_HUMAN_.pdf</v>
      </c>
      <c r="AA1573" t="s">
        <v>13041</v>
      </c>
      <c r="AB1573" t="s">
        <v>16813</v>
      </c>
    </row>
    <row r="1574" spans="1:28" x14ac:dyDescent="0.25">
      <c r="A1574" t="s">
        <v>1578</v>
      </c>
      <c r="B1574">
        <v>0.98876768158843997</v>
      </c>
      <c r="C1574">
        <v>0.86332583505737404</v>
      </c>
      <c r="D1574">
        <v>0.76367389217723103</v>
      </c>
      <c r="E1574">
        <v>0.66692079263344695</v>
      </c>
      <c r="F1574">
        <v>0.28519046224906303</v>
      </c>
      <c r="G1574">
        <v>5.3947855947921397E-2</v>
      </c>
      <c r="H1574">
        <v>2.9083926277207999E-2</v>
      </c>
      <c r="I1574">
        <v>2.7397075263520799E-2</v>
      </c>
      <c r="J1574">
        <v>3.02392348351283E-2</v>
      </c>
      <c r="K1574">
        <v>2.3050596029904499E-2</v>
      </c>
      <c r="L1574">
        <v>847.13415587243605</v>
      </c>
      <c r="M1574">
        <v>16.761523024418398</v>
      </c>
      <c r="N1574">
        <v>50.540396730874903</v>
      </c>
      <c r="O1574">
        <v>49.8374610918586</v>
      </c>
      <c r="P1574">
        <v>-8.4086442020451499E-2</v>
      </c>
      <c r="Q1574">
        <v>0</v>
      </c>
      <c r="R1574">
        <v>0.97503997617448901</v>
      </c>
      <c r="S1574" t="s">
        <v>5406</v>
      </c>
      <c r="T1574" t="s">
        <v>7662</v>
      </c>
      <c r="U1574" t="s">
        <v>7662</v>
      </c>
      <c r="V1574" t="s">
        <v>7662</v>
      </c>
      <c r="W1574">
        <v>7</v>
      </c>
      <c r="X1574" t="s">
        <v>9236</v>
      </c>
      <c r="Y1574">
        <v>0.37063829459261938</v>
      </c>
      <c r="Z1574" t="str">
        <f>HYPERLINK("Melting_Curves/meltCurve_sp_Q14353_GAMT_HUMAN_.pdf", "Melting_Curves/meltCurve_sp_Q14353_GAMT_HUMAN_.pdf")</f>
        <v>Melting_Curves/meltCurve_sp_Q14353_GAMT_HUMAN_.pdf</v>
      </c>
      <c r="AA1574" t="s">
        <v>13042</v>
      </c>
      <c r="AB1574" t="s">
        <v>16814</v>
      </c>
    </row>
    <row r="1575" spans="1:28" x14ac:dyDescent="0.25">
      <c r="A1575" t="s">
        <v>1579</v>
      </c>
      <c r="B1575">
        <v>0.98876768158843997</v>
      </c>
      <c r="C1575">
        <v>0.807157706611353</v>
      </c>
      <c r="D1575">
        <v>0.630609179518832</v>
      </c>
      <c r="E1575">
        <v>0.42801213128127102</v>
      </c>
      <c r="F1575">
        <v>0.30375887685224301</v>
      </c>
      <c r="G1575">
        <v>0.182856483120693</v>
      </c>
      <c r="H1575">
        <v>0.137767695223526</v>
      </c>
      <c r="I1575">
        <v>0.11069910757139</v>
      </c>
      <c r="J1575">
        <v>0.18220664000829401</v>
      </c>
      <c r="K1575">
        <v>8.6303322313315806E-2</v>
      </c>
      <c r="L1575">
        <v>631.35541564603898</v>
      </c>
      <c r="M1575">
        <v>13.270584520622</v>
      </c>
      <c r="N1575">
        <v>48.427357088535899</v>
      </c>
      <c r="O1575">
        <v>46.534162085672001</v>
      </c>
      <c r="P1575">
        <v>-6.3884191487241601E-2</v>
      </c>
      <c r="Q1575">
        <v>0.104089948469379</v>
      </c>
      <c r="R1575">
        <v>0.98934412775101199</v>
      </c>
      <c r="S1575" t="s">
        <v>5407</v>
      </c>
      <c r="T1575" t="s">
        <v>7662</v>
      </c>
      <c r="U1575" t="s">
        <v>7662</v>
      </c>
      <c r="V1575" t="s">
        <v>7662</v>
      </c>
      <c r="W1575">
        <v>13</v>
      </c>
      <c r="X1575" t="s">
        <v>9237</v>
      </c>
      <c r="Y1575">
        <v>0.36027122670923001</v>
      </c>
      <c r="Z1575" t="str">
        <f>HYPERLINK("Melting_Curves/meltCurve_sp_Q14376_GALE_HUMAN_.pdf", "Melting_Curves/meltCurve_sp_Q14376_GALE_HUMAN_.pdf")</f>
        <v>Melting_Curves/meltCurve_sp_Q14376_GALE_HUMAN_.pdf</v>
      </c>
      <c r="AA1575" t="s">
        <v>13043</v>
      </c>
      <c r="AB1575" t="s">
        <v>16815</v>
      </c>
    </row>
    <row r="1576" spans="1:28" x14ac:dyDescent="0.25">
      <c r="A1576" t="s">
        <v>1580</v>
      </c>
      <c r="B1576">
        <v>0.98876768158843997</v>
      </c>
      <c r="C1576">
        <v>0.85286542341040095</v>
      </c>
      <c r="D1576">
        <v>0.44359536225616197</v>
      </c>
      <c r="E1576">
        <v>0.23421862430181101</v>
      </c>
      <c r="F1576">
        <v>0.164070779562624</v>
      </c>
      <c r="G1576">
        <v>9.9579232193353295E-2</v>
      </c>
      <c r="H1576">
        <v>6.7597003299082997E-2</v>
      </c>
      <c r="I1576">
        <v>6.3447896847726698E-2</v>
      </c>
      <c r="J1576">
        <v>9.3922814264713994E-2</v>
      </c>
      <c r="K1576">
        <v>6.6401106206052898E-2</v>
      </c>
      <c r="L1576">
        <v>1038.61676207336</v>
      </c>
      <c r="M1576">
        <v>22.804973838054799</v>
      </c>
      <c r="N1576">
        <v>45.927698409260898</v>
      </c>
      <c r="O1576">
        <v>45.197545435389799</v>
      </c>
      <c r="P1576">
        <v>-0.11518706694082601</v>
      </c>
      <c r="Q1576">
        <v>8.6852813453757394E-2</v>
      </c>
      <c r="R1576">
        <v>0.99145952087562195</v>
      </c>
      <c r="S1576" t="s">
        <v>5408</v>
      </c>
      <c r="T1576" t="s">
        <v>7662</v>
      </c>
      <c r="U1576" t="s">
        <v>7662</v>
      </c>
      <c r="V1576" t="s">
        <v>7662</v>
      </c>
      <c r="W1576">
        <v>6</v>
      </c>
      <c r="X1576" t="s">
        <v>9238</v>
      </c>
      <c r="Y1576">
        <v>0.26635607505072489</v>
      </c>
      <c r="Z1576" t="str">
        <f>HYPERLINK("Melting_Curves/meltCurve_sp_Q14397_GCKR_HUMAN_.pdf", "Melting_Curves/meltCurve_sp_Q14397_GCKR_HUMAN_.pdf")</f>
        <v>Melting_Curves/meltCurve_sp_Q14397_GCKR_HUMAN_.pdf</v>
      </c>
      <c r="AA1576" t="s">
        <v>13044</v>
      </c>
      <c r="AB1576" t="s">
        <v>16816</v>
      </c>
    </row>
    <row r="1577" spans="1:28" x14ac:dyDescent="0.25">
      <c r="A1577" t="s">
        <v>1581</v>
      </c>
      <c r="B1577">
        <v>0.98876768158843997</v>
      </c>
      <c r="C1577">
        <v>1.0593872394255099</v>
      </c>
      <c r="D1577">
        <v>0.94212205207790101</v>
      </c>
      <c r="E1577">
        <v>0.75126681056709499</v>
      </c>
      <c r="F1577">
        <v>0.48149616234750398</v>
      </c>
      <c r="G1577">
        <v>0.33184865574097899</v>
      </c>
      <c r="H1577">
        <v>0.232043753474071</v>
      </c>
      <c r="I1577">
        <v>0.16730035144064201</v>
      </c>
      <c r="J1577">
        <v>0.15920280773790299</v>
      </c>
      <c r="K1577">
        <v>0.125099885390099</v>
      </c>
      <c r="L1577">
        <v>960.39626868772996</v>
      </c>
      <c r="M1577">
        <v>18.366046452397001</v>
      </c>
      <c r="N1577">
        <v>53.289400005501101</v>
      </c>
      <c r="O1577">
        <v>51.683824538501</v>
      </c>
      <c r="P1577">
        <v>-7.5919950223040697E-2</v>
      </c>
      <c r="Q1577">
        <v>0.14545471942017801</v>
      </c>
      <c r="R1577">
        <v>0.99214270208935895</v>
      </c>
      <c r="S1577" t="s">
        <v>5409</v>
      </c>
      <c r="T1577" t="s">
        <v>7662</v>
      </c>
      <c r="U1577" t="s">
        <v>7662</v>
      </c>
      <c r="V1577" t="s">
        <v>7662</v>
      </c>
      <c r="W1577">
        <v>3</v>
      </c>
      <c r="X1577" t="s">
        <v>9239</v>
      </c>
      <c r="Y1577">
        <v>0.50927721066004084</v>
      </c>
      <c r="Z1577" t="str">
        <f>HYPERLINK("Melting_Curves/meltCurve_sp_Q14410_GLPK2_HUMAN_.pdf", "Melting_Curves/meltCurve_sp_Q14410_GLPK2_HUMAN_.pdf")</f>
        <v>Melting_Curves/meltCurve_sp_Q14410_GLPK2_HUMAN_.pdf</v>
      </c>
      <c r="AA1577" t="s">
        <v>13045</v>
      </c>
      <c r="AB1577" t="s">
        <v>16817</v>
      </c>
    </row>
    <row r="1578" spans="1:28" x14ac:dyDescent="0.25">
      <c r="A1578" t="s">
        <v>1582</v>
      </c>
      <c r="B1578">
        <v>0.98876768158843997</v>
      </c>
      <c r="C1578">
        <v>1.0017090270675399</v>
      </c>
      <c r="D1578">
        <v>0.969359657673175</v>
      </c>
      <c r="E1578">
        <v>0.86620358086320404</v>
      </c>
      <c r="F1578">
        <v>0.77965375352712096</v>
      </c>
      <c r="G1578">
        <v>0.62417423287311302</v>
      </c>
      <c r="H1578">
        <v>0.53172400751265203</v>
      </c>
      <c r="I1578">
        <v>0.62360160795066799</v>
      </c>
      <c r="J1578">
        <v>0.73086784275132299</v>
      </c>
      <c r="K1578">
        <v>0.85640368889413099</v>
      </c>
      <c r="L1578">
        <v>1575.46182944063</v>
      </c>
      <c r="M1578">
        <v>31.0279533272812</v>
      </c>
      <c r="O1578">
        <v>50.5660490862427</v>
      </c>
      <c r="P1578">
        <v>-4.9729679712776302E-2</v>
      </c>
      <c r="Q1578">
        <v>0.675825333462438</v>
      </c>
      <c r="R1578">
        <v>0.74059862434721502</v>
      </c>
      <c r="S1578" t="s">
        <v>5410</v>
      </c>
      <c r="T1578" t="s">
        <v>7662</v>
      </c>
      <c r="U1578" t="s">
        <v>7662</v>
      </c>
      <c r="V1578" t="s">
        <v>7662</v>
      </c>
      <c r="W1578">
        <v>8</v>
      </c>
      <c r="X1578" t="s">
        <v>9240</v>
      </c>
      <c r="Y1578">
        <v>0.7941619947875932</v>
      </c>
      <c r="Z1578" t="str">
        <f>HYPERLINK("Melting_Curves/meltCurve_sp_Q14444_2_CAPR1_HUMAN_.pdf", "Melting_Curves/meltCurve_sp_Q14444_2_CAPR1_HUMAN_.pdf")</f>
        <v>Melting_Curves/meltCurve_sp_Q14444_2_CAPR1_HUMAN_.pdf</v>
      </c>
      <c r="AA1578" t="s">
        <v>13046</v>
      </c>
      <c r="AB1578" t="s">
        <v>16818</v>
      </c>
    </row>
    <row r="1579" spans="1:28" x14ac:dyDescent="0.25">
      <c r="A1579" t="s">
        <v>1583</v>
      </c>
      <c r="B1579">
        <v>0.98876768158843997</v>
      </c>
      <c r="C1579">
        <v>1.00886753695696</v>
      </c>
      <c r="D1579">
        <v>0.85384386158040304</v>
      </c>
      <c r="E1579">
        <v>0.62677407518927597</v>
      </c>
      <c r="F1579">
        <v>0.67792996161603103</v>
      </c>
      <c r="G1579">
        <v>0.347554560058073</v>
      </c>
      <c r="H1579">
        <v>0.20756185385526599</v>
      </c>
      <c r="I1579">
        <v>0.184749036730431</v>
      </c>
      <c r="J1579">
        <v>0.13943120991250199</v>
      </c>
      <c r="K1579">
        <v>0.18558109050729699</v>
      </c>
      <c r="L1579">
        <v>650.31448671727503</v>
      </c>
      <c r="M1579">
        <v>12.222906487649</v>
      </c>
      <c r="N1579">
        <v>54.0979384129461</v>
      </c>
      <c r="O1579">
        <v>51.840546024332703</v>
      </c>
      <c r="P1579">
        <v>-5.3569763767926298E-2</v>
      </c>
      <c r="Q1579">
        <v>9.1390391676528002E-2</v>
      </c>
      <c r="R1579">
        <v>0.97146289083475901</v>
      </c>
      <c r="S1579" t="s">
        <v>5411</v>
      </c>
      <c r="T1579" t="s">
        <v>7662</v>
      </c>
      <c r="U1579" t="s">
        <v>7662</v>
      </c>
      <c r="V1579" t="s">
        <v>7662</v>
      </c>
      <c r="W1579">
        <v>6</v>
      </c>
      <c r="X1579" t="s">
        <v>9241</v>
      </c>
      <c r="Y1579">
        <v>0.51626163454649154</v>
      </c>
      <c r="Z1579" t="str">
        <f>HYPERLINK("Melting_Curves/meltCurve_sp_Q14498_2_RBM39_HUMAN_.pdf", "Melting_Curves/meltCurve_sp_Q14498_2_RBM39_HUMAN_.pdf")</f>
        <v>Melting_Curves/meltCurve_sp_Q14498_2_RBM39_HUMAN_.pdf</v>
      </c>
      <c r="AA1579" t="s">
        <v>13047</v>
      </c>
      <c r="AB1579" t="s">
        <v>16819</v>
      </c>
    </row>
    <row r="1580" spans="1:28" x14ac:dyDescent="0.25">
      <c r="A1580" t="s">
        <v>1584</v>
      </c>
      <c r="B1580">
        <v>0.98876768158843997</v>
      </c>
      <c r="C1580">
        <v>1.0227495744350901</v>
      </c>
      <c r="D1580">
        <v>0.91376843089519899</v>
      </c>
      <c r="E1580">
        <v>0.87373316890929897</v>
      </c>
      <c r="F1580">
        <v>0.77171020842371696</v>
      </c>
      <c r="G1580">
        <v>0.355960869091617</v>
      </c>
      <c r="H1580">
        <v>0.11564025108172001</v>
      </c>
      <c r="I1580">
        <v>9.70439781033995E-2</v>
      </c>
      <c r="J1580">
        <v>0.116603224577268</v>
      </c>
      <c r="K1580">
        <v>9.2213837539870294E-2</v>
      </c>
      <c r="L1580">
        <v>1336.50148979041</v>
      </c>
      <c r="M1580">
        <v>24.293223557986199</v>
      </c>
      <c r="N1580">
        <v>55.394823111239603</v>
      </c>
      <c r="O1580">
        <v>54.646669656568299</v>
      </c>
      <c r="P1580">
        <v>-0.10262129042986801</v>
      </c>
      <c r="Q1580">
        <v>7.6643242407572601E-2</v>
      </c>
      <c r="R1580">
        <v>0.99135843901060905</v>
      </c>
      <c r="S1580" t="s">
        <v>5412</v>
      </c>
      <c r="T1580" t="s">
        <v>7662</v>
      </c>
      <c r="U1580" t="s">
        <v>7662</v>
      </c>
      <c r="V1580" t="s">
        <v>7662</v>
      </c>
      <c r="W1580">
        <v>1</v>
      </c>
      <c r="X1580" t="s">
        <v>9242</v>
      </c>
      <c r="Y1580">
        <v>0.54777397316116228</v>
      </c>
      <c r="Z1580" t="str">
        <f>HYPERLINK("Melting_Curves/meltCurve_sp_Q14520_2_HABP2_HUMAN_.pdf", "Melting_Curves/meltCurve_sp_Q14520_2_HABP2_HUMAN_.pdf")</f>
        <v>Melting_Curves/meltCurve_sp_Q14520_2_HABP2_HUMAN_.pdf</v>
      </c>
      <c r="AA1580" t="s">
        <v>13048</v>
      </c>
      <c r="AB1580" t="s">
        <v>16820</v>
      </c>
    </row>
    <row r="1581" spans="1:28" x14ac:dyDescent="0.25">
      <c r="A1581" t="s">
        <v>1585</v>
      </c>
      <c r="B1581">
        <v>0.98876768158843997</v>
      </c>
      <c r="C1581">
        <v>1.0241322521282801</v>
      </c>
      <c r="D1581">
        <v>0.87319513387254399</v>
      </c>
      <c r="E1581">
        <v>0.75558841671944998</v>
      </c>
      <c r="F1581">
        <v>0.53028366994998</v>
      </c>
      <c r="G1581">
        <v>0.16323263678688099</v>
      </c>
      <c r="H1581">
        <v>7.0367367272130499E-2</v>
      </c>
      <c r="I1581">
        <v>6.6670917042409295E-2</v>
      </c>
      <c r="J1581">
        <v>6.1920705881086002E-2</v>
      </c>
      <c r="K1581">
        <v>5.4583137633315501E-2</v>
      </c>
      <c r="L1581">
        <v>1063.1594978991</v>
      </c>
      <c r="M1581">
        <v>20.1778145406373</v>
      </c>
      <c r="N1581">
        <v>52.870806076451203</v>
      </c>
      <c r="O1581">
        <v>52.180205853508198</v>
      </c>
      <c r="P1581">
        <v>-9.3445770026441694E-2</v>
      </c>
      <c r="Q1581">
        <v>3.3420521053630498E-2</v>
      </c>
      <c r="R1581">
        <v>0.99247665482449698</v>
      </c>
      <c r="S1581" t="s">
        <v>5413</v>
      </c>
      <c r="T1581" t="s">
        <v>7662</v>
      </c>
      <c r="U1581" t="s">
        <v>7662</v>
      </c>
      <c r="V1581" t="s">
        <v>7662</v>
      </c>
      <c r="W1581">
        <v>14</v>
      </c>
      <c r="X1581" t="s">
        <v>9243</v>
      </c>
      <c r="Y1581">
        <v>0.45539104653481449</v>
      </c>
      <c r="Z1581" t="str">
        <f>HYPERLINK("Melting_Curves/meltCurve_sp_Q14554_PDIA5_HUMAN_.pdf", "Melting_Curves/meltCurve_sp_Q14554_PDIA5_HUMAN_.pdf")</f>
        <v>Melting_Curves/meltCurve_sp_Q14554_PDIA5_HUMAN_.pdf</v>
      </c>
      <c r="AA1581" t="s">
        <v>13049</v>
      </c>
      <c r="AB1581" t="s">
        <v>16821</v>
      </c>
    </row>
    <row r="1582" spans="1:28" x14ac:dyDescent="0.25">
      <c r="A1582" t="s">
        <v>1586</v>
      </c>
      <c r="B1582">
        <v>0.98876768158843997</v>
      </c>
      <c r="C1582">
        <v>1.04631342826053</v>
      </c>
      <c r="D1582">
        <v>1.2351544532704299</v>
      </c>
      <c r="E1582">
        <v>0.91497261648136197</v>
      </c>
      <c r="F1582">
        <v>0.42610376024020102</v>
      </c>
      <c r="G1582">
        <v>0.18652019862597699</v>
      </c>
      <c r="H1582">
        <v>7.0829115972999596E-2</v>
      </c>
      <c r="I1582">
        <v>4.6289065885340798E-2</v>
      </c>
      <c r="J1582">
        <v>4.7105355113356499E-2</v>
      </c>
      <c r="K1582">
        <v>3.9425305717375903E-2</v>
      </c>
      <c r="L1582">
        <v>2167.1580159464502</v>
      </c>
      <c r="M1582">
        <v>41.258098386168001</v>
      </c>
      <c r="N1582">
        <v>52.712026586255597</v>
      </c>
      <c r="O1582">
        <v>52.403902432496601</v>
      </c>
      <c r="P1582">
        <v>-0.183549379569659</v>
      </c>
      <c r="Q1582">
        <v>6.7461998565550393E-2</v>
      </c>
      <c r="R1582">
        <v>0.96835288836802602</v>
      </c>
      <c r="S1582" t="s">
        <v>5414</v>
      </c>
      <c r="T1582" t="s">
        <v>7662</v>
      </c>
      <c r="U1582" t="s">
        <v>7662</v>
      </c>
      <c r="V1582" t="s">
        <v>7662</v>
      </c>
      <c r="W1582">
        <v>6</v>
      </c>
      <c r="X1582" t="s">
        <v>9244</v>
      </c>
      <c r="Y1582">
        <v>0.46003342743479703</v>
      </c>
      <c r="Z1582" t="str">
        <f>HYPERLINK("Melting_Curves/meltCurve_sp_Q14558_KPRA_HUMAN_.pdf", "Melting_Curves/meltCurve_sp_Q14558_KPRA_HUMAN_.pdf")</f>
        <v>Melting_Curves/meltCurve_sp_Q14558_KPRA_HUMAN_.pdf</v>
      </c>
      <c r="AA1582" t="s">
        <v>13050</v>
      </c>
      <c r="AB1582" t="s">
        <v>16822</v>
      </c>
    </row>
    <row r="1583" spans="1:28" x14ac:dyDescent="0.25">
      <c r="A1583" t="s">
        <v>1587</v>
      </c>
      <c r="B1583">
        <v>0.98876768158843997</v>
      </c>
      <c r="C1583">
        <v>0.83609778829926995</v>
      </c>
      <c r="D1583">
        <v>0.87729626274518202</v>
      </c>
      <c r="E1583">
        <v>0.33364124858034999</v>
      </c>
      <c r="F1583">
        <v>0.15583815217639699</v>
      </c>
      <c r="G1583">
        <v>7.6107287889094793E-2</v>
      </c>
      <c r="H1583">
        <v>5.3416861366030501E-2</v>
      </c>
      <c r="I1583">
        <v>4.16115803789135E-2</v>
      </c>
      <c r="J1583">
        <v>5.3792168210669698E-2</v>
      </c>
      <c r="K1583">
        <v>5.1440222192760697E-2</v>
      </c>
      <c r="L1583">
        <v>1267.0447807468099</v>
      </c>
      <c r="M1583">
        <v>26.074290161274298</v>
      </c>
      <c r="N1583">
        <v>48.787973653114904</v>
      </c>
      <c r="O1583">
        <v>48.310513178415299</v>
      </c>
      <c r="P1583">
        <v>-0.12827697555122899</v>
      </c>
      <c r="Q1583">
        <v>4.9323089347030197E-2</v>
      </c>
      <c r="R1583">
        <v>0.98415118631469101</v>
      </c>
      <c r="S1583" t="s">
        <v>5415</v>
      </c>
      <c r="T1583" t="s">
        <v>7662</v>
      </c>
      <c r="U1583" t="s">
        <v>7662</v>
      </c>
      <c r="V1583" t="s">
        <v>7662</v>
      </c>
      <c r="W1583">
        <v>8</v>
      </c>
      <c r="X1583" t="s">
        <v>9245</v>
      </c>
      <c r="Y1583">
        <v>0.32935067157543862</v>
      </c>
      <c r="Z1583" t="str">
        <f>HYPERLINK("Melting_Curves/meltCurve_sp_Q14566_MCM6_HUMAN_.pdf", "Melting_Curves/meltCurve_sp_Q14566_MCM6_HUMAN_.pdf")</f>
        <v>Melting_Curves/meltCurve_sp_Q14566_MCM6_HUMAN_.pdf</v>
      </c>
      <c r="AA1583" t="s">
        <v>13051</v>
      </c>
      <c r="AB1583" t="s">
        <v>16823</v>
      </c>
    </row>
    <row r="1584" spans="1:28" x14ac:dyDescent="0.25">
      <c r="A1584" t="s">
        <v>1588</v>
      </c>
      <c r="B1584">
        <v>0.98876768158843997</v>
      </c>
      <c r="C1584">
        <v>0.93174591496596104</v>
      </c>
      <c r="D1584">
        <v>0.91128899406936703</v>
      </c>
      <c r="E1584">
        <v>0.77356229358879303</v>
      </c>
      <c r="F1584">
        <v>0.635429417955371</v>
      </c>
      <c r="G1584">
        <v>0.42025343498234402</v>
      </c>
      <c r="H1584">
        <v>0.26406364901645502</v>
      </c>
      <c r="I1584">
        <v>0.295196773761633</v>
      </c>
      <c r="J1584">
        <v>0.28866817766873898</v>
      </c>
      <c r="K1584">
        <v>0.28515677063661299</v>
      </c>
      <c r="L1584">
        <v>821.99522108824203</v>
      </c>
      <c r="M1584">
        <v>15.603348704349401</v>
      </c>
      <c r="N1584">
        <v>55.067662083172998</v>
      </c>
      <c r="O1584">
        <v>51.838152497187203</v>
      </c>
      <c r="P1584">
        <v>-5.67614184696578E-2</v>
      </c>
      <c r="Q1584">
        <v>0.24576385602891199</v>
      </c>
      <c r="R1584">
        <v>0.98995147312639498</v>
      </c>
      <c r="S1584" t="s">
        <v>5416</v>
      </c>
      <c r="T1584" t="s">
        <v>7662</v>
      </c>
      <c r="U1584" t="s">
        <v>7662</v>
      </c>
      <c r="V1584" t="s">
        <v>7662</v>
      </c>
      <c r="W1584">
        <v>14</v>
      </c>
      <c r="X1584" t="s">
        <v>9246</v>
      </c>
      <c r="Y1584">
        <v>0.58009493694484204</v>
      </c>
      <c r="Z1584" t="str">
        <f>HYPERLINK("Melting_Curves/meltCurve_sp_Q14624_ITIH4_HUMAN_.pdf", "Melting_Curves/meltCurve_sp_Q14624_ITIH4_HUMAN_.pdf")</f>
        <v>Melting_Curves/meltCurve_sp_Q14624_ITIH4_HUMAN_.pdf</v>
      </c>
      <c r="AA1584" t="s">
        <v>13052</v>
      </c>
      <c r="AB1584" t="s">
        <v>16824</v>
      </c>
    </row>
    <row r="1585" spans="1:28" x14ac:dyDescent="0.25">
      <c r="A1585" t="s">
        <v>1589</v>
      </c>
      <c r="B1585">
        <v>0.98876768158843997</v>
      </c>
      <c r="C1585">
        <v>1.0594551422557399</v>
      </c>
      <c r="D1585">
        <v>0.88559101589127198</v>
      </c>
      <c r="E1585">
        <v>0.73040610920519</v>
      </c>
      <c r="F1585">
        <v>0.34791218871768798</v>
      </c>
      <c r="G1585">
        <v>0.13898636849012</v>
      </c>
      <c r="H1585">
        <v>7.5318940796370304E-2</v>
      </c>
      <c r="I1585">
        <v>5.8583346138163399E-2</v>
      </c>
      <c r="J1585">
        <v>6.6330342651693894E-2</v>
      </c>
      <c r="K1585">
        <v>5.9162173107873701E-2</v>
      </c>
      <c r="L1585">
        <v>1296.89718885041</v>
      </c>
      <c r="M1585">
        <v>25.1797929627567</v>
      </c>
      <c r="N1585">
        <v>51.755137008680499</v>
      </c>
      <c r="O1585">
        <v>51.183911744215202</v>
      </c>
      <c r="P1585">
        <v>-0.115955144286756</v>
      </c>
      <c r="Q1585">
        <v>5.71869013012197E-2</v>
      </c>
      <c r="R1585">
        <v>0.99336935048413499</v>
      </c>
      <c r="S1585" t="s">
        <v>5417</v>
      </c>
      <c r="T1585" t="s">
        <v>7662</v>
      </c>
      <c r="U1585" t="s">
        <v>7662</v>
      </c>
      <c r="V1585" t="s">
        <v>7662</v>
      </c>
      <c r="W1585">
        <v>15</v>
      </c>
      <c r="X1585" t="s">
        <v>9247</v>
      </c>
      <c r="Y1585">
        <v>0.42721572108502259</v>
      </c>
      <c r="Z1585" t="str">
        <f>HYPERLINK("Melting_Curves/meltCurve_sp_Q14651_PLSI_HUMAN_.pdf", "Melting_Curves/meltCurve_sp_Q14651_PLSI_HUMAN_.pdf")</f>
        <v>Melting_Curves/meltCurve_sp_Q14651_PLSI_HUMAN_.pdf</v>
      </c>
      <c r="AA1585" t="s">
        <v>13053</v>
      </c>
      <c r="AB1585" t="s">
        <v>16825</v>
      </c>
    </row>
    <row r="1586" spans="1:28" x14ac:dyDescent="0.25">
      <c r="A1586" t="s">
        <v>1590</v>
      </c>
      <c r="B1586">
        <v>0.98876768158843997</v>
      </c>
      <c r="C1586">
        <v>1.0110639163048001</v>
      </c>
      <c r="D1586">
        <v>0.83311014043440501</v>
      </c>
      <c r="E1586">
        <v>0.71598890278442895</v>
      </c>
      <c r="F1586">
        <v>0.59026873116689704</v>
      </c>
      <c r="G1586">
        <v>0.22742815310992601</v>
      </c>
      <c r="H1586">
        <v>6.6440154023859194E-2</v>
      </c>
      <c r="I1586">
        <v>5.49473119742045E-2</v>
      </c>
      <c r="J1586">
        <v>4.48278155300477E-2</v>
      </c>
      <c r="K1586">
        <v>4.30562818274874E-2</v>
      </c>
      <c r="L1586">
        <v>840.48676732882598</v>
      </c>
      <c r="M1586">
        <v>15.807114254702901</v>
      </c>
      <c r="N1586">
        <v>53.171427809194498</v>
      </c>
      <c r="O1586">
        <v>52.342268199764398</v>
      </c>
      <c r="P1586">
        <v>-7.5505030674461807E-2</v>
      </c>
      <c r="Q1586">
        <v>0</v>
      </c>
      <c r="R1586">
        <v>0.98741994711150305</v>
      </c>
      <c r="S1586" t="s">
        <v>5418</v>
      </c>
      <c r="T1586" t="s">
        <v>7662</v>
      </c>
      <c r="U1586" t="s">
        <v>7662</v>
      </c>
      <c r="V1586" t="s">
        <v>7662</v>
      </c>
      <c r="W1586">
        <v>3</v>
      </c>
      <c r="X1586" t="s">
        <v>9248</v>
      </c>
      <c r="Y1586">
        <v>0.45889760844088878</v>
      </c>
      <c r="Z1586" t="str">
        <f>HYPERLINK("Melting_Curves/meltCurve_sp_Q14653_IRF3_HUMAN_.pdf", "Melting_Curves/meltCurve_sp_Q14653_IRF3_HUMAN_.pdf")</f>
        <v>Melting_Curves/meltCurve_sp_Q14653_IRF3_HUMAN_.pdf</v>
      </c>
      <c r="AA1586" t="s">
        <v>13054</v>
      </c>
      <c r="AB1586" t="s">
        <v>16826</v>
      </c>
    </row>
    <row r="1587" spans="1:28" x14ac:dyDescent="0.25">
      <c r="A1587" t="s">
        <v>1591</v>
      </c>
      <c r="B1587">
        <v>0.98876768158843997</v>
      </c>
      <c r="C1587">
        <v>1.10249399241909</v>
      </c>
      <c r="D1587">
        <v>0.892376286986723</v>
      </c>
      <c r="E1587">
        <v>0.81862832777670702</v>
      </c>
      <c r="F1587">
        <v>1.03319003413893</v>
      </c>
      <c r="G1587">
        <v>0.49296063400280499</v>
      </c>
      <c r="H1587">
        <v>0.235334761560649</v>
      </c>
      <c r="I1587">
        <v>0.127011449576586</v>
      </c>
      <c r="J1587">
        <v>8.9809415193809694E-2</v>
      </c>
      <c r="K1587">
        <v>0.10664228041591101</v>
      </c>
      <c r="L1587">
        <v>2269.68838579776</v>
      </c>
      <c r="M1587">
        <v>39.997915590315401</v>
      </c>
      <c r="N1587">
        <v>57.138278527561098</v>
      </c>
      <c r="O1587">
        <v>56.603872801602598</v>
      </c>
      <c r="P1587">
        <v>-0.15540874454713699</v>
      </c>
      <c r="Q1587">
        <v>0.120282228370736</v>
      </c>
      <c r="R1587">
        <v>0.95824501089093095</v>
      </c>
      <c r="S1587" t="s">
        <v>5419</v>
      </c>
      <c r="T1587" t="s">
        <v>7662</v>
      </c>
      <c r="U1587" t="s">
        <v>7662</v>
      </c>
      <c r="V1587" t="s">
        <v>7662</v>
      </c>
      <c r="W1587">
        <v>3</v>
      </c>
      <c r="X1587" t="s">
        <v>9249</v>
      </c>
      <c r="Y1587">
        <v>0.6147334716837235</v>
      </c>
      <c r="Z1587" t="str">
        <f>HYPERLINK("Melting_Curves/meltCurve_sp_Q14657_LAGE3_HUMAN_.pdf", "Melting_Curves/meltCurve_sp_Q14657_LAGE3_HUMAN_.pdf")</f>
        <v>Melting_Curves/meltCurve_sp_Q14657_LAGE3_HUMAN_.pdf</v>
      </c>
      <c r="AA1587" t="s">
        <v>13055</v>
      </c>
      <c r="AB1587" t="s">
        <v>16827</v>
      </c>
    </row>
    <row r="1588" spans="1:28" x14ac:dyDescent="0.25">
      <c r="A1588" t="s">
        <v>1592</v>
      </c>
      <c r="B1588">
        <v>0.98876768158843997</v>
      </c>
      <c r="C1588">
        <v>0.918369129713132</v>
      </c>
      <c r="D1588">
        <v>0.81104151232669297</v>
      </c>
      <c r="E1588">
        <v>0.59034477390067197</v>
      </c>
      <c r="F1588">
        <v>0.52277794075057704</v>
      </c>
      <c r="G1588">
        <v>0.29893156283641598</v>
      </c>
      <c r="H1588">
        <v>0.17284739884757</v>
      </c>
      <c r="I1588">
        <v>0.171717032622172</v>
      </c>
      <c r="J1588">
        <v>0.20497598877487899</v>
      </c>
      <c r="K1588">
        <v>0.20883309596088701</v>
      </c>
      <c r="L1588">
        <v>659.13062088414995</v>
      </c>
      <c r="M1588">
        <v>12.989089383258699</v>
      </c>
      <c r="N1588">
        <v>52.127326157554997</v>
      </c>
      <c r="O1588">
        <v>49.587336161249297</v>
      </c>
      <c r="P1588">
        <v>-5.5954605554966501E-2</v>
      </c>
      <c r="Q1588">
        <v>0.14569894656585</v>
      </c>
      <c r="R1588">
        <v>0.98746195541903603</v>
      </c>
      <c r="S1588" t="s">
        <v>5420</v>
      </c>
      <c r="T1588" t="s">
        <v>7662</v>
      </c>
      <c r="U1588" t="s">
        <v>7662</v>
      </c>
      <c r="V1588" t="s">
        <v>7662</v>
      </c>
      <c r="W1588">
        <v>4</v>
      </c>
      <c r="X1588" t="s">
        <v>9250</v>
      </c>
      <c r="Y1588">
        <v>0.47679208622781832</v>
      </c>
      <c r="Z1588" t="str">
        <f>HYPERLINK("Melting_Curves/meltCurve_sp_Q14669_TRIPC_HUMAN_.pdf", "Melting_Curves/meltCurve_sp_Q14669_TRIPC_HUMAN_.pdf")</f>
        <v>Melting_Curves/meltCurve_sp_Q14669_TRIPC_HUMAN_.pdf</v>
      </c>
      <c r="AA1588" t="s">
        <v>13056</v>
      </c>
      <c r="AB1588" t="s">
        <v>16828</v>
      </c>
    </row>
    <row r="1589" spans="1:28" x14ac:dyDescent="0.25">
      <c r="A1589" t="s">
        <v>1593</v>
      </c>
      <c r="B1589">
        <v>0.98876768158843997</v>
      </c>
      <c r="C1589">
        <v>1.1138565739211499</v>
      </c>
      <c r="D1589">
        <v>0.94259545075475903</v>
      </c>
      <c r="E1589">
        <v>0.94953449611548102</v>
      </c>
      <c r="F1589">
        <v>1.04110689306222</v>
      </c>
      <c r="G1589">
        <v>0.74077370706548296</v>
      </c>
      <c r="H1589">
        <v>0.66922420131123195</v>
      </c>
      <c r="I1589">
        <v>0.452531045919016</v>
      </c>
      <c r="J1589">
        <v>0.89208944826241299</v>
      </c>
      <c r="K1589">
        <v>0.86848815877221297</v>
      </c>
      <c r="L1589">
        <v>14104.508319782301</v>
      </c>
      <c r="M1589">
        <v>250</v>
      </c>
      <c r="O1589">
        <v>56.414420905753701</v>
      </c>
      <c r="P1589">
        <v>-0.30955824976222102</v>
      </c>
      <c r="Q1589">
        <v>0.72058320009759103</v>
      </c>
      <c r="R1589">
        <v>0.57694549559777997</v>
      </c>
      <c r="S1589" t="s">
        <v>5421</v>
      </c>
      <c r="T1589" t="s">
        <v>7662</v>
      </c>
      <c r="U1589" t="s">
        <v>7662</v>
      </c>
      <c r="V1589" t="s">
        <v>7662</v>
      </c>
      <c r="W1589">
        <v>3</v>
      </c>
      <c r="X1589" t="s">
        <v>9251</v>
      </c>
      <c r="Y1589">
        <v>0.87352667658054828</v>
      </c>
      <c r="Z1589" t="str">
        <f>HYPERLINK("Melting_Curves/meltCurve_sp_Q14676_4_MDC1_HUMAN_.pdf", "Melting_Curves/meltCurve_sp_Q14676_4_MDC1_HUMAN_.pdf")</f>
        <v>Melting_Curves/meltCurve_sp_Q14676_4_MDC1_HUMAN_.pdf</v>
      </c>
      <c r="AA1589" t="s">
        <v>13057</v>
      </c>
      <c r="AB1589" t="s">
        <v>16829</v>
      </c>
    </row>
    <row r="1590" spans="1:28" x14ac:dyDescent="0.25">
      <c r="A1590" t="s">
        <v>1594</v>
      </c>
      <c r="B1590">
        <v>0.98876768158843997</v>
      </c>
      <c r="C1590">
        <v>1.08956455131783</v>
      </c>
      <c r="D1590">
        <v>0.88928193617560802</v>
      </c>
      <c r="E1590">
        <v>0.66494182901505905</v>
      </c>
      <c r="F1590">
        <v>0.68743456338275299</v>
      </c>
      <c r="G1590">
        <v>0.51302707293886696</v>
      </c>
      <c r="H1590">
        <v>0.36599348119333203</v>
      </c>
      <c r="I1590">
        <v>0.334451196424568</v>
      </c>
      <c r="J1590">
        <v>0.33573358417876598</v>
      </c>
      <c r="K1590">
        <v>0.32734595135204098</v>
      </c>
      <c r="L1590">
        <v>682.40351595034997</v>
      </c>
      <c r="M1590">
        <v>12.975936526940099</v>
      </c>
      <c r="N1590">
        <v>56.369438500733303</v>
      </c>
      <c r="O1590">
        <v>51.387886739036901</v>
      </c>
      <c r="P1590">
        <v>-4.4795021958223602E-2</v>
      </c>
      <c r="Q1590">
        <v>0.29052921467839399</v>
      </c>
      <c r="R1590">
        <v>0.95934767568054002</v>
      </c>
      <c r="S1590" t="s">
        <v>5422</v>
      </c>
      <c r="T1590" t="s">
        <v>7662</v>
      </c>
      <c r="U1590" t="s">
        <v>7662</v>
      </c>
      <c r="V1590" t="s">
        <v>7662</v>
      </c>
      <c r="W1590">
        <v>7</v>
      </c>
      <c r="X1590" t="s">
        <v>9252</v>
      </c>
      <c r="Y1590">
        <v>0.60718715406516033</v>
      </c>
      <c r="Z1590" t="str">
        <f>HYPERLINK("Melting_Curves/meltCurve_sp_Q14677_EPN4_HUMAN_.pdf", "Melting_Curves/meltCurve_sp_Q14677_EPN4_HUMAN_.pdf")</f>
        <v>Melting_Curves/meltCurve_sp_Q14677_EPN4_HUMAN_.pdf</v>
      </c>
      <c r="AA1590" t="s">
        <v>13058</v>
      </c>
      <c r="AB1590" t="s">
        <v>16830</v>
      </c>
    </row>
    <row r="1591" spans="1:28" x14ac:dyDescent="0.25">
      <c r="A1591" t="s">
        <v>1595</v>
      </c>
      <c r="B1591">
        <v>0.98876768158843997</v>
      </c>
      <c r="C1591">
        <v>0.94097678760465098</v>
      </c>
      <c r="D1591">
        <v>1.0284951542885299</v>
      </c>
      <c r="E1591">
        <v>0.70831191253810299</v>
      </c>
      <c r="F1591">
        <v>0.33731628689469101</v>
      </c>
      <c r="G1591">
        <v>0.18072753632198901</v>
      </c>
      <c r="H1591">
        <v>0.127666598901788</v>
      </c>
      <c r="I1591">
        <v>0.125594615708052</v>
      </c>
      <c r="J1591">
        <v>0.14314191369754101</v>
      </c>
      <c r="K1591">
        <v>0.149053604895869</v>
      </c>
      <c r="L1591">
        <v>1725.9295989879799</v>
      </c>
      <c r="M1591">
        <v>33.800193301401002</v>
      </c>
      <c r="N1591">
        <v>51.561559811436503</v>
      </c>
      <c r="O1591">
        <v>50.884968789937197</v>
      </c>
      <c r="P1591">
        <v>-0.14290285468105399</v>
      </c>
      <c r="Q1591">
        <v>0.13946318835022001</v>
      </c>
      <c r="R1591">
        <v>0.99518596616266697</v>
      </c>
      <c r="S1591" t="s">
        <v>5423</v>
      </c>
      <c r="T1591" t="s">
        <v>7662</v>
      </c>
      <c r="U1591" t="s">
        <v>7662</v>
      </c>
      <c r="V1591" t="s">
        <v>7662</v>
      </c>
      <c r="W1591">
        <v>12</v>
      </c>
      <c r="X1591" t="s">
        <v>9253</v>
      </c>
      <c r="Y1591">
        <v>0.46105532074515498</v>
      </c>
      <c r="Z1591" t="str">
        <f>HYPERLINK("Melting_Curves/meltCurve_sp_Q14678_2_KANK1_HUMAN_.pdf", "Melting_Curves/meltCurve_sp_Q14678_2_KANK1_HUMAN_.pdf")</f>
        <v>Melting_Curves/meltCurve_sp_Q14678_2_KANK1_HUMAN_.pdf</v>
      </c>
      <c r="AA1591" t="s">
        <v>13059</v>
      </c>
      <c r="AB1591" t="s">
        <v>16831</v>
      </c>
    </row>
    <row r="1592" spans="1:28" x14ac:dyDescent="0.25">
      <c r="A1592" t="s">
        <v>1596</v>
      </c>
      <c r="B1592">
        <v>0.98876768158843997</v>
      </c>
      <c r="C1592">
        <v>0.91025510675774501</v>
      </c>
      <c r="D1592">
        <v>0.95913516948067501</v>
      </c>
      <c r="E1592">
        <v>0.68520653516206798</v>
      </c>
      <c r="F1592">
        <v>0.272569171382677</v>
      </c>
      <c r="G1592">
        <v>0.13275968389548001</v>
      </c>
      <c r="H1592">
        <v>9.3390408494991695E-2</v>
      </c>
      <c r="I1592">
        <v>6.9925291787440197E-2</v>
      </c>
      <c r="J1592">
        <v>8.6234413403493304E-2</v>
      </c>
      <c r="K1592">
        <v>6.84198605763644E-2</v>
      </c>
      <c r="L1592">
        <v>1615.3867603884801</v>
      </c>
      <c r="M1592">
        <v>31.710569627719799</v>
      </c>
      <c r="N1592">
        <v>51.226128280694603</v>
      </c>
      <c r="O1592">
        <v>50.740284150640797</v>
      </c>
      <c r="P1592">
        <v>-0.14362447850884</v>
      </c>
      <c r="Q1592">
        <v>8.0747089042617001E-2</v>
      </c>
      <c r="R1592">
        <v>0.99389350685845101</v>
      </c>
      <c r="S1592" t="s">
        <v>5424</v>
      </c>
      <c r="T1592" t="s">
        <v>7662</v>
      </c>
      <c r="U1592" t="s">
        <v>7662</v>
      </c>
      <c r="V1592" t="s">
        <v>7662</v>
      </c>
      <c r="W1592">
        <v>7</v>
      </c>
      <c r="X1592" t="s">
        <v>9254</v>
      </c>
      <c r="Y1592">
        <v>0.42118275171776171</v>
      </c>
      <c r="Z1592" t="str">
        <f>HYPERLINK("Melting_Curves/meltCurve_sp_Q14683_SMC1A_HUMAN_.pdf", "Melting_Curves/meltCurve_sp_Q14683_SMC1A_HUMAN_.pdf")</f>
        <v>Melting_Curves/meltCurve_sp_Q14683_SMC1A_HUMAN_.pdf</v>
      </c>
      <c r="AA1592" t="s">
        <v>13060</v>
      </c>
      <c r="AB1592" t="s">
        <v>16832</v>
      </c>
    </row>
    <row r="1593" spans="1:28" x14ac:dyDescent="0.25">
      <c r="A1593" t="s">
        <v>1597</v>
      </c>
      <c r="B1593">
        <v>0.98876768158843997</v>
      </c>
      <c r="C1593">
        <v>0.83827299581524894</v>
      </c>
      <c r="D1593">
        <v>0.81246627104233604</v>
      </c>
      <c r="E1593">
        <v>0.64130220895308598</v>
      </c>
      <c r="F1593">
        <v>0.65121139854516397</v>
      </c>
      <c r="G1593">
        <v>0.42298217684188899</v>
      </c>
      <c r="H1593">
        <v>0.36777591417336097</v>
      </c>
      <c r="I1593">
        <v>0.38201673870851199</v>
      </c>
      <c r="J1593">
        <v>0.50465884203929501</v>
      </c>
      <c r="K1593">
        <v>0.377358418452369</v>
      </c>
      <c r="L1593">
        <v>542.96439519118201</v>
      </c>
      <c r="M1593">
        <v>11.0386624143236</v>
      </c>
      <c r="N1593">
        <v>55.918208877617602</v>
      </c>
      <c r="O1593">
        <v>47.655976889616902</v>
      </c>
      <c r="P1593">
        <v>-3.6633961670412697E-2</v>
      </c>
      <c r="Q1593">
        <v>0.36758776024766199</v>
      </c>
      <c r="R1593">
        <v>0.92763108099721003</v>
      </c>
      <c r="S1593" t="s">
        <v>5425</v>
      </c>
      <c r="T1593" t="s">
        <v>7662</v>
      </c>
      <c r="U1593" t="s">
        <v>7662</v>
      </c>
      <c r="V1593" t="s">
        <v>7662</v>
      </c>
      <c r="W1593">
        <v>2</v>
      </c>
      <c r="X1593" t="s">
        <v>9255</v>
      </c>
      <c r="Y1593">
        <v>0.58754087613608763</v>
      </c>
      <c r="Z1593" t="str">
        <f>HYPERLINK("Melting_Curves/meltCurve_sp_Q14689_6_DIP2A_HUMAN_.pdf", "Melting_Curves/meltCurve_sp_Q14689_6_DIP2A_HUMAN_.pdf")</f>
        <v>Melting_Curves/meltCurve_sp_Q14689_6_DIP2A_HUMAN_.pdf</v>
      </c>
      <c r="AA1593" t="s">
        <v>13061</v>
      </c>
      <c r="AB1593" t="s">
        <v>16833</v>
      </c>
    </row>
    <row r="1594" spans="1:28" x14ac:dyDescent="0.25">
      <c r="A1594" t="s">
        <v>1598</v>
      </c>
      <c r="B1594">
        <v>0.98876768158843997</v>
      </c>
      <c r="C1594">
        <v>0.98797574564460899</v>
      </c>
      <c r="D1594">
        <v>0.77286893364423104</v>
      </c>
      <c r="E1594">
        <v>0.57419492121515603</v>
      </c>
      <c r="F1594">
        <v>0.45434676049140899</v>
      </c>
      <c r="G1594">
        <v>0.30044300380267902</v>
      </c>
      <c r="H1594">
        <v>0.27070395757023902</v>
      </c>
      <c r="I1594">
        <v>0.28456215025373999</v>
      </c>
      <c r="J1594">
        <v>0.37217273410944102</v>
      </c>
      <c r="K1594">
        <v>0.38442864892289103</v>
      </c>
      <c r="L1594">
        <v>937.979177992465</v>
      </c>
      <c r="M1594">
        <v>19.4017451556787</v>
      </c>
      <c r="N1594">
        <v>51.005186594953798</v>
      </c>
      <c r="O1594">
        <v>47.840286108600203</v>
      </c>
      <c r="P1594">
        <v>-6.9125911634907E-2</v>
      </c>
      <c r="Q1594">
        <v>0.31823000511681798</v>
      </c>
      <c r="R1594">
        <v>0.97267754956076302</v>
      </c>
      <c r="S1594" t="s">
        <v>5426</v>
      </c>
      <c r="T1594" t="s">
        <v>7662</v>
      </c>
      <c r="U1594" t="s">
        <v>7662</v>
      </c>
      <c r="V1594" t="s">
        <v>7662</v>
      </c>
      <c r="W1594">
        <v>6</v>
      </c>
      <c r="X1594" t="s">
        <v>9256</v>
      </c>
      <c r="Y1594">
        <v>0.51813555132971068</v>
      </c>
      <c r="Z1594" t="str">
        <f>HYPERLINK("Melting_Curves/meltCurve_sp_Q14694_UBP10_HUMAN_.pdf", "Melting_Curves/meltCurve_sp_Q14694_UBP10_HUMAN_.pdf")</f>
        <v>Melting_Curves/meltCurve_sp_Q14694_UBP10_HUMAN_.pdf</v>
      </c>
      <c r="AA1594" t="s">
        <v>13062</v>
      </c>
      <c r="AB1594" t="s">
        <v>16834</v>
      </c>
    </row>
    <row r="1595" spans="1:28" x14ac:dyDescent="0.25">
      <c r="A1595" t="s">
        <v>1599</v>
      </c>
      <c r="B1595">
        <v>0.98876768158843997</v>
      </c>
      <c r="C1595">
        <v>1.05109956430037</v>
      </c>
      <c r="D1595">
        <v>0.88133298854061104</v>
      </c>
      <c r="E1595">
        <v>0.78334492763137797</v>
      </c>
      <c r="F1595">
        <v>0.91984674996598303</v>
      </c>
      <c r="G1595">
        <v>0.68766112942546898</v>
      </c>
      <c r="H1595">
        <v>0.51645335111096102</v>
      </c>
      <c r="I1595">
        <v>0.53761876993394098</v>
      </c>
      <c r="J1595">
        <v>0.57297467679235303</v>
      </c>
      <c r="K1595">
        <v>0.58804605925363895</v>
      </c>
      <c r="L1595">
        <v>676.23408236616001</v>
      </c>
      <c r="M1595">
        <v>12.5041731935217</v>
      </c>
      <c r="O1595">
        <v>52.753368762221598</v>
      </c>
      <c r="P1595">
        <v>-2.8978962377535399E-2</v>
      </c>
      <c r="Q1595">
        <v>0.51106761895312502</v>
      </c>
      <c r="R1595">
        <v>0.86684277935106602</v>
      </c>
      <c r="S1595" t="s">
        <v>5427</v>
      </c>
      <c r="T1595" t="s">
        <v>7662</v>
      </c>
      <c r="U1595" t="s">
        <v>7662</v>
      </c>
      <c r="V1595" t="s">
        <v>7662</v>
      </c>
      <c r="W1595">
        <v>8</v>
      </c>
      <c r="X1595" t="s">
        <v>9257</v>
      </c>
      <c r="Y1595">
        <v>0.75274299955984059</v>
      </c>
      <c r="Z1595" t="str">
        <f>HYPERLINK("Melting_Curves/meltCurve_sp_Q14696_MESD_HUMAN_.pdf", "Melting_Curves/meltCurve_sp_Q14696_MESD_HUMAN_.pdf")</f>
        <v>Melting_Curves/meltCurve_sp_Q14696_MESD_HUMAN_.pdf</v>
      </c>
      <c r="AA1595" t="s">
        <v>13063</v>
      </c>
      <c r="AB1595" t="s">
        <v>16835</v>
      </c>
    </row>
    <row r="1596" spans="1:28" x14ac:dyDescent="0.25">
      <c r="A1596" t="s">
        <v>1600</v>
      </c>
      <c r="B1596">
        <v>0.98876768158843997</v>
      </c>
      <c r="C1596">
        <v>0.89200755099255702</v>
      </c>
      <c r="D1596">
        <v>0.98317560286897299</v>
      </c>
      <c r="E1596">
        <v>0.54061453333134801</v>
      </c>
      <c r="F1596">
        <v>0.120739741072135</v>
      </c>
      <c r="G1596">
        <v>7.2898164009078503E-2</v>
      </c>
      <c r="H1596">
        <v>5.01257446232704E-2</v>
      </c>
      <c r="I1596">
        <v>3.70934102772605E-2</v>
      </c>
      <c r="J1596">
        <v>0.107162660494711</v>
      </c>
      <c r="K1596">
        <v>3.6625019895536903E-2</v>
      </c>
      <c r="L1596">
        <v>2335.0028936693102</v>
      </c>
      <c r="M1596">
        <v>46.658516827716703</v>
      </c>
      <c r="N1596">
        <v>50.180780918348901</v>
      </c>
      <c r="O1596">
        <v>49.9528518819399</v>
      </c>
      <c r="P1596">
        <v>-0.21961884639617099</v>
      </c>
      <c r="Q1596">
        <v>5.9500826783961798E-2</v>
      </c>
      <c r="R1596">
        <v>0.990505943432477</v>
      </c>
      <c r="S1596" t="s">
        <v>5428</v>
      </c>
      <c r="T1596" t="s">
        <v>7662</v>
      </c>
      <c r="U1596" t="s">
        <v>7662</v>
      </c>
      <c r="V1596" t="s">
        <v>7662</v>
      </c>
      <c r="W1596">
        <v>27</v>
      </c>
      <c r="X1596" t="s">
        <v>9258</v>
      </c>
      <c r="Y1596">
        <v>0.37678233345109352</v>
      </c>
      <c r="Z1596" t="str">
        <f>HYPERLINK("Melting_Curves/meltCurve_sp_Q14697_GANAB_HUMAN_.pdf", "Melting_Curves/meltCurve_sp_Q14697_GANAB_HUMAN_.pdf")</f>
        <v>Melting_Curves/meltCurve_sp_Q14697_GANAB_HUMAN_.pdf</v>
      </c>
      <c r="AA1596" t="s">
        <v>13064</v>
      </c>
      <c r="AB1596" t="s">
        <v>16836</v>
      </c>
    </row>
    <row r="1597" spans="1:28" x14ac:dyDescent="0.25">
      <c r="A1597" t="s">
        <v>1601</v>
      </c>
      <c r="B1597">
        <v>0.98876768158843997</v>
      </c>
      <c r="C1597">
        <v>0.97458310926244596</v>
      </c>
      <c r="D1597">
        <v>0.96330541383398705</v>
      </c>
      <c r="E1597">
        <v>0.84372534244922803</v>
      </c>
      <c r="F1597">
        <v>0.55185440088797599</v>
      </c>
      <c r="G1597">
        <v>0.220220290540033</v>
      </c>
      <c r="H1597">
        <v>8.45805832402442E-2</v>
      </c>
      <c r="I1597">
        <v>8.6726538052558699E-2</v>
      </c>
      <c r="J1597">
        <v>9.80446415155527E-2</v>
      </c>
      <c r="K1597">
        <v>7.3534220463387506E-2</v>
      </c>
      <c r="L1597">
        <v>1336.41472355261</v>
      </c>
      <c r="M1597">
        <v>25.1528786180032</v>
      </c>
      <c r="N1597">
        <v>53.4686708210928</v>
      </c>
      <c r="O1597">
        <v>52.799237172464899</v>
      </c>
      <c r="P1597">
        <v>-0.11036836457966499</v>
      </c>
      <c r="Q1597">
        <v>7.3300324218409998E-2</v>
      </c>
      <c r="R1597">
        <v>0.99874429981750301</v>
      </c>
      <c r="S1597" t="s">
        <v>5429</v>
      </c>
      <c r="T1597" t="s">
        <v>7662</v>
      </c>
      <c r="U1597" t="s">
        <v>7662</v>
      </c>
      <c r="V1597" t="s">
        <v>7662</v>
      </c>
      <c r="W1597">
        <v>7</v>
      </c>
      <c r="X1597" t="s">
        <v>9259</v>
      </c>
      <c r="Y1597">
        <v>0.48738083937061422</v>
      </c>
      <c r="Z1597" t="str">
        <f>HYPERLINK("Melting_Curves/meltCurve_sp_Q14749_GNMT_HUMAN_.pdf", "Melting_Curves/meltCurve_sp_Q14749_GNMT_HUMAN_.pdf")</f>
        <v>Melting_Curves/meltCurve_sp_Q14749_GNMT_HUMAN_.pdf</v>
      </c>
      <c r="AA1597" t="s">
        <v>13065</v>
      </c>
      <c r="AB1597" t="s">
        <v>16837</v>
      </c>
    </row>
    <row r="1598" spans="1:28" x14ac:dyDescent="0.25">
      <c r="A1598" t="s">
        <v>1602</v>
      </c>
      <c r="B1598">
        <v>0.98876768158843997</v>
      </c>
      <c r="C1598">
        <v>0.89549683479477804</v>
      </c>
      <c r="D1598">
        <v>1.0380475421275901</v>
      </c>
      <c r="E1598">
        <v>0.80948278574236399</v>
      </c>
      <c r="F1598">
        <v>0.54262860607657204</v>
      </c>
      <c r="G1598">
        <v>0.40428823657477703</v>
      </c>
      <c r="H1598">
        <v>0.34169563230847599</v>
      </c>
      <c r="I1598">
        <v>0.35113868772992701</v>
      </c>
      <c r="J1598">
        <v>0.42851653056355399</v>
      </c>
      <c r="K1598">
        <v>0.44823347340326097</v>
      </c>
      <c r="L1598">
        <v>1827.4811520342</v>
      </c>
      <c r="M1598">
        <v>35.683254391335801</v>
      </c>
      <c r="N1598">
        <v>53.515002637711</v>
      </c>
      <c r="O1598">
        <v>51.053922093438601</v>
      </c>
      <c r="P1598">
        <v>-0.106203591428504</v>
      </c>
      <c r="Q1598">
        <v>0.392197574441013</v>
      </c>
      <c r="R1598">
        <v>0.967534748501372</v>
      </c>
      <c r="S1598" t="s">
        <v>5430</v>
      </c>
      <c r="T1598" t="s">
        <v>7662</v>
      </c>
      <c r="U1598" t="s">
        <v>7662</v>
      </c>
      <c r="V1598" t="s">
        <v>7662</v>
      </c>
      <c r="W1598">
        <v>44</v>
      </c>
      <c r="X1598" t="s">
        <v>9260</v>
      </c>
      <c r="Y1598">
        <v>0.62210093680277467</v>
      </c>
      <c r="Z1598" t="str">
        <f>HYPERLINK("Melting_Curves/meltCurve_sp_Q14789_GOGB1_HUMAN_.pdf", "Melting_Curves/meltCurve_sp_Q14789_GOGB1_HUMAN_.pdf")</f>
        <v>Melting_Curves/meltCurve_sp_Q14789_GOGB1_HUMAN_.pdf</v>
      </c>
      <c r="AA1598" t="s">
        <v>13066</v>
      </c>
      <c r="AB1598" t="s">
        <v>16838</v>
      </c>
    </row>
    <row r="1599" spans="1:28" x14ac:dyDescent="0.25">
      <c r="A1599" t="s">
        <v>1603</v>
      </c>
      <c r="B1599">
        <v>0.98876768158843997</v>
      </c>
      <c r="C1599">
        <v>1.1446482837246601</v>
      </c>
      <c r="D1599">
        <v>0.91860431098696504</v>
      </c>
      <c r="E1599">
        <v>0.76446544439502595</v>
      </c>
      <c r="F1599">
        <v>0.37046142391645598</v>
      </c>
      <c r="G1599">
        <v>0.215252990588194</v>
      </c>
      <c r="H1599">
        <v>0.124410043462732</v>
      </c>
      <c r="I1599">
        <v>0.13430356379254099</v>
      </c>
      <c r="J1599">
        <v>0.12526358061120399</v>
      </c>
      <c r="K1599">
        <v>9.4358548430633502E-2</v>
      </c>
      <c r="L1599">
        <v>1461.0887053024301</v>
      </c>
      <c r="M1599">
        <v>28.3478968679775</v>
      </c>
      <c r="N1599">
        <v>52.052688664482801</v>
      </c>
      <c r="O1599">
        <v>51.286901036624101</v>
      </c>
      <c r="P1599">
        <v>-0.12139016718762501</v>
      </c>
      <c r="Q1599">
        <v>0.121532759473733</v>
      </c>
      <c r="R1599">
        <v>0.98193297132469803</v>
      </c>
      <c r="S1599" t="s">
        <v>5431</v>
      </c>
      <c r="T1599" t="s">
        <v>7662</v>
      </c>
      <c r="U1599" t="s">
        <v>7662</v>
      </c>
      <c r="V1599" t="s">
        <v>7662</v>
      </c>
      <c r="W1599">
        <v>2</v>
      </c>
      <c r="X1599" t="s">
        <v>9261</v>
      </c>
      <c r="Y1599">
        <v>0.46572514689691741</v>
      </c>
      <c r="Z1599" t="str">
        <f>HYPERLINK("Melting_Curves/meltCurve_sp_Q14790_8_CASP8_HUMAN_.pdf", "Melting_Curves/meltCurve_sp_Q14790_8_CASP8_HUMAN_.pdf")</f>
        <v>Melting_Curves/meltCurve_sp_Q14790_8_CASP8_HUMAN_.pdf</v>
      </c>
      <c r="AA1599" t="s">
        <v>13067</v>
      </c>
      <c r="AB1599" t="s">
        <v>16839</v>
      </c>
    </row>
    <row r="1600" spans="1:28" x14ac:dyDescent="0.25">
      <c r="A1600" t="s">
        <v>1604</v>
      </c>
      <c r="B1600">
        <v>0.98876768158843997</v>
      </c>
      <c r="C1600">
        <v>1.07034743918199</v>
      </c>
      <c r="D1600">
        <v>0.87632134698613995</v>
      </c>
      <c r="E1600">
        <v>0.73727889804447599</v>
      </c>
      <c r="F1600">
        <v>1.00465226441339</v>
      </c>
      <c r="G1600">
        <v>0.826988797791121</v>
      </c>
      <c r="H1600">
        <v>0.58680038010982805</v>
      </c>
      <c r="I1600">
        <v>0.67348917939668995</v>
      </c>
      <c r="J1600">
        <v>0.90935777639555404</v>
      </c>
      <c r="K1600">
        <v>1.09011826903356</v>
      </c>
      <c r="L1600">
        <v>11452.0938753548</v>
      </c>
      <c r="M1600">
        <v>250</v>
      </c>
      <c r="O1600">
        <v>45.805443856230703</v>
      </c>
      <c r="P1600">
        <v>-0.228317068079288</v>
      </c>
      <c r="Q1600">
        <v>0.83266936512477996</v>
      </c>
      <c r="R1600">
        <v>0.22495641270543401</v>
      </c>
      <c r="S1600" t="s">
        <v>5432</v>
      </c>
      <c r="T1600" t="s">
        <v>7662</v>
      </c>
      <c r="U1600" t="s">
        <v>7662</v>
      </c>
      <c r="V1600" t="s">
        <v>7662</v>
      </c>
      <c r="W1600">
        <v>2</v>
      </c>
      <c r="X1600" t="s">
        <v>9262</v>
      </c>
      <c r="Y1600">
        <v>0.86508012267571699</v>
      </c>
      <c r="Z1600" t="str">
        <f>HYPERLINK("Melting_Curves/meltCurve_sp_Q147X3_NAA30_HUMAN_.pdf", "Melting_Curves/meltCurve_sp_Q147X3_NAA30_HUMAN_.pdf")</f>
        <v>Melting_Curves/meltCurve_sp_Q147X3_NAA30_HUMAN_.pdf</v>
      </c>
      <c r="AA1600" t="s">
        <v>13068</v>
      </c>
      <c r="AB1600" t="s">
        <v>16840</v>
      </c>
    </row>
    <row r="1601" spans="1:28" x14ac:dyDescent="0.25">
      <c r="A1601" t="s">
        <v>1605</v>
      </c>
      <c r="B1601">
        <v>0.98876768158843997</v>
      </c>
      <c r="C1601">
        <v>1.15647230396471</v>
      </c>
      <c r="D1601">
        <v>0.889638230359583</v>
      </c>
      <c r="E1601">
        <v>0.802411098130693</v>
      </c>
      <c r="F1601">
        <v>1.0596440339261699</v>
      </c>
      <c r="G1601">
        <v>0.78181026682215204</v>
      </c>
      <c r="H1601">
        <v>0.63934842166587402</v>
      </c>
      <c r="I1601">
        <v>0.77599756142328002</v>
      </c>
      <c r="J1601">
        <v>0.97508524458496804</v>
      </c>
      <c r="K1601">
        <v>1.18433478519712</v>
      </c>
      <c r="L1601">
        <v>11295.366957120001</v>
      </c>
      <c r="M1601">
        <v>250</v>
      </c>
      <c r="O1601">
        <v>45.178576749920097</v>
      </c>
      <c r="P1601">
        <v>-0.15442542403040399</v>
      </c>
      <c r="Q1601">
        <v>0.88837246676602</v>
      </c>
      <c r="R1601">
        <v>0.15264537207626</v>
      </c>
      <c r="S1601" t="s">
        <v>5433</v>
      </c>
      <c r="T1601" t="s">
        <v>7662</v>
      </c>
      <c r="U1601" t="s">
        <v>7662</v>
      </c>
      <c r="V1601" t="s">
        <v>7662</v>
      </c>
      <c r="W1601">
        <v>19</v>
      </c>
      <c r="X1601" t="s">
        <v>9263</v>
      </c>
      <c r="Y1601">
        <v>0.90766113376349544</v>
      </c>
      <c r="Z1601" t="str">
        <f>HYPERLINK("Melting_Curves/meltCurve_sp_Q14847_LASP1_HUMAN_.pdf", "Melting_Curves/meltCurve_sp_Q14847_LASP1_HUMAN_.pdf")</f>
        <v>Melting_Curves/meltCurve_sp_Q14847_LASP1_HUMAN_.pdf</v>
      </c>
      <c r="AA1601" t="s">
        <v>13069</v>
      </c>
      <c r="AB1601" t="s">
        <v>16841</v>
      </c>
    </row>
    <row r="1602" spans="1:28" x14ac:dyDescent="0.25">
      <c r="A1602" t="s">
        <v>1606</v>
      </c>
      <c r="B1602">
        <v>0.98876768158843997</v>
      </c>
      <c r="C1602">
        <v>1.05887831988786</v>
      </c>
      <c r="D1602">
        <v>0.93213835360646102</v>
      </c>
      <c r="E1602">
        <v>0.9081952344316</v>
      </c>
      <c r="F1602">
        <v>0.85429300004340702</v>
      </c>
      <c r="G1602">
        <v>0.68047486739881502</v>
      </c>
      <c r="H1602">
        <v>0.41192471795008301</v>
      </c>
      <c r="I1602">
        <v>0.18818326751741801</v>
      </c>
      <c r="J1602">
        <v>0.13933523712020299</v>
      </c>
      <c r="K1602">
        <v>9.3070958831227693E-2</v>
      </c>
      <c r="L1602">
        <v>934.43359797901599</v>
      </c>
      <c r="M1602">
        <v>15.767240578304801</v>
      </c>
      <c r="N1602">
        <v>59.264244695396002</v>
      </c>
      <c r="O1602">
        <v>58.335495051008799</v>
      </c>
      <c r="P1602">
        <v>-6.7576986598521696E-2</v>
      </c>
      <c r="Q1602">
        <v>0</v>
      </c>
      <c r="R1602">
        <v>0.99017267204096704</v>
      </c>
      <c r="S1602" t="s">
        <v>5434</v>
      </c>
      <c r="T1602" t="s">
        <v>7662</v>
      </c>
      <c r="U1602" t="s">
        <v>7662</v>
      </c>
      <c r="V1602" t="s">
        <v>7662</v>
      </c>
      <c r="W1602">
        <v>10</v>
      </c>
      <c r="X1602" t="s">
        <v>9264</v>
      </c>
      <c r="Y1602">
        <v>0.65201813360008887</v>
      </c>
      <c r="Z1602" t="str">
        <f>HYPERLINK("Melting_Curves/meltCurve_sp_Q14894_CRYM_HUMAN_.pdf", "Melting_Curves/meltCurve_sp_Q14894_CRYM_HUMAN_.pdf")</f>
        <v>Melting_Curves/meltCurve_sp_Q14894_CRYM_HUMAN_.pdf</v>
      </c>
      <c r="AA1602" t="s">
        <v>13070</v>
      </c>
      <c r="AB1602" t="s">
        <v>16842</v>
      </c>
    </row>
    <row r="1603" spans="1:28" x14ac:dyDescent="0.25">
      <c r="A1603" t="s">
        <v>1607</v>
      </c>
      <c r="B1603">
        <v>0.98876768158843997</v>
      </c>
      <c r="C1603">
        <v>0.98900365866625894</v>
      </c>
      <c r="D1603">
        <v>0.88462821418443505</v>
      </c>
      <c r="E1603">
        <v>0.85427554677500495</v>
      </c>
      <c r="F1603">
        <v>0.51701092765785395</v>
      </c>
      <c r="G1603">
        <v>0.191032410839722</v>
      </c>
      <c r="H1603">
        <v>0.12091067703955199</v>
      </c>
      <c r="I1603">
        <v>0.104406026196326</v>
      </c>
      <c r="J1603">
        <v>0.109307706461761</v>
      </c>
      <c r="K1603">
        <v>8.9798988038678196E-2</v>
      </c>
      <c r="L1603">
        <v>1409.47391015318</v>
      </c>
      <c r="M1603">
        <v>26.719235892317101</v>
      </c>
      <c r="N1603">
        <v>53.168870352646998</v>
      </c>
      <c r="O1603">
        <v>52.458451681210597</v>
      </c>
      <c r="P1603">
        <v>-0.115284348805058</v>
      </c>
      <c r="Q1603">
        <v>9.4648360638385401E-2</v>
      </c>
      <c r="R1603">
        <v>0.992733171622877</v>
      </c>
      <c r="S1603" t="s">
        <v>5435</v>
      </c>
      <c r="T1603" t="s">
        <v>7662</v>
      </c>
      <c r="U1603" t="s">
        <v>7662</v>
      </c>
      <c r="V1603" t="s">
        <v>7662</v>
      </c>
      <c r="W1603">
        <v>17</v>
      </c>
      <c r="X1603" t="s">
        <v>9265</v>
      </c>
      <c r="Y1603">
        <v>0.48679063906901893</v>
      </c>
      <c r="Z1603" t="str">
        <f>HYPERLINK("Melting_Curves/meltCurve_sp_Q14914_2_PTGR1_HUMAN_.pdf", "Melting_Curves/meltCurve_sp_Q14914_2_PTGR1_HUMAN_.pdf")</f>
        <v>Melting_Curves/meltCurve_sp_Q14914_2_PTGR1_HUMAN_.pdf</v>
      </c>
      <c r="AA1603" t="s">
        <v>13071</v>
      </c>
      <c r="AB1603" t="s">
        <v>16843</v>
      </c>
    </row>
    <row r="1604" spans="1:28" x14ac:dyDescent="0.25">
      <c r="A1604" t="s">
        <v>1608</v>
      </c>
      <c r="B1604">
        <v>0.98876768158843997</v>
      </c>
      <c r="C1604">
        <v>1.0439909999010299</v>
      </c>
      <c r="D1604">
        <v>1.0359867279520301</v>
      </c>
      <c r="E1604">
        <v>0.74528732543249898</v>
      </c>
      <c r="F1604">
        <v>0.53258066323549003</v>
      </c>
      <c r="G1604">
        <v>0.38971149475243999</v>
      </c>
      <c r="H1604">
        <v>0.27900902477337403</v>
      </c>
      <c r="I1604">
        <v>0.28264500380076502</v>
      </c>
      <c r="J1604">
        <v>0.33107115093248601</v>
      </c>
      <c r="K1604">
        <v>0.37785948627809601</v>
      </c>
      <c r="L1604">
        <v>1426.5501268195101</v>
      </c>
      <c r="M1604">
        <v>27.8290746550684</v>
      </c>
      <c r="N1604">
        <v>53.243299510632397</v>
      </c>
      <c r="O1604">
        <v>50.998639359008102</v>
      </c>
      <c r="P1604">
        <v>-9.2416325139149394E-2</v>
      </c>
      <c r="Q1604">
        <v>0.32256958382691597</v>
      </c>
      <c r="R1604">
        <v>0.98308433964768205</v>
      </c>
      <c r="S1604" t="s">
        <v>5436</v>
      </c>
      <c r="T1604" t="s">
        <v>7662</v>
      </c>
      <c r="U1604" t="s">
        <v>7662</v>
      </c>
      <c r="V1604" t="s">
        <v>7662</v>
      </c>
      <c r="W1604">
        <v>17</v>
      </c>
      <c r="X1604" t="s">
        <v>9266</v>
      </c>
      <c r="Y1604">
        <v>0.5818254283534029</v>
      </c>
      <c r="Z1604" t="str">
        <f>HYPERLINK("Melting_Curves/meltCurve_sp_Q14966_ZN638_HUMAN_.pdf", "Melting_Curves/meltCurve_sp_Q14966_ZN638_HUMAN_.pdf")</f>
        <v>Melting_Curves/meltCurve_sp_Q14966_ZN638_HUMAN_.pdf</v>
      </c>
      <c r="AA1604" t="s">
        <v>13072</v>
      </c>
      <c r="AB1604" t="s">
        <v>16844</v>
      </c>
    </row>
    <row r="1605" spans="1:28" x14ac:dyDescent="0.25">
      <c r="A1605" t="s">
        <v>1609</v>
      </c>
      <c r="B1605">
        <v>0.98876768158843997</v>
      </c>
      <c r="C1605">
        <v>0.905343673099539</v>
      </c>
      <c r="D1605">
        <v>1.0386095007343299</v>
      </c>
      <c r="E1605">
        <v>0.78607399140116296</v>
      </c>
      <c r="F1605">
        <v>0.31122850543652297</v>
      </c>
      <c r="G1605">
        <v>0.18021069561112499</v>
      </c>
      <c r="H1605">
        <v>6.7360536220453404E-2</v>
      </c>
      <c r="I1605">
        <v>5.8763890794969999E-2</v>
      </c>
      <c r="J1605">
        <v>5.8806992789319099E-2</v>
      </c>
      <c r="K1605">
        <v>5.5894632018305003E-2</v>
      </c>
      <c r="L1605">
        <v>1866.02526164562</v>
      </c>
      <c r="M1605">
        <v>36.162186896194903</v>
      </c>
      <c r="N1605">
        <v>51.832672585771199</v>
      </c>
      <c r="O1605">
        <v>51.444521384401597</v>
      </c>
      <c r="P1605">
        <v>-0.16264990009837799</v>
      </c>
      <c r="Q1605">
        <v>7.4456377665760007E-2</v>
      </c>
      <c r="R1605">
        <v>0.988666466619879</v>
      </c>
      <c r="S1605" t="s">
        <v>5437</v>
      </c>
      <c r="T1605" t="s">
        <v>7662</v>
      </c>
      <c r="U1605" t="s">
        <v>7662</v>
      </c>
      <c r="V1605" t="s">
        <v>7662</v>
      </c>
      <c r="W1605">
        <v>25</v>
      </c>
      <c r="X1605" t="s">
        <v>9267</v>
      </c>
      <c r="Y1605">
        <v>0.4364239580038819</v>
      </c>
      <c r="Z1605" t="str">
        <f>HYPERLINK("Melting_Curves/meltCurve_sp_Q14974_IMB1_HUMAN_.pdf", "Melting_Curves/meltCurve_sp_Q14974_IMB1_HUMAN_.pdf")</f>
        <v>Melting_Curves/meltCurve_sp_Q14974_IMB1_HUMAN_.pdf</v>
      </c>
      <c r="AA1605" t="s">
        <v>13073</v>
      </c>
      <c r="AB1605" t="s">
        <v>16845</v>
      </c>
    </row>
    <row r="1606" spans="1:28" x14ac:dyDescent="0.25">
      <c r="A1606" t="s">
        <v>1610</v>
      </c>
      <c r="B1606">
        <v>0.98876768158843997</v>
      </c>
      <c r="C1606">
        <v>1.1828763127197199</v>
      </c>
      <c r="D1606">
        <v>0.86662506104952297</v>
      </c>
      <c r="E1606">
        <v>0.72755172343774599</v>
      </c>
      <c r="F1606">
        <v>0.96235944754196601</v>
      </c>
      <c r="G1606">
        <v>0.67147358477024199</v>
      </c>
      <c r="H1606">
        <v>0.55747251287837296</v>
      </c>
      <c r="I1606">
        <v>0.67967929071182198</v>
      </c>
      <c r="J1606">
        <v>0.825170586737904</v>
      </c>
      <c r="K1606">
        <v>1.0709954846309599</v>
      </c>
      <c r="L1606">
        <v>11477.436668702599</v>
      </c>
      <c r="M1606">
        <v>250</v>
      </c>
      <c r="O1606">
        <v>45.906809182967102</v>
      </c>
      <c r="P1606">
        <v>-0.29277040876974397</v>
      </c>
      <c r="Q1606">
        <v>0.78495751761701604</v>
      </c>
      <c r="R1606">
        <v>0.35695210513891201</v>
      </c>
      <c r="S1606" t="s">
        <v>5438</v>
      </c>
      <c r="T1606" t="s">
        <v>7662</v>
      </c>
      <c r="U1606" t="s">
        <v>7662</v>
      </c>
      <c r="V1606" t="s">
        <v>7662</v>
      </c>
      <c r="W1606">
        <v>12</v>
      </c>
      <c r="X1606" t="s">
        <v>9268</v>
      </c>
      <c r="Y1606">
        <v>0.827336396954929</v>
      </c>
      <c r="Z1606" t="str">
        <f>HYPERLINK("Melting_Curves/meltCurve_sp_Q14978_NOLC1_HUMAN_.pdf", "Melting_Curves/meltCurve_sp_Q14978_NOLC1_HUMAN_.pdf")</f>
        <v>Melting_Curves/meltCurve_sp_Q14978_NOLC1_HUMAN_.pdf</v>
      </c>
      <c r="AA1606" t="s">
        <v>13074</v>
      </c>
      <c r="AB1606" t="s">
        <v>16846</v>
      </c>
    </row>
    <row r="1607" spans="1:28" x14ac:dyDescent="0.25">
      <c r="A1607" t="s">
        <v>1611</v>
      </c>
      <c r="B1607">
        <v>0.98876768158843997</v>
      </c>
      <c r="C1607">
        <v>0.95365311298296696</v>
      </c>
      <c r="D1607">
        <v>0.98518575453525103</v>
      </c>
      <c r="E1607">
        <v>0.76649222292903896</v>
      </c>
      <c r="F1607">
        <v>0.570579322824875</v>
      </c>
      <c r="G1607">
        <v>0.33129694385714997</v>
      </c>
      <c r="H1607">
        <v>0.20156992668603499</v>
      </c>
      <c r="I1607">
        <v>0.18380314862212199</v>
      </c>
      <c r="J1607">
        <v>0.202910854050593</v>
      </c>
      <c r="K1607">
        <v>0.21153963780284701</v>
      </c>
      <c r="L1607">
        <v>1067.61129599898</v>
      </c>
      <c r="M1607">
        <v>20.309803907724699</v>
      </c>
      <c r="N1607">
        <v>53.767007416394797</v>
      </c>
      <c r="O1607">
        <v>52.064642507604397</v>
      </c>
      <c r="P1607">
        <v>-7.97446642605463E-2</v>
      </c>
      <c r="Q1607">
        <v>0.18231603704472099</v>
      </c>
      <c r="R1607">
        <v>0.99573694383420097</v>
      </c>
      <c r="S1607" t="s">
        <v>5439</v>
      </c>
      <c r="T1607" t="s">
        <v>7662</v>
      </c>
      <c r="U1607" t="s">
        <v>7662</v>
      </c>
      <c r="V1607" t="s">
        <v>7662</v>
      </c>
      <c r="W1607">
        <v>41</v>
      </c>
      <c r="X1607" t="s">
        <v>9269</v>
      </c>
      <c r="Y1607">
        <v>0.53580767483900738</v>
      </c>
      <c r="Z1607" t="str">
        <f>HYPERLINK("Melting_Curves/meltCurve_sp_Q14980_2_NUMA1_HUMAN_.pdf", "Melting_Curves/meltCurve_sp_Q14980_2_NUMA1_HUMAN_.pdf")</f>
        <v>Melting_Curves/meltCurve_sp_Q14980_2_NUMA1_HUMAN_.pdf</v>
      </c>
      <c r="AA1607" t="s">
        <v>13075</v>
      </c>
      <c r="AB1607" t="s">
        <v>16847</v>
      </c>
    </row>
    <row r="1608" spans="1:28" x14ac:dyDescent="0.25">
      <c r="A1608" t="s">
        <v>1612</v>
      </c>
      <c r="B1608">
        <v>0.98876768158843997</v>
      </c>
      <c r="C1608">
        <v>0.99417952516499297</v>
      </c>
      <c r="D1608">
        <v>1.0862013259026599</v>
      </c>
      <c r="E1608">
        <v>0.58521782372074105</v>
      </c>
      <c r="F1608">
        <v>0.228923674969086</v>
      </c>
      <c r="G1608">
        <v>0.15777689261297401</v>
      </c>
      <c r="H1608">
        <v>4.3647129834835499E-2</v>
      </c>
      <c r="I1608">
        <v>8.1556791830589601E-2</v>
      </c>
      <c r="J1608">
        <v>0.11989805299489401</v>
      </c>
      <c r="K1608">
        <v>4.14812346766366E-2</v>
      </c>
      <c r="L1608">
        <v>1962.77537293307</v>
      </c>
      <c r="M1608">
        <v>38.970783840631498</v>
      </c>
      <c r="N1608">
        <v>50.621148418787897</v>
      </c>
      <c r="O1608">
        <v>50.2332318045584</v>
      </c>
      <c r="P1608">
        <v>-0.17661409327959099</v>
      </c>
      <c r="Q1608">
        <v>8.9381801000785202E-2</v>
      </c>
      <c r="R1608">
        <v>0.98720821209958398</v>
      </c>
      <c r="S1608" t="s">
        <v>5440</v>
      </c>
      <c r="T1608" t="s">
        <v>7662</v>
      </c>
      <c r="U1608" t="s">
        <v>7662</v>
      </c>
      <c r="V1608" t="s">
        <v>7662</v>
      </c>
      <c r="W1608">
        <v>7</v>
      </c>
      <c r="X1608" t="s">
        <v>9270</v>
      </c>
      <c r="Y1608">
        <v>0.40735156993411498</v>
      </c>
      <c r="Z1608" t="str">
        <f>HYPERLINK("Melting_Curves/meltCurve_sp_Q14997_PSME4_HUMAN_.pdf", "Melting_Curves/meltCurve_sp_Q14997_PSME4_HUMAN_.pdf")</f>
        <v>Melting_Curves/meltCurve_sp_Q14997_PSME4_HUMAN_.pdf</v>
      </c>
      <c r="AA1608" t="s">
        <v>13076</v>
      </c>
      <c r="AB1608" t="s">
        <v>16848</v>
      </c>
    </row>
    <row r="1609" spans="1:28" x14ac:dyDescent="0.25">
      <c r="A1609" t="s">
        <v>1613</v>
      </c>
      <c r="B1609">
        <v>0.98876768158843997</v>
      </c>
      <c r="C1609">
        <v>0.93326870383224403</v>
      </c>
      <c r="D1609">
        <v>0.91350861770834801</v>
      </c>
      <c r="E1609">
        <v>0.80694717259402904</v>
      </c>
      <c r="F1609">
        <v>0.40662180884118698</v>
      </c>
      <c r="G1609">
        <v>0.21993974125412699</v>
      </c>
      <c r="H1609">
        <v>0.15738743820053799</v>
      </c>
      <c r="I1609">
        <v>8.4753705206282295E-2</v>
      </c>
      <c r="J1609">
        <v>0.113835825653353</v>
      </c>
      <c r="K1609">
        <v>9.8529027379321801E-2</v>
      </c>
      <c r="L1609">
        <v>1307.8493005621699</v>
      </c>
      <c r="M1609">
        <v>25.158430305661302</v>
      </c>
      <c r="N1609">
        <v>52.486850313386903</v>
      </c>
      <c r="O1609">
        <v>51.659429733241097</v>
      </c>
      <c r="P1609">
        <v>-0.108726595444708</v>
      </c>
      <c r="Q1609">
        <v>0.106990348049465</v>
      </c>
      <c r="R1609">
        <v>0.99025926298003897</v>
      </c>
      <c r="S1609" t="s">
        <v>5441</v>
      </c>
      <c r="T1609" t="s">
        <v>7662</v>
      </c>
      <c r="U1609" t="s">
        <v>7662</v>
      </c>
      <c r="V1609" t="s">
        <v>7662</v>
      </c>
      <c r="W1609">
        <v>2</v>
      </c>
      <c r="X1609" t="s">
        <v>9271</v>
      </c>
      <c r="Y1609">
        <v>0.47178631441515462</v>
      </c>
      <c r="Z1609" t="str">
        <f>HYPERLINK("Melting_Curves/meltCurve_sp_Q14CX7_2_NAA25_HUMAN_.pdf", "Melting_Curves/meltCurve_sp_Q14CX7_2_NAA25_HUMAN_.pdf")</f>
        <v>Melting_Curves/meltCurve_sp_Q14CX7_2_NAA25_HUMAN_.pdf</v>
      </c>
      <c r="AA1609" t="s">
        <v>13077</v>
      </c>
      <c r="AB1609" t="s">
        <v>16849</v>
      </c>
    </row>
    <row r="1610" spans="1:28" x14ac:dyDescent="0.25">
      <c r="A1610" t="s">
        <v>1614</v>
      </c>
      <c r="B1610">
        <v>0.98876768158843997</v>
      </c>
      <c r="C1610">
        <v>0.95245719540529405</v>
      </c>
      <c r="D1610">
        <v>1.0272219564352201</v>
      </c>
      <c r="E1610">
        <v>0.87163218763906303</v>
      </c>
      <c r="F1610">
        <v>0.48938231125533899</v>
      </c>
      <c r="G1610">
        <v>0.34826973141461898</v>
      </c>
      <c r="H1610">
        <v>0.24006807238908201</v>
      </c>
      <c r="I1610">
        <v>0.27758267815840199</v>
      </c>
      <c r="J1610">
        <v>0</v>
      </c>
      <c r="K1610">
        <v>0.39380815061834501</v>
      </c>
      <c r="L1610">
        <v>1735.0110918359901</v>
      </c>
      <c r="M1610">
        <v>33.274822280586001</v>
      </c>
      <c r="N1610">
        <v>53.175898566387502</v>
      </c>
      <c r="O1610">
        <v>51.954622051049299</v>
      </c>
      <c r="P1610">
        <v>-0.12197444154232601</v>
      </c>
      <c r="Q1610">
        <v>0.23820988246758401</v>
      </c>
      <c r="R1610">
        <v>0.92493873382745995</v>
      </c>
      <c r="S1610" t="s">
        <v>5442</v>
      </c>
      <c r="T1610" t="s">
        <v>7662</v>
      </c>
      <c r="U1610" t="s">
        <v>7662</v>
      </c>
      <c r="V1610" t="s">
        <v>7662</v>
      </c>
      <c r="W1610">
        <v>1</v>
      </c>
      <c r="X1610" t="s">
        <v>9272</v>
      </c>
      <c r="Y1610">
        <v>0.55049763678389141</v>
      </c>
      <c r="Z1610" t="str">
        <f>HYPERLINK("Melting_Curves/meltCurve_sp_Q15007_FL2D_HUMAN_.pdf", "Melting_Curves/meltCurve_sp_Q15007_FL2D_HUMAN_.pdf")</f>
        <v>Melting_Curves/meltCurve_sp_Q15007_FL2D_HUMAN_.pdf</v>
      </c>
      <c r="AA1610" t="s">
        <v>13078</v>
      </c>
      <c r="AB1610" t="s">
        <v>16850</v>
      </c>
    </row>
    <row r="1611" spans="1:28" x14ac:dyDescent="0.25">
      <c r="A1611" t="s">
        <v>1615</v>
      </c>
      <c r="B1611">
        <v>0.98876768158843997</v>
      </c>
      <c r="C1611">
        <v>0.86969686732778295</v>
      </c>
      <c r="D1611">
        <v>0.872747078580008</v>
      </c>
      <c r="E1611">
        <v>0.52638415147935502</v>
      </c>
      <c r="F1611">
        <v>0.233555164659877</v>
      </c>
      <c r="G1611">
        <v>0.109641821685328</v>
      </c>
      <c r="H1611">
        <v>5.2872247082006302E-2</v>
      </c>
      <c r="I1611">
        <v>4.0683025693439602E-2</v>
      </c>
      <c r="J1611">
        <v>5.31029716568336E-2</v>
      </c>
      <c r="K1611">
        <v>4.0650211663371398E-2</v>
      </c>
      <c r="L1611">
        <v>991.80572731529799</v>
      </c>
      <c r="M1611">
        <v>19.882674348095499</v>
      </c>
      <c r="N1611">
        <v>50.055260852762302</v>
      </c>
      <c r="O1611">
        <v>49.3865478133064</v>
      </c>
      <c r="P1611">
        <v>-9.7321657493286806E-2</v>
      </c>
      <c r="Q1611">
        <v>3.3084034852717097E-2</v>
      </c>
      <c r="R1611">
        <v>0.992248573242552</v>
      </c>
      <c r="S1611" t="s">
        <v>5443</v>
      </c>
      <c r="T1611" t="s">
        <v>7662</v>
      </c>
      <c r="U1611" t="s">
        <v>7662</v>
      </c>
      <c r="V1611" t="s">
        <v>7662</v>
      </c>
      <c r="W1611">
        <v>15</v>
      </c>
      <c r="X1611" t="s">
        <v>9273</v>
      </c>
      <c r="Y1611">
        <v>0.36523882095126109</v>
      </c>
      <c r="Z1611" t="str">
        <f>HYPERLINK("Melting_Curves/meltCurve_sp_Q15008_PSMD6_HUMAN_.pdf", "Melting_Curves/meltCurve_sp_Q15008_PSMD6_HUMAN_.pdf")</f>
        <v>Melting_Curves/meltCurve_sp_Q15008_PSMD6_HUMAN_.pdf</v>
      </c>
      <c r="AA1611" t="s">
        <v>13079</v>
      </c>
      <c r="AB1611" t="s">
        <v>16851</v>
      </c>
    </row>
    <row r="1612" spans="1:28" x14ac:dyDescent="0.25">
      <c r="A1612" t="s">
        <v>1616</v>
      </c>
      <c r="B1612">
        <v>0.98876768158843997</v>
      </c>
      <c r="C1612">
        <v>0.90934827570510002</v>
      </c>
      <c r="D1612">
        <v>1.0521345506975901</v>
      </c>
      <c r="E1612">
        <v>0.92441884463988999</v>
      </c>
      <c r="F1612">
        <v>0.52138154857560204</v>
      </c>
      <c r="G1612">
        <v>0.41152921458455899</v>
      </c>
      <c r="H1612">
        <v>0.30571234093732702</v>
      </c>
      <c r="I1612">
        <v>0.17558547214856901</v>
      </c>
      <c r="J1612">
        <v>6.5176796706248596E-2</v>
      </c>
      <c r="K1612">
        <v>6.3284117548132499E-2</v>
      </c>
      <c r="L1612">
        <v>824.21563611264003</v>
      </c>
      <c r="M1612">
        <v>14.9839221317736</v>
      </c>
      <c r="N1612">
        <v>55.388617218789598</v>
      </c>
      <c r="O1612">
        <v>54.054813060810702</v>
      </c>
      <c r="P1612">
        <v>-6.5904878854725402E-2</v>
      </c>
      <c r="Q1612">
        <v>4.9083579224047699E-2</v>
      </c>
      <c r="R1612">
        <v>0.96220910980115104</v>
      </c>
      <c r="S1612" t="s">
        <v>5444</v>
      </c>
      <c r="T1612" t="s">
        <v>7662</v>
      </c>
      <c r="U1612" t="s">
        <v>7662</v>
      </c>
      <c r="V1612" t="s">
        <v>7662</v>
      </c>
      <c r="W1612">
        <v>10</v>
      </c>
      <c r="X1612" t="s">
        <v>9274</v>
      </c>
      <c r="Y1612">
        <v>0.54310143034150704</v>
      </c>
      <c r="Z1612" t="str">
        <f>HYPERLINK("Melting_Curves/meltCurve_sp_Q15018_F175B_HUMAN_.pdf", "Melting_Curves/meltCurve_sp_Q15018_F175B_HUMAN_.pdf")</f>
        <v>Melting_Curves/meltCurve_sp_Q15018_F175B_HUMAN_.pdf</v>
      </c>
      <c r="AA1612" t="s">
        <v>13080</v>
      </c>
      <c r="AB1612" t="s">
        <v>16852</v>
      </c>
    </row>
    <row r="1613" spans="1:28" x14ac:dyDescent="0.25">
      <c r="A1613" t="s">
        <v>1617</v>
      </c>
      <c r="B1613">
        <v>0.98876768158843997</v>
      </c>
      <c r="C1613">
        <v>1.04418695626347</v>
      </c>
      <c r="D1613">
        <v>1.08297036871819</v>
      </c>
      <c r="E1613">
        <v>0.84625599900036097</v>
      </c>
      <c r="F1613">
        <v>0.27375480702680399</v>
      </c>
      <c r="G1613">
        <v>0.14766087233948999</v>
      </c>
      <c r="H1613">
        <v>8.1370744961644204E-2</v>
      </c>
      <c r="I1613">
        <v>7.5626607819112193E-2</v>
      </c>
      <c r="J1613">
        <v>9.3901205534442297E-2</v>
      </c>
      <c r="K1613">
        <v>8.9343951682400002E-2</v>
      </c>
      <c r="L1613">
        <v>2628.6681499617998</v>
      </c>
      <c r="M1613">
        <v>50.983682894877397</v>
      </c>
      <c r="N1613">
        <v>51.774557681598097</v>
      </c>
      <c r="O1613">
        <v>51.479869809871303</v>
      </c>
      <c r="P1613">
        <v>-0.223913796705868</v>
      </c>
      <c r="Q1613">
        <v>9.5628767820648303E-2</v>
      </c>
      <c r="R1613">
        <v>0.99352568621269399</v>
      </c>
      <c r="S1613" t="s">
        <v>5445</v>
      </c>
      <c r="T1613" t="s">
        <v>7662</v>
      </c>
      <c r="U1613" t="s">
        <v>7662</v>
      </c>
      <c r="V1613" t="s">
        <v>7662</v>
      </c>
      <c r="W1613">
        <v>13</v>
      </c>
      <c r="X1613" t="s">
        <v>9275</v>
      </c>
      <c r="Y1613">
        <v>0.44606096038324528</v>
      </c>
      <c r="Z1613" t="str">
        <f>HYPERLINK("Melting_Curves/meltCurve_sp_Q15020_SART3_HUMAN_.pdf", "Melting_Curves/meltCurve_sp_Q15020_SART3_HUMAN_.pdf")</f>
        <v>Melting_Curves/meltCurve_sp_Q15020_SART3_HUMAN_.pdf</v>
      </c>
      <c r="AA1613" t="s">
        <v>13081</v>
      </c>
      <c r="AB1613" t="s">
        <v>16853</v>
      </c>
    </row>
    <row r="1614" spans="1:28" x14ac:dyDescent="0.25">
      <c r="A1614" t="s">
        <v>1618</v>
      </c>
      <c r="B1614">
        <v>0.98876768158843997</v>
      </c>
      <c r="C1614">
        <v>0.78922047678586704</v>
      </c>
      <c r="D1614">
        <v>0.95528645207060303</v>
      </c>
      <c r="E1614">
        <v>0.83795642730967701</v>
      </c>
      <c r="F1614">
        <v>0.50540432445470096</v>
      </c>
      <c r="G1614">
        <v>0.38045577403657399</v>
      </c>
      <c r="H1614">
        <v>0.25222893538310198</v>
      </c>
      <c r="I1614">
        <v>0.11823303568259901</v>
      </c>
      <c r="J1614">
        <v>0.15776935045636001</v>
      </c>
      <c r="K1614">
        <v>5.0612266566562002E-2</v>
      </c>
      <c r="L1614">
        <v>641.259794390254</v>
      </c>
      <c r="M1614">
        <v>11.767493770418399</v>
      </c>
      <c r="N1614">
        <v>54.568757219547898</v>
      </c>
      <c r="O1614">
        <v>52.991850398364498</v>
      </c>
      <c r="P1614">
        <v>-5.50870019618067E-2</v>
      </c>
      <c r="Q1614">
        <v>7.9779732348508499E-3</v>
      </c>
      <c r="R1614">
        <v>0.955367402008652</v>
      </c>
      <c r="S1614" t="s">
        <v>5446</v>
      </c>
      <c r="T1614" t="s">
        <v>7662</v>
      </c>
      <c r="U1614" t="s">
        <v>7662</v>
      </c>
      <c r="V1614" t="s">
        <v>7662</v>
      </c>
      <c r="W1614">
        <v>6</v>
      </c>
      <c r="X1614" t="s">
        <v>9276</v>
      </c>
      <c r="Y1614">
        <v>0.51229736250953262</v>
      </c>
      <c r="Z1614" t="str">
        <f>HYPERLINK("Melting_Curves/meltCurve_sp_Q15024_EXOS7_HUMAN_.pdf", "Melting_Curves/meltCurve_sp_Q15024_EXOS7_HUMAN_.pdf")</f>
        <v>Melting_Curves/meltCurve_sp_Q15024_EXOS7_HUMAN_.pdf</v>
      </c>
      <c r="AA1614" t="s">
        <v>13082</v>
      </c>
      <c r="AB1614" t="s">
        <v>16854</v>
      </c>
    </row>
    <row r="1615" spans="1:28" x14ac:dyDescent="0.25">
      <c r="A1615" t="s">
        <v>1619</v>
      </c>
      <c r="B1615">
        <v>0.98876768158843997</v>
      </c>
      <c r="C1615">
        <v>1.0109352020014299</v>
      </c>
      <c r="D1615">
        <v>1.01766032533674</v>
      </c>
      <c r="E1615">
        <v>0.81654040873997602</v>
      </c>
      <c r="F1615">
        <v>0.55505678090153998</v>
      </c>
      <c r="G1615">
        <v>0.28838382250560501</v>
      </c>
      <c r="H1615">
        <v>9.6678184895501298E-2</v>
      </c>
      <c r="I1615">
        <v>5.7531824331504597E-2</v>
      </c>
      <c r="J1615">
        <v>5.1155172061774001E-2</v>
      </c>
      <c r="K1615">
        <v>5.29538095782697E-2</v>
      </c>
      <c r="L1615">
        <v>1098.0098743202</v>
      </c>
      <c r="M1615">
        <v>20.4764285429188</v>
      </c>
      <c r="N1615">
        <v>53.8187930142632</v>
      </c>
      <c r="O1615">
        <v>53.1195355359933</v>
      </c>
      <c r="P1615">
        <v>-9.2915275980129497E-2</v>
      </c>
      <c r="Q1615">
        <v>3.5872922139426E-2</v>
      </c>
      <c r="R1615">
        <v>0.997219811416863</v>
      </c>
      <c r="S1615" t="s">
        <v>5447</v>
      </c>
      <c r="T1615" t="s">
        <v>7662</v>
      </c>
      <c r="U1615" t="s">
        <v>7662</v>
      </c>
      <c r="V1615" t="s">
        <v>7662</v>
      </c>
      <c r="W1615">
        <v>7</v>
      </c>
      <c r="X1615" t="s">
        <v>9277</v>
      </c>
      <c r="Y1615">
        <v>0.4863554615923224</v>
      </c>
      <c r="Z1615" t="str">
        <f>HYPERLINK("Melting_Curves/meltCurve_sp_Q15029_2_U5S1_HUMAN_.pdf", "Melting_Curves/meltCurve_sp_Q15029_2_U5S1_HUMAN_.pdf")</f>
        <v>Melting_Curves/meltCurve_sp_Q15029_2_U5S1_HUMAN_.pdf</v>
      </c>
      <c r="AA1615" t="s">
        <v>13083</v>
      </c>
      <c r="AB1615" t="s">
        <v>16855</v>
      </c>
    </row>
    <row r="1616" spans="1:28" x14ac:dyDescent="0.25">
      <c r="A1616" t="s">
        <v>1620</v>
      </c>
      <c r="B1616">
        <v>0.98876768158843997</v>
      </c>
      <c r="C1616">
        <v>0.926486165464949</v>
      </c>
      <c r="D1616">
        <v>0.98086584612072902</v>
      </c>
      <c r="E1616">
        <v>0.58752062405623495</v>
      </c>
      <c r="F1616">
        <v>0.28508065727951598</v>
      </c>
      <c r="G1616">
        <v>0.130846978944338</v>
      </c>
      <c r="H1616">
        <v>0.112504317241669</v>
      </c>
      <c r="I1616">
        <v>8.0781403978043106E-2</v>
      </c>
      <c r="J1616">
        <v>0.25905031862792199</v>
      </c>
      <c r="K1616">
        <v>6.0411502975166197E-2</v>
      </c>
      <c r="L1616">
        <v>1573.62772757477</v>
      </c>
      <c r="M1616">
        <v>31.3101037724275</v>
      </c>
      <c r="N1616">
        <v>50.727028711254803</v>
      </c>
      <c r="O1616">
        <v>50.055756419392701</v>
      </c>
      <c r="P1616">
        <v>-0.13677500234034801</v>
      </c>
      <c r="Q1616">
        <v>0.12535130114554199</v>
      </c>
      <c r="R1616">
        <v>0.97790567857867305</v>
      </c>
      <c r="S1616" t="s">
        <v>5448</v>
      </c>
      <c r="T1616" t="s">
        <v>7662</v>
      </c>
      <c r="U1616" t="s">
        <v>7662</v>
      </c>
      <c r="V1616" t="s">
        <v>7662</v>
      </c>
      <c r="W1616">
        <v>2</v>
      </c>
      <c r="X1616" t="s">
        <v>9278</v>
      </c>
      <c r="Y1616">
        <v>0.42944794347142001</v>
      </c>
      <c r="Z1616" t="str">
        <f>HYPERLINK("Melting_Curves/meltCurve_sp_Q15036_2_SNX17_HUMAN_.pdf", "Melting_Curves/meltCurve_sp_Q15036_2_SNX17_HUMAN_.pdf")</f>
        <v>Melting_Curves/meltCurve_sp_Q15036_2_SNX17_HUMAN_.pdf</v>
      </c>
      <c r="AA1616" t="s">
        <v>13084</v>
      </c>
      <c r="AB1616" t="s">
        <v>16856</v>
      </c>
    </row>
    <row r="1617" spans="1:28" x14ac:dyDescent="0.25">
      <c r="A1617" t="s">
        <v>1621</v>
      </c>
      <c r="B1617">
        <v>0.98876768158843997</v>
      </c>
      <c r="C1617">
        <v>0.93204465817731197</v>
      </c>
      <c r="D1617">
        <v>0.74446211412819396</v>
      </c>
      <c r="E1617">
        <v>0.39510416078817101</v>
      </c>
      <c r="F1617">
        <v>0.17140707418706499</v>
      </c>
      <c r="G1617">
        <v>0.101931579362877</v>
      </c>
      <c r="H1617">
        <v>6.36876910374026E-2</v>
      </c>
      <c r="I1617">
        <v>4.8599859447750901E-2</v>
      </c>
      <c r="J1617">
        <v>7.32831416167916E-2</v>
      </c>
      <c r="K1617">
        <v>5.1314580808281697E-2</v>
      </c>
      <c r="L1617">
        <v>970.47173812747496</v>
      </c>
      <c r="M1617">
        <v>20.057067953158001</v>
      </c>
      <c r="N1617">
        <v>48.650830475741202</v>
      </c>
      <c r="O1617">
        <v>47.9122416283588</v>
      </c>
      <c r="P1617">
        <v>-9.9236899830548703E-2</v>
      </c>
      <c r="Q1617">
        <v>5.1803720836643002E-2</v>
      </c>
      <c r="R1617">
        <v>0.99901879130670002</v>
      </c>
      <c r="S1617" t="s">
        <v>5449</v>
      </c>
      <c r="T1617" t="s">
        <v>7662</v>
      </c>
      <c r="U1617" t="s">
        <v>7662</v>
      </c>
      <c r="V1617" t="s">
        <v>7662</v>
      </c>
      <c r="W1617">
        <v>14</v>
      </c>
      <c r="X1617" t="s">
        <v>9279</v>
      </c>
      <c r="Y1617">
        <v>0.33014386734971929</v>
      </c>
      <c r="Z1617" t="str">
        <f>HYPERLINK("Melting_Curves/meltCurve_sp_Q15046_SYK_HUMAN_.pdf", "Melting_Curves/meltCurve_sp_Q15046_SYK_HUMAN_.pdf")</f>
        <v>Melting_Curves/meltCurve_sp_Q15046_SYK_HUMAN_.pdf</v>
      </c>
      <c r="AA1617" t="s">
        <v>13085</v>
      </c>
      <c r="AB1617" t="s">
        <v>16857</v>
      </c>
    </row>
    <row r="1618" spans="1:28" x14ac:dyDescent="0.25">
      <c r="A1618" t="s">
        <v>1622</v>
      </c>
      <c r="B1618">
        <v>0.98876768158843997</v>
      </c>
      <c r="C1618">
        <v>1.1017483538685999</v>
      </c>
      <c r="D1618">
        <v>0.86329932204229798</v>
      </c>
      <c r="E1618">
        <v>0.74024371796224397</v>
      </c>
      <c r="F1618">
        <v>0.93506021115311999</v>
      </c>
      <c r="G1618">
        <v>0.64740844629933303</v>
      </c>
      <c r="H1618">
        <v>0.529437393876941</v>
      </c>
      <c r="I1618">
        <v>0.60785422485817198</v>
      </c>
      <c r="J1618">
        <v>0.85350160418918897</v>
      </c>
      <c r="K1618">
        <v>0.83077515163257898</v>
      </c>
      <c r="L1618">
        <v>1021.67912382031</v>
      </c>
      <c r="M1618">
        <v>21.317727240047699</v>
      </c>
      <c r="O1618">
        <v>47.510532256506302</v>
      </c>
      <c r="P1618">
        <v>-3.1930745687555703E-2</v>
      </c>
      <c r="Q1618">
        <v>0.71535283387690296</v>
      </c>
      <c r="R1618">
        <v>0.50767576606972398</v>
      </c>
      <c r="S1618" t="s">
        <v>5450</v>
      </c>
      <c r="T1618" t="s">
        <v>7662</v>
      </c>
      <c r="U1618" t="s">
        <v>7662</v>
      </c>
      <c r="V1618" t="s">
        <v>7662</v>
      </c>
      <c r="W1618">
        <v>12</v>
      </c>
      <c r="X1618" t="s">
        <v>9280</v>
      </c>
      <c r="Y1618">
        <v>0.79409540035140558</v>
      </c>
      <c r="Z1618" t="str">
        <f>HYPERLINK("Melting_Curves/meltCurve_sp_Q15056_2_IF4H_HUMAN_.pdf", "Melting_Curves/meltCurve_sp_Q15056_2_IF4H_HUMAN_.pdf")</f>
        <v>Melting_Curves/meltCurve_sp_Q15056_2_IF4H_HUMAN_.pdf</v>
      </c>
      <c r="AA1618" t="s">
        <v>13086</v>
      </c>
      <c r="AB1618" t="s">
        <v>16858</v>
      </c>
    </row>
    <row r="1619" spans="1:28" x14ac:dyDescent="0.25">
      <c r="A1619" t="s">
        <v>1623</v>
      </c>
      <c r="B1619">
        <v>0.98876768158843997</v>
      </c>
      <c r="C1619">
        <v>0.93052102440451701</v>
      </c>
      <c r="D1619">
        <v>0.93791002183654004</v>
      </c>
      <c r="E1619">
        <v>0.66820123216073801</v>
      </c>
      <c r="F1619">
        <v>0.250620149017175</v>
      </c>
      <c r="G1619">
        <v>0.15085291081242599</v>
      </c>
      <c r="H1619">
        <v>0.10033056574970201</v>
      </c>
      <c r="I1619">
        <v>9.7255524049517303E-2</v>
      </c>
      <c r="J1619">
        <v>0.18979641357479601</v>
      </c>
      <c r="K1619">
        <v>9.8520953093198194E-2</v>
      </c>
      <c r="L1619">
        <v>1818.98561490059</v>
      </c>
      <c r="M1619">
        <v>35.943967929531901</v>
      </c>
      <c r="N1619">
        <v>51.002603042216698</v>
      </c>
      <c r="O1619">
        <v>50.450268297167298</v>
      </c>
      <c r="P1619">
        <v>-0.15640710979450201</v>
      </c>
      <c r="Q1619">
        <v>0.121882628763891</v>
      </c>
      <c r="R1619">
        <v>0.99039103366177506</v>
      </c>
      <c r="S1619" t="s">
        <v>5451</v>
      </c>
      <c r="T1619" t="s">
        <v>7662</v>
      </c>
      <c r="U1619" t="s">
        <v>7662</v>
      </c>
      <c r="V1619" t="s">
        <v>7662</v>
      </c>
      <c r="W1619">
        <v>3</v>
      </c>
      <c r="X1619" t="s">
        <v>9281</v>
      </c>
      <c r="Y1619">
        <v>0.43614160506366523</v>
      </c>
      <c r="Z1619" t="str">
        <f>HYPERLINK("Melting_Curves/meltCurve_sp_Q15057_ACAP2_HUMAN_.pdf", "Melting_Curves/meltCurve_sp_Q15057_ACAP2_HUMAN_.pdf")</f>
        <v>Melting_Curves/meltCurve_sp_Q15057_ACAP2_HUMAN_.pdf</v>
      </c>
      <c r="AA1619" t="s">
        <v>13087</v>
      </c>
      <c r="AB1619" t="s">
        <v>16859</v>
      </c>
    </row>
    <row r="1620" spans="1:28" x14ac:dyDescent="0.25">
      <c r="A1620" t="s">
        <v>1624</v>
      </c>
      <c r="B1620">
        <v>0.98876768158843997</v>
      </c>
      <c r="C1620">
        <v>0.88694524872816005</v>
      </c>
      <c r="D1620">
        <v>0.85449419223199097</v>
      </c>
      <c r="E1620">
        <v>0.62061736314529103</v>
      </c>
      <c r="F1620">
        <v>0.60269298962488105</v>
      </c>
      <c r="G1620">
        <v>0.37036440889762801</v>
      </c>
      <c r="H1620">
        <v>0.26685868016838898</v>
      </c>
      <c r="I1620">
        <v>0.29939105989695503</v>
      </c>
      <c r="J1620">
        <v>0.27660063127149098</v>
      </c>
      <c r="K1620">
        <v>0.453716842268795</v>
      </c>
      <c r="L1620">
        <v>708.99794199900703</v>
      </c>
      <c r="M1620">
        <v>14.1961937706038</v>
      </c>
      <c r="N1620">
        <v>53.436353116401001</v>
      </c>
      <c r="O1620">
        <v>48.983145888009901</v>
      </c>
      <c r="P1620">
        <v>-5.0554191991241802E-2</v>
      </c>
      <c r="Q1620">
        <v>0.30235016732125197</v>
      </c>
      <c r="R1620">
        <v>0.93661215419686406</v>
      </c>
      <c r="S1620" t="s">
        <v>5452</v>
      </c>
      <c r="T1620" t="s">
        <v>7662</v>
      </c>
      <c r="U1620" t="s">
        <v>7662</v>
      </c>
      <c r="V1620" t="s">
        <v>7662</v>
      </c>
      <c r="W1620">
        <v>4</v>
      </c>
      <c r="X1620" t="s">
        <v>9282</v>
      </c>
      <c r="Y1620">
        <v>0.55192854716926187</v>
      </c>
      <c r="Z1620" t="str">
        <f>HYPERLINK("Melting_Curves/meltCurve_sp_Q15059_BRD3_HUMAN_.pdf", "Melting_Curves/meltCurve_sp_Q15059_BRD3_HUMAN_.pdf")</f>
        <v>Melting_Curves/meltCurve_sp_Q15059_BRD3_HUMAN_.pdf</v>
      </c>
      <c r="AA1620" t="s">
        <v>13088</v>
      </c>
      <c r="AB1620" t="s">
        <v>16860</v>
      </c>
    </row>
    <row r="1621" spans="1:28" x14ac:dyDescent="0.25">
      <c r="A1621" t="s">
        <v>1625</v>
      </c>
      <c r="B1621">
        <v>0.98876768158843997</v>
      </c>
      <c r="C1621">
        <v>0.90994643577448497</v>
      </c>
      <c r="D1621">
        <v>0.961140892806016</v>
      </c>
      <c r="E1621">
        <v>0.81224054349520103</v>
      </c>
      <c r="F1621">
        <v>0.39649655159485298</v>
      </c>
      <c r="G1621">
        <v>0.22407637277807599</v>
      </c>
      <c r="H1621">
        <v>0.16495195974717</v>
      </c>
      <c r="I1621">
        <v>0.17104549614947001</v>
      </c>
      <c r="J1621">
        <v>0.147409609616689</v>
      </c>
      <c r="K1621">
        <v>0.13782594872889201</v>
      </c>
      <c r="L1621">
        <v>1751.6236282826601</v>
      </c>
      <c r="M1621">
        <v>33.886248692108097</v>
      </c>
      <c r="N1621">
        <v>52.281569298180301</v>
      </c>
      <c r="O1621">
        <v>51.512279002464098</v>
      </c>
      <c r="P1621">
        <v>-0.138317182418183</v>
      </c>
      <c r="Q1621">
        <v>0.15895070836023101</v>
      </c>
      <c r="R1621">
        <v>0.99144229787404703</v>
      </c>
      <c r="S1621" t="s">
        <v>5453</v>
      </c>
      <c r="T1621" t="s">
        <v>7662</v>
      </c>
      <c r="U1621" t="s">
        <v>7662</v>
      </c>
      <c r="V1621" t="s">
        <v>7662</v>
      </c>
      <c r="W1621">
        <v>34</v>
      </c>
      <c r="X1621" t="s">
        <v>9283</v>
      </c>
      <c r="Y1621">
        <v>0.49090793974054597</v>
      </c>
      <c r="Z1621" t="str">
        <f>HYPERLINK("Melting_Curves/meltCurve_sp_Q15067_2_ACOX1_HUMAN_.pdf", "Melting_Curves/meltCurve_sp_Q15067_2_ACOX1_HUMAN_.pdf")</f>
        <v>Melting_Curves/meltCurve_sp_Q15067_2_ACOX1_HUMAN_.pdf</v>
      </c>
      <c r="AA1621" t="s">
        <v>13089</v>
      </c>
      <c r="AB1621" t="s">
        <v>16861</v>
      </c>
    </row>
    <row r="1622" spans="1:28" x14ac:dyDescent="0.25">
      <c r="A1622" t="s">
        <v>1626</v>
      </c>
      <c r="B1622">
        <v>0.98876768158843997</v>
      </c>
      <c r="C1622">
        <v>0.94588921319924801</v>
      </c>
      <c r="D1622">
        <v>0.96749200828166704</v>
      </c>
      <c r="E1622">
        <v>0.86784749023098495</v>
      </c>
      <c r="F1622">
        <v>0.71620511501367301</v>
      </c>
      <c r="G1622">
        <v>0.57750260235808304</v>
      </c>
      <c r="H1622">
        <v>0.52151726549364597</v>
      </c>
      <c r="I1622">
        <v>0.61977223210561005</v>
      </c>
      <c r="J1622">
        <v>0.67667380042685799</v>
      </c>
      <c r="K1622">
        <v>0.79106196176900501</v>
      </c>
      <c r="L1622">
        <v>1883.0018508472399</v>
      </c>
      <c r="M1622">
        <v>37.095200131475501</v>
      </c>
      <c r="O1622">
        <v>50.614489808643903</v>
      </c>
      <c r="P1622">
        <v>-6.6236393255258402E-2</v>
      </c>
      <c r="Q1622">
        <v>0.63849643085456298</v>
      </c>
      <c r="R1622">
        <v>0.81855410712041898</v>
      </c>
      <c r="S1622" t="s">
        <v>5454</v>
      </c>
      <c r="T1622" t="s">
        <v>7662</v>
      </c>
      <c r="U1622" t="s">
        <v>7662</v>
      </c>
      <c r="V1622" t="s">
        <v>7662</v>
      </c>
      <c r="W1622">
        <v>74</v>
      </c>
      <c r="X1622" t="s">
        <v>9284</v>
      </c>
      <c r="Y1622">
        <v>0.76964841032284803</v>
      </c>
      <c r="Z1622" t="str">
        <f>HYPERLINK("Melting_Curves/meltCurve_sp_Q15075_EEA1_HUMAN_.pdf", "Melting_Curves/meltCurve_sp_Q15075_EEA1_HUMAN_.pdf")</f>
        <v>Melting_Curves/meltCurve_sp_Q15075_EEA1_HUMAN_.pdf</v>
      </c>
      <c r="AA1622" t="s">
        <v>13090</v>
      </c>
      <c r="AB1622" t="s">
        <v>16862</v>
      </c>
    </row>
    <row r="1623" spans="1:28" x14ac:dyDescent="0.25">
      <c r="A1623" t="s">
        <v>1627</v>
      </c>
      <c r="B1623">
        <v>0.98876768158843997</v>
      </c>
      <c r="C1623">
        <v>0.82402034076744901</v>
      </c>
      <c r="D1623">
        <v>0.68331597963669</v>
      </c>
      <c r="E1623">
        <v>0.31208363645189502</v>
      </c>
      <c r="F1623">
        <v>0.148057574979157</v>
      </c>
      <c r="G1623">
        <v>3.09746916450645E-2</v>
      </c>
      <c r="H1623">
        <v>0</v>
      </c>
      <c r="I1623">
        <v>0</v>
      </c>
      <c r="J1623">
        <v>3.7071561328599303E-2</v>
      </c>
      <c r="K1623">
        <v>0</v>
      </c>
      <c r="L1623">
        <v>832.91858855833902</v>
      </c>
      <c r="M1623">
        <v>17.4604560159461</v>
      </c>
      <c r="N1623">
        <v>47.703140903624501</v>
      </c>
      <c r="O1623">
        <v>47.090604921946898</v>
      </c>
      <c r="P1623">
        <v>-9.2701226954583396E-2</v>
      </c>
      <c r="Q1623">
        <v>0</v>
      </c>
      <c r="R1623">
        <v>0.99544570831034196</v>
      </c>
      <c r="S1623" t="s">
        <v>5455</v>
      </c>
      <c r="T1623" t="s">
        <v>7662</v>
      </c>
      <c r="U1623" t="s">
        <v>7662</v>
      </c>
      <c r="V1623" t="s">
        <v>7662</v>
      </c>
      <c r="W1623">
        <v>4</v>
      </c>
      <c r="X1623" t="s">
        <v>9285</v>
      </c>
      <c r="Y1623">
        <v>0.27587436806101567</v>
      </c>
      <c r="Z1623" t="str">
        <f>HYPERLINK("Melting_Curves/meltCurve_sp_Q15102_PA1B3_HUMAN_.pdf", "Melting_Curves/meltCurve_sp_Q15102_PA1B3_HUMAN_.pdf")</f>
        <v>Melting_Curves/meltCurve_sp_Q15102_PA1B3_HUMAN_.pdf</v>
      </c>
      <c r="AA1623" t="s">
        <v>13091</v>
      </c>
      <c r="AB1623" t="s">
        <v>16863</v>
      </c>
    </row>
    <row r="1624" spans="1:28" x14ac:dyDescent="0.25">
      <c r="A1624" t="s">
        <v>1628</v>
      </c>
      <c r="B1624">
        <v>0.98876768158843997</v>
      </c>
      <c r="C1624">
        <v>1.0381810341392701</v>
      </c>
      <c r="D1624">
        <v>0.80383475123058201</v>
      </c>
      <c r="E1624">
        <v>0.72391688599608905</v>
      </c>
      <c r="F1624">
        <v>0.72598249897546596</v>
      </c>
      <c r="G1624">
        <v>0.460487682271497</v>
      </c>
      <c r="H1624">
        <v>0.26806193868573802</v>
      </c>
      <c r="I1624">
        <v>0.24354861740918701</v>
      </c>
      <c r="J1624">
        <v>0.26937308265176702</v>
      </c>
      <c r="K1624">
        <v>0.36323291289876503</v>
      </c>
      <c r="L1624">
        <v>688.20630315766596</v>
      </c>
      <c r="M1624">
        <v>12.972859542322199</v>
      </c>
      <c r="N1624">
        <v>55.706210610152503</v>
      </c>
      <c r="O1624">
        <v>51.836599880581097</v>
      </c>
      <c r="P1624">
        <v>-4.81429462337341E-2</v>
      </c>
      <c r="Q1624">
        <v>0.23066391842732001</v>
      </c>
      <c r="R1624">
        <v>0.94028989933956297</v>
      </c>
      <c r="S1624" t="s">
        <v>5456</v>
      </c>
      <c r="T1624" t="s">
        <v>7662</v>
      </c>
      <c r="U1624" t="s">
        <v>7662</v>
      </c>
      <c r="V1624" t="s">
        <v>7662</v>
      </c>
      <c r="W1624">
        <v>4</v>
      </c>
      <c r="X1624" t="s">
        <v>9286</v>
      </c>
      <c r="Y1624">
        <v>0.58525530132791725</v>
      </c>
      <c r="Z1624" t="str">
        <f>HYPERLINK("Melting_Curves/meltCurve_sp_Q15118_PDK1_HUMAN_.pdf", "Melting_Curves/meltCurve_sp_Q15118_PDK1_HUMAN_.pdf")</f>
        <v>Melting_Curves/meltCurve_sp_Q15118_PDK1_HUMAN_.pdf</v>
      </c>
      <c r="AA1624" t="s">
        <v>13092</v>
      </c>
      <c r="AB1624" t="s">
        <v>16864</v>
      </c>
    </row>
    <row r="1625" spans="1:28" x14ac:dyDescent="0.25">
      <c r="A1625" t="s">
        <v>1629</v>
      </c>
      <c r="B1625">
        <v>0.98876768158843997</v>
      </c>
      <c r="C1625">
        <v>0.960444763974455</v>
      </c>
      <c r="D1625">
        <v>0.75720812720427499</v>
      </c>
      <c r="E1625">
        <v>0.376404196537172</v>
      </c>
      <c r="F1625">
        <v>0.21253385309939099</v>
      </c>
      <c r="G1625">
        <v>0.131145231146474</v>
      </c>
      <c r="H1625">
        <v>7.41345260555199E-2</v>
      </c>
      <c r="I1625">
        <v>7.1727137070652397E-2</v>
      </c>
      <c r="J1625">
        <v>7.3770342656585206E-2</v>
      </c>
      <c r="K1625">
        <v>7.2241718308608593E-2</v>
      </c>
      <c r="L1625">
        <v>1004.19828874759</v>
      </c>
      <c r="M1625">
        <v>20.760389211796699</v>
      </c>
      <c r="N1625">
        <v>48.740096054595803</v>
      </c>
      <c r="O1625">
        <v>47.9287766418771</v>
      </c>
      <c r="P1625">
        <v>-0.100411414440605</v>
      </c>
      <c r="Q1625">
        <v>7.2760882605295202E-2</v>
      </c>
      <c r="R1625">
        <v>0.99904156529496402</v>
      </c>
      <c r="S1625" t="s">
        <v>5457</v>
      </c>
      <c r="T1625" t="s">
        <v>7662</v>
      </c>
      <c r="U1625" t="s">
        <v>7662</v>
      </c>
      <c r="V1625" t="s">
        <v>7662</v>
      </c>
      <c r="W1625">
        <v>3</v>
      </c>
      <c r="X1625" t="s">
        <v>9287</v>
      </c>
      <c r="Y1625">
        <v>0.34359454735400352</v>
      </c>
      <c r="Z1625" t="str">
        <f>HYPERLINK("Melting_Curves/meltCurve_sp_Q15119_PDK2_HUMAN_.pdf", "Melting_Curves/meltCurve_sp_Q15119_PDK2_HUMAN_.pdf")</f>
        <v>Melting_Curves/meltCurve_sp_Q15119_PDK2_HUMAN_.pdf</v>
      </c>
      <c r="AA1625" t="s">
        <v>13093</v>
      </c>
      <c r="AB1625" t="s">
        <v>16865</v>
      </c>
    </row>
    <row r="1626" spans="1:28" x14ac:dyDescent="0.25">
      <c r="A1626" t="s">
        <v>1630</v>
      </c>
      <c r="B1626">
        <v>0.98876768158843997</v>
      </c>
      <c r="C1626">
        <v>0.60626725160266803</v>
      </c>
      <c r="D1626">
        <v>0.73142438658557696</v>
      </c>
      <c r="E1626">
        <v>0.51653200388831699</v>
      </c>
      <c r="F1626">
        <v>0.19079773373822101</v>
      </c>
      <c r="G1626">
        <v>5.1577263898731698E-2</v>
      </c>
      <c r="H1626">
        <v>7.7350781405589999E-2</v>
      </c>
      <c r="I1626">
        <v>4.15681511788649E-2</v>
      </c>
      <c r="J1626">
        <v>0</v>
      </c>
      <c r="K1626">
        <v>0</v>
      </c>
      <c r="L1626">
        <v>582.94859249388298</v>
      </c>
      <c r="M1626">
        <v>12.087686221789999</v>
      </c>
      <c r="N1626">
        <v>48.226648450844898</v>
      </c>
      <c r="O1626">
        <v>46.963624783231403</v>
      </c>
      <c r="P1626">
        <v>-6.4361081880884893E-2</v>
      </c>
      <c r="Q1626">
        <v>0</v>
      </c>
      <c r="R1626">
        <v>0.92789586916285205</v>
      </c>
      <c r="S1626" t="s">
        <v>5458</v>
      </c>
      <c r="T1626" t="s">
        <v>7662</v>
      </c>
      <c r="U1626" t="s">
        <v>7662</v>
      </c>
      <c r="V1626" t="s">
        <v>7662</v>
      </c>
      <c r="W1626">
        <v>1</v>
      </c>
      <c r="X1626" t="s">
        <v>9288</v>
      </c>
      <c r="Y1626">
        <v>0.31229010034100052</v>
      </c>
      <c r="Z1626" t="str">
        <f>HYPERLINK("Melting_Curves/meltCurve_sp_Q15120_PDK3_HUMAN_.pdf", "Melting_Curves/meltCurve_sp_Q15120_PDK3_HUMAN_.pdf")</f>
        <v>Melting_Curves/meltCurve_sp_Q15120_PDK3_HUMAN_.pdf</v>
      </c>
      <c r="AA1626" t="s">
        <v>13094</v>
      </c>
      <c r="AB1626" t="s">
        <v>16866</v>
      </c>
    </row>
    <row r="1627" spans="1:28" x14ac:dyDescent="0.25">
      <c r="A1627" t="s">
        <v>1631</v>
      </c>
      <c r="B1627">
        <v>0.98876768158843997</v>
      </c>
      <c r="C1627">
        <v>1.0497616802373799</v>
      </c>
      <c r="D1627">
        <v>0.65622013687860503</v>
      </c>
      <c r="E1627">
        <v>0.24045256696075801</v>
      </c>
      <c r="F1627">
        <v>0.105639560889654</v>
      </c>
      <c r="G1627">
        <v>6.7643368448879596E-2</v>
      </c>
      <c r="H1627">
        <v>4.2767020160854603E-2</v>
      </c>
      <c r="I1627">
        <v>3.7177207138303602E-2</v>
      </c>
      <c r="J1627">
        <v>4.11602554409293E-2</v>
      </c>
      <c r="K1627">
        <v>3.5325128559700103E-2</v>
      </c>
      <c r="L1627">
        <v>1326.20019624319</v>
      </c>
      <c r="M1627">
        <v>28.056489065762499</v>
      </c>
      <c r="N1627">
        <v>47.438322221018403</v>
      </c>
      <c r="O1627">
        <v>47.0307220700277</v>
      </c>
      <c r="P1627">
        <v>-0.142031858492532</v>
      </c>
      <c r="Q1627">
        <v>4.7663098868466598E-2</v>
      </c>
      <c r="R1627">
        <v>0.99116176445121495</v>
      </c>
      <c r="S1627" t="s">
        <v>5459</v>
      </c>
      <c r="T1627" t="s">
        <v>7662</v>
      </c>
      <c r="U1627" t="s">
        <v>7662</v>
      </c>
      <c r="V1627" t="s">
        <v>7662</v>
      </c>
      <c r="W1627">
        <v>12</v>
      </c>
      <c r="X1627" t="s">
        <v>9289</v>
      </c>
      <c r="Y1627">
        <v>0.28500376463092231</v>
      </c>
      <c r="Z1627" t="str">
        <f>HYPERLINK("Melting_Curves/meltCurve_sp_Q15126_PMVK_HUMAN_.pdf", "Melting_Curves/meltCurve_sp_Q15126_PMVK_HUMAN_.pdf")</f>
        <v>Melting_Curves/meltCurve_sp_Q15126_PMVK_HUMAN_.pdf</v>
      </c>
      <c r="AA1627" t="s">
        <v>13095</v>
      </c>
      <c r="AB1627" t="s">
        <v>16867</v>
      </c>
    </row>
    <row r="1628" spans="1:28" x14ac:dyDescent="0.25">
      <c r="A1628" t="s">
        <v>1632</v>
      </c>
      <c r="B1628">
        <v>0.98876768158843997</v>
      </c>
      <c r="C1628">
        <v>0.95174272275423599</v>
      </c>
      <c r="D1628">
        <v>1.0356391176980699</v>
      </c>
      <c r="E1628">
        <v>0.85937694504259199</v>
      </c>
      <c r="F1628">
        <v>0.44637111094711501</v>
      </c>
      <c r="G1628">
        <v>0.18139576409765601</v>
      </c>
      <c r="H1628">
        <v>0.113588869789972</v>
      </c>
      <c r="I1628">
        <v>0.107467012239902</v>
      </c>
      <c r="J1628">
        <v>0.144805611525579</v>
      </c>
      <c r="K1628">
        <v>0.12541326767261199</v>
      </c>
      <c r="L1628">
        <v>1922.65794387763</v>
      </c>
      <c r="M1628">
        <v>36.801178389322097</v>
      </c>
      <c r="N1628">
        <v>52.656244185496398</v>
      </c>
      <c r="O1628">
        <v>52.090899570485902</v>
      </c>
      <c r="P1628">
        <v>-0.15453575727617799</v>
      </c>
      <c r="Q1628">
        <v>0.12504038103910201</v>
      </c>
      <c r="R1628">
        <v>0.99644347258132104</v>
      </c>
      <c r="S1628" t="s">
        <v>5460</v>
      </c>
      <c r="T1628" t="s">
        <v>7662</v>
      </c>
      <c r="U1628" t="s">
        <v>7662</v>
      </c>
      <c r="V1628" t="s">
        <v>7662</v>
      </c>
      <c r="W1628">
        <v>156</v>
      </c>
      <c r="X1628" t="s">
        <v>9290</v>
      </c>
      <c r="Y1628">
        <v>0.48588741670251312</v>
      </c>
      <c r="Z1628" t="str">
        <f>HYPERLINK("Melting_Curves/meltCurve_sp_Q15149_8_PLEC_HUMAN_.pdf", "Melting_Curves/meltCurve_sp_Q15149_8_PLEC_HUMAN_.pdf")</f>
        <v>Melting_Curves/meltCurve_sp_Q15149_8_PLEC_HUMAN_.pdf</v>
      </c>
      <c r="AA1628" t="s">
        <v>13096</v>
      </c>
      <c r="AB1628" t="s">
        <v>16868</v>
      </c>
    </row>
    <row r="1629" spans="1:28" x14ac:dyDescent="0.25">
      <c r="A1629" t="s">
        <v>1633</v>
      </c>
      <c r="B1629">
        <v>0.98876768158843997</v>
      </c>
      <c r="C1629">
        <v>1.21899142920263</v>
      </c>
      <c r="D1629">
        <v>0.94303442194365095</v>
      </c>
      <c r="E1629">
        <v>0.949688150799192</v>
      </c>
      <c r="F1629">
        <v>0.95963289300019705</v>
      </c>
      <c r="G1629">
        <v>0.82515698556593098</v>
      </c>
      <c r="H1629">
        <v>0.70043670048738105</v>
      </c>
      <c r="I1629">
        <v>0.68754612599836296</v>
      </c>
      <c r="J1629">
        <v>0.76313437379933602</v>
      </c>
      <c r="K1629">
        <v>1.0731212949668201</v>
      </c>
      <c r="L1629">
        <v>2795.3126472859099</v>
      </c>
      <c r="M1629">
        <v>51.5375361995983</v>
      </c>
      <c r="O1629">
        <v>54.156902463710601</v>
      </c>
      <c r="P1629">
        <v>-4.5941498561998903E-2</v>
      </c>
      <c r="Q1629">
        <v>0.80689433141420897</v>
      </c>
      <c r="R1629">
        <v>0.40459573185596598</v>
      </c>
      <c r="S1629" t="s">
        <v>5461</v>
      </c>
      <c r="T1629" t="s">
        <v>7662</v>
      </c>
      <c r="U1629" t="s">
        <v>7662</v>
      </c>
      <c r="V1629" t="s">
        <v>7662</v>
      </c>
      <c r="W1629">
        <v>1</v>
      </c>
      <c r="X1629" t="s">
        <v>9291</v>
      </c>
      <c r="Y1629">
        <v>0.89897934347911757</v>
      </c>
      <c r="Z1629" t="str">
        <f>HYPERLINK("Melting_Curves/meltCurve_sp_Q15170_2_TCAL1_HUMAN_.pdf", "Melting_Curves/meltCurve_sp_Q15170_2_TCAL1_HUMAN_.pdf")</f>
        <v>Melting_Curves/meltCurve_sp_Q15170_2_TCAL1_HUMAN_.pdf</v>
      </c>
      <c r="AA1629" t="s">
        <v>13097</v>
      </c>
      <c r="AB1629" t="s">
        <v>16869</v>
      </c>
    </row>
    <row r="1630" spans="1:28" x14ac:dyDescent="0.25">
      <c r="A1630" t="s">
        <v>1634</v>
      </c>
      <c r="B1630">
        <v>0.98876768158843997</v>
      </c>
      <c r="C1630">
        <v>0.81832093211641099</v>
      </c>
      <c r="D1630">
        <v>0.89699306760014597</v>
      </c>
      <c r="E1630">
        <v>0.33635110597657902</v>
      </c>
      <c r="F1630">
        <v>0.16071623074041699</v>
      </c>
      <c r="G1630">
        <v>9.3723043587240804E-2</v>
      </c>
      <c r="H1630">
        <v>4.8477076056969999E-2</v>
      </c>
      <c r="I1630">
        <v>4.08212012014103E-2</v>
      </c>
      <c r="J1630">
        <v>7.2672153942628201E-2</v>
      </c>
      <c r="K1630">
        <v>3.9229088825440003E-2</v>
      </c>
      <c r="L1630">
        <v>1304.07757560752</v>
      </c>
      <c r="M1630">
        <v>26.794443484135101</v>
      </c>
      <c r="N1630">
        <v>48.876225938140699</v>
      </c>
      <c r="O1630">
        <v>48.401048806880702</v>
      </c>
      <c r="P1630">
        <v>-0.130992078266054</v>
      </c>
      <c r="Q1630">
        <v>5.35221375052361E-2</v>
      </c>
      <c r="R1630">
        <v>0.97788008169637697</v>
      </c>
      <c r="S1630" t="s">
        <v>5462</v>
      </c>
      <c r="T1630" t="s">
        <v>7662</v>
      </c>
      <c r="U1630" t="s">
        <v>7662</v>
      </c>
      <c r="V1630" t="s">
        <v>7662</v>
      </c>
      <c r="W1630">
        <v>8</v>
      </c>
      <c r="X1630" t="s">
        <v>9292</v>
      </c>
      <c r="Y1630">
        <v>0.33429435270258218</v>
      </c>
      <c r="Z1630" t="str">
        <f>HYPERLINK("Melting_Curves/meltCurve_sp_Q15172_2A5A_HUMAN_.pdf", "Melting_Curves/meltCurve_sp_Q15172_2A5A_HUMAN_.pdf")</f>
        <v>Melting_Curves/meltCurve_sp_Q15172_2A5A_HUMAN_.pdf</v>
      </c>
      <c r="AA1630" t="s">
        <v>13098</v>
      </c>
      <c r="AB1630" t="s">
        <v>16870</v>
      </c>
    </row>
    <row r="1631" spans="1:28" x14ac:dyDescent="0.25">
      <c r="A1631" t="s">
        <v>1635</v>
      </c>
      <c r="B1631">
        <v>0.98876768158843997</v>
      </c>
      <c r="C1631">
        <v>1.00841266933166</v>
      </c>
      <c r="D1631">
        <v>0.91024057294165495</v>
      </c>
      <c r="E1631">
        <v>0.83230458725425804</v>
      </c>
      <c r="F1631">
        <v>0.48007752367372702</v>
      </c>
      <c r="G1631">
        <v>0.15104835432445701</v>
      </c>
      <c r="H1631">
        <v>5.62841717686903E-2</v>
      </c>
      <c r="I1631">
        <v>4.5837494847787999E-2</v>
      </c>
      <c r="J1631">
        <v>4.2876368769858397E-2</v>
      </c>
      <c r="K1631">
        <v>3.8338132765050499E-2</v>
      </c>
      <c r="L1631">
        <v>1379.07511649819</v>
      </c>
      <c r="M1631">
        <v>26.155478446080799</v>
      </c>
      <c r="N1631">
        <v>52.8717332490194</v>
      </c>
      <c r="O1631">
        <v>52.420732927564799</v>
      </c>
      <c r="P1631">
        <v>-0.12040290933190501</v>
      </c>
      <c r="Q1631">
        <v>3.47662265764229E-2</v>
      </c>
      <c r="R1631">
        <v>0.99678524360977605</v>
      </c>
      <c r="S1631" t="s">
        <v>5463</v>
      </c>
      <c r="T1631" t="s">
        <v>7662</v>
      </c>
      <c r="U1631" t="s">
        <v>7662</v>
      </c>
      <c r="V1631" t="s">
        <v>7662</v>
      </c>
      <c r="W1631">
        <v>15</v>
      </c>
      <c r="X1631" t="s">
        <v>9293</v>
      </c>
      <c r="Y1631">
        <v>0.45235823061607972</v>
      </c>
      <c r="Z1631" t="str">
        <f>HYPERLINK("Melting_Curves/meltCurve_sp_Q15181_IPYR_HUMAN_.pdf", "Melting_Curves/meltCurve_sp_Q15181_IPYR_HUMAN_.pdf")</f>
        <v>Melting_Curves/meltCurve_sp_Q15181_IPYR_HUMAN_.pdf</v>
      </c>
      <c r="AA1631" t="s">
        <v>13099</v>
      </c>
      <c r="AB1631" t="s">
        <v>16871</v>
      </c>
    </row>
    <row r="1632" spans="1:28" x14ac:dyDescent="0.25">
      <c r="A1632" t="s">
        <v>1636</v>
      </c>
      <c r="B1632">
        <v>0.98876768158843997</v>
      </c>
      <c r="C1632">
        <v>0.74282036814770003</v>
      </c>
      <c r="D1632">
        <v>1.1604376634465501</v>
      </c>
      <c r="E1632">
        <v>1.1404828832914</v>
      </c>
      <c r="F1632">
        <v>0.58592274293054103</v>
      </c>
      <c r="G1632">
        <v>0.61503656408879603</v>
      </c>
      <c r="H1632">
        <v>0.40730150676764099</v>
      </c>
      <c r="I1632">
        <v>4.5451767960352697E-2</v>
      </c>
      <c r="J1632">
        <v>3.2326597488250702E-2</v>
      </c>
      <c r="K1632">
        <v>2.8378863161033E-2</v>
      </c>
      <c r="L1632">
        <v>1002.30509138933</v>
      </c>
      <c r="M1632">
        <v>17.3601285514371</v>
      </c>
      <c r="N1632">
        <v>57.736041621172298</v>
      </c>
      <c r="O1632">
        <v>56.986273119988603</v>
      </c>
      <c r="P1632">
        <v>-7.61635966837379E-2</v>
      </c>
      <c r="Q1632">
        <v>0</v>
      </c>
      <c r="R1632">
        <v>0.87124591392550799</v>
      </c>
      <c r="S1632" t="s">
        <v>5464</v>
      </c>
      <c r="T1632" t="s">
        <v>7662</v>
      </c>
      <c r="U1632" t="s">
        <v>7662</v>
      </c>
      <c r="V1632" t="s">
        <v>7662</v>
      </c>
      <c r="W1632">
        <v>2</v>
      </c>
      <c r="X1632" t="s">
        <v>9294</v>
      </c>
      <c r="Y1632">
        <v>0.60431343883367972</v>
      </c>
      <c r="Z1632" t="str">
        <f>HYPERLINK("Melting_Curves/meltCurve_sp_Q15208_STK38_HUMAN_.pdf", "Melting_Curves/meltCurve_sp_Q15208_STK38_HUMAN_.pdf")</f>
        <v>Melting_Curves/meltCurve_sp_Q15208_STK38_HUMAN_.pdf</v>
      </c>
      <c r="AA1632" t="s">
        <v>13100</v>
      </c>
      <c r="AB1632" t="s">
        <v>16872</v>
      </c>
    </row>
    <row r="1633" spans="1:28" x14ac:dyDescent="0.25">
      <c r="A1633" t="s">
        <v>1637</v>
      </c>
      <c r="B1633">
        <v>0.98876768158843997</v>
      </c>
      <c r="C1633">
        <v>0.99085838343983101</v>
      </c>
      <c r="D1633">
        <v>0.76073855059826101</v>
      </c>
      <c r="E1633">
        <v>0.42223440978964999</v>
      </c>
      <c r="F1633">
        <v>0.27922280616029199</v>
      </c>
      <c r="G1633">
        <v>0.189302947382369</v>
      </c>
      <c r="H1633">
        <v>0.14256641867130301</v>
      </c>
      <c r="I1633">
        <v>0.164894059080645</v>
      </c>
      <c r="J1633">
        <v>0.19744218913515901</v>
      </c>
      <c r="K1633">
        <v>0.22270911282765399</v>
      </c>
      <c r="L1633">
        <v>1109.21925384368</v>
      </c>
      <c r="M1633">
        <v>23.093413223230399</v>
      </c>
      <c r="N1633">
        <v>48.979066540249597</v>
      </c>
      <c r="O1633">
        <v>47.676026943864798</v>
      </c>
      <c r="P1633">
        <v>-9.9287612086393903E-2</v>
      </c>
      <c r="Q1633">
        <v>0.180103575542788</v>
      </c>
      <c r="R1633">
        <v>0.99371858337423702</v>
      </c>
      <c r="S1633" t="s">
        <v>5465</v>
      </c>
      <c r="T1633" t="s">
        <v>7662</v>
      </c>
      <c r="U1633" t="s">
        <v>7662</v>
      </c>
      <c r="V1633" t="s">
        <v>7662</v>
      </c>
      <c r="W1633">
        <v>17</v>
      </c>
      <c r="X1633" t="s">
        <v>9295</v>
      </c>
      <c r="Y1633">
        <v>0.40819000407907552</v>
      </c>
      <c r="Z1633" t="str">
        <f>HYPERLINK("Melting_Curves/meltCurve_sp_Q15233_2_NONO_HUMAN_.pdf", "Melting_Curves/meltCurve_sp_Q15233_2_NONO_HUMAN_.pdf")</f>
        <v>Melting_Curves/meltCurve_sp_Q15233_2_NONO_HUMAN_.pdf</v>
      </c>
      <c r="AA1633" t="s">
        <v>13101</v>
      </c>
      <c r="AB1633" t="s">
        <v>16873</v>
      </c>
    </row>
    <row r="1634" spans="1:28" x14ac:dyDescent="0.25">
      <c r="A1634" t="s">
        <v>1638</v>
      </c>
      <c r="B1634">
        <v>0.98876768158843997</v>
      </c>
      <c r="C1634">
        <v>1.0701641946284901</v>
      </c>
      <c r="D1634">
        <v>0.85055611525293795</v>
      </c>
      <c r="E1634">
        <v>0.76203966462865702</v>
      </c>
      <c r="F1634">
        <v>0.78124128221156397</v>
      </c>
      <c r="G1634">
        <v>0.27428310423591501</v>
      </c>
      <c r="H1634">
        <v>6.4265956725194501E-2</v>
      </c>
      <c r="I1634">
        <v>5.1264871618625002E-2</v>
      </c>
      <c r="J1634">
        <v>7.5550685707206605E-2</v>
      </c>
      <c r="K1634">
        <v>5.1110155107235003E-2</v>
      </c>
      <c r="L1634">
        <v>1123.09678612731</v>
      </c>
      <c r="M1634">
        <v>20.549086914773898</v>
      </c>
      <c r="N1634">
        <v>54.740068290643002</v>
      </c>
      <c r="O1634">
        <v>54.144640104974499</v>
      </c>
      <c r="P1634">
        <v>-9.3380840257664605E-2</v>
      </c>
      <c r="Q1634">
        <v>1.5834741652331698E-2</v>
      </c>
      <c r="R1634">
        <v>0.966336288231328</v>
      </c>
      <c r="S1634" t="s">
        <v>5466</v>
      </c>
      <c r="T1634" t="s">
        <v>7662</v>
      </c>
      <c r="U1634" t="s">
        <v>7662</v>
      </c>
      <c r="V1634" t="s">
        <v>7662</v>
      </c>
      <c r="W1634">
        <v>10</v>
      </c>
      <c r="X1634" t="s">
        <v>9296</v>
      </c>
      <c r="Y1634">
        <v>0.50924588388969672</v>
      </c>
      <c r="Z1634" t="str">
        <f>HYPERLINK("Melting_Curves/meltCurve_sp_Q15257_2_PTPA_HUMAN_.pdf", "Melting_Curves/meltCurve_sp_Q15257_2_PTPA_HUMAN_.pdf")</f>
        <v>Melting_Curves/meltCurve_sp_Q15257_2_PTPA_HUMAN_.pdf</v>
      </c>
      <c r="AA1634" t="s">
        <v>13102</v>
      </c>
      <c r="AB1634" t="s">
        <v>16874</v>
      </c>
    </row>
    <row r="1635" spans="1:28" x14ac:dyDescent="0.25">
      <c r="A1635" t="s">
        <v>1639</v>
      </c>
      <c r="B1635">
        <v>0.98876768158843997</v>
      </c>
      <c r="C1635">
        <v>0.94799912416714804</v>
      </c>
      <c r="D1635">
        <v>0.72673735942992401</v>
      </c>
      <c r="E1635">
        <v>0.64208725759358398</v>
      </c>
      <c r="F1635">
        <v>0.31202327754646503</v>
      </c>
      <c r="G1635">
        <v>0.23819454330001799</v>
      </c>
      <c r="H1635">
        <v>0.21069432250748199</v>
      </c>
      <c r="I1635">
        <v>0.19427917981687701</v>
      </c>
      <c r="J1635">
        <v>0.32889871119015801</v>
      </c>
      <c r="K1635">
        <v>0.230911129898798</v>
      </c>
      <c r="L1635">
        <v>847.95139910836599</v>
      </c>
      <c r="M1635">
        <v>17.3719111005048</v>
      </c>
      <c r="N1635">
        <v>50.492735694376698</v>
      </c>
      <c r="O1635">
        <v>48.178596402949601</v>
      </c>
      <c r="P1635">
        <v>-7.0352158740897605E-2</v>
      </c>
      <c r="Q1635">
        <v>0.219596275524617</v>
      </c>
      <c r="R1635">
        <v>0.95854383316158398</v>
      </c>
      <c r="S1635" t="s">
        <v>5467</v>
      </c>
      <c r="T1635" t="s">
        <v>7662</v>
      </c>
      <c r="U1635" t="s">
        <v>7662</v>
      </c>
      <c r="V1635" t="s">
        <v>7662</v>
      </c>
      <c r="W1635">
        <v>11</v>
      </c>
      <c r="X1635" t="s">
        <v>9297</v>
      </c>
      <c r="Y1635">
        <v>0.46338545384542451</v>
      </c>
      <c r="Z1635" t="str">
        <f>HYPERLINK("Melting_Curves/meltCurve_sp_Q15257_PTPA_HUMAN_.pdf", "Melting_Curves/meltCurve_sp_Q15257_PTPA_HUMAN_.pdf")</f>
        <v>Melting_Curves/meltCurve_sp_Q15257_PTPA_HUMAN_.pdf</v>
      </c>
      <c r="AA1635" t="s">
        <v>13102</v>
      </c>
      <c r="AB1635" t="s">
        <v>16875</v>
      </c>
    </row>
    <row r="1636" spans="1:28" x14ac:dyDescent="0.25">
      <c r="A1636" t="s">
        <v>1640</v>
      </c>
      <c r="B1636">
        <v>0.98876768158843997</v>
      </c>
      <c r="C1636">
        <v>1.1106925322549801</v>
      </c>
      <c r="D1636">
        <v>1.15970262967803</v>
      </c>
      <c r="E1636">
        <v>0.83541555599214601</v>
      </c>
      <c r="F1636">
        <v>0.56941717200332298</v>
      </c>
      <c r="G1636">
        <v>0.36547059586084601</v>
      </c>
      <c r="H1636">
        <v>0.28853772326979799</v>
      </c>
      <c r="I1636">
        <v>0.31523330704834801</v>
      </c>
      <c r="J1636">
        <v>0.42419832826884502</v>
      </c>
      <c r="K1636">
        <v>0.21977305525695701</v>
      </c>
      <c r="L1636">
        <v>1751.81598793435</v>
      </c>
      <c r="M1636">
        <v>33.633422380054</v>
      </c>
      <c r="N1636">
        <v>53.666909511906098</v>
      </c>
      <c r="O1636">
        <v>51.902470853905697</v>
      </c>
      <c r="P1636">
        <v>-0.111069022346548</v>
      </c>
      <c r="Q1636">
        <v>0.31440423997037198</v>
      </c>
      <c r="R1636">
        <v>0.94616164721442197</v>
      </c>
      <c r="S1636" t="s">
        <v>5468</v>
      </c>
      <c r="T1636" t="s">
        <v>7662</v>
      </c>
      <c r="U1636" t="s">
        <v>7662</v>
      </c>
      <c r="V1636" t="s">
        <v>7662</v>
      </c>
      <c r="W1636">
        <v>2</v>
      </c>
      <c r="X1636" t="s">
        <v>9298</v>
      </c>
      <c r="Y1636">
        <v>0.59409142880942967</v>
      </c>
      <c r="Z1636" t="str">
        <f>HYPERLINK("Melting_Curves/meltCurve_sp_Q15262_PTPRK_HUMAN_.pdf", "Melting_Curves/meltCurve_sp_Q15262_PTPRK_HUMAN_.pdf")</f>
        <v>Melting_Curves/meltCurve_sp_Q15262_PTPRK_HUMAN_.pdf</v>
      </c>
      <c r="AA1636" t="s">
        <v>13103</v>
      </c>
      <c r="AB1636" t="s">
        <v>16876</v>
      </c>
    </row>
    <row r="1637" spans="1:28" x14ac:dyDescent="0.25">
      <c r="A1637" t="s">
        <v>1641</v>
      </c>
      <c r="B1637">
        <v>0.98876768158843997</v>
      </c>
      <c r="C1637">
        <v>0.94940876934177398</v>
      </c>
      <c r="D1637">
        <v>1.0309457940470299</v>
      </c>
      <c r="E1637">
        <v>1.0703681521164901</v>
      </c>
      <c r="F1637">
        <v>0.85698119467452905</v>
      </c>
      <c r="G1637">
        <v>0.68280237194228699</v>
      </c>
      <c r="H1637">
        <v>0.68491704638786099</v>
      </c>
      <c r="I1637">
        <v>0.82965609457964795</v>
      </c>
      <c r="J1637">
        <v>0.89241473353483103</v>
      </c>
      <c r="K1637">
        <v>1.1632275127617</v>
      </c>
      <c r="L1637">
        <v>13085.3134881556</v>
      </c>
      <c r="M1637">
        <v>250</v>
      </c>
      <c r="O1637">
        <v>52.3379280161667</v>
      </c>
      <c r="P1637">
        <v>-0.17840703220593099</v>
      </c>
      <c r="Q1637">
        <v>0.85060079639849995</v>
      </c>
      <c r="R1637">
        <v>0.266771533829606</v>
      </c>
      <c r="S1637" t="s">
        <v>5469</v>
      </c>
      <c r="T1637" t="s">
        <v>7662</v>
      </c>
      <c r="U1637" t="s">
        <v>7662</v>
      </c>
      <c r="V1637" t="s">
        <v>7662</v>
      </c>
      <c r="W1637">
        <v>11</v>
      </c>
      <c r="X1637" t="s">
        <v>9299</v>
      </c>
      <c r="Y1637">
        <v>0.91207363698892618</v>
      </c>
      <c r="Z1637" t="str">
        <f>HYPERLINK("Melting_Curves/meltCurve_sp_Q15274_NADC_HUMAN_.pdf", "Melting_Curves/meltCurve_sp_Q15274_NADC_HUMAN_.pdf")</f>
        <v>Melting_Curves/meltCurve_sp_Q15274_NADC_HUMAN_.pdf</v>
      </c>
      <c r="AA1637" t="s">
        <v>13104</v>
      </c>
      <c r="AB1637" t="s">
        <v>16877</v>
      </c>
    </row>
    <row r="1638" spans="1:28" x14ac:dyDescent="0.25">
      <c r="A1638" t="s">
        <v>1642</v>
      </c>
      <c r="B1638">
        <v>0.98876768158843997</v>
      </c>
      <c r="C1638">
        <v>0.93352396259970405</v>
      </c>
      <c r="D1638">
        <v>0.94495418033717704</v>
      </c>
      <c r="E1638">
        <v>0.80403113147441596</v>
      </c>
      <c r="F1638">
        <v>0.59913674201786404</v>
      </c>
      <c r="G1638">
        <v>0.43180425200182598</v>
      </c>
      <c r="H1638">
        <v>0.34385514327707201</v>
      </c>
      <c r="I1638">
        <v>0.367859394142036</v>
      </c>
      <c r="J1638">
        <v>0.51252761668148805</v>
      </c>
      <c r="K1638">
        <v>0.50555678123066905</v>
      </c>
      <c r="L1638">
        <v>1427.09540531383</v>
      </c>
      <c r="M1638">
        <v>27.9106154018281</v>
      </c>
      <c r="N1638">
        <v>54.918348194463498</v>
      </c>
      <c r="O1638">
        <v>50.870598281872603</v>
      </c>
      <c r="P1638">
        <v>-7.8589090606491399E-2</v>
      </c>
      <c r="Q1638">
        <v>0.42705106749959298</v>
      </c>
      <c r="R1638">
        <v>0.94530238667389399</v>
      </c>
      <c r="S1638" t="s">
        <v>5470</v>
      </c>
      <c r="T1638" t="s">
        <v>7662</v>
      </c>
      <c r="U1638" t="s">
        <v>7662</v>
      </c>
      <c r="V1638" t="s">
        <v>7662</v>
      </c>
      <c r="W1638">
        <v>26</v>
      </c>
      <c r="X1638" t="s">
        <v>9300</v>
      </c>
      <c r="Y1638">
        <v>0.64380204283175613</v>
      </c>
      <c r="Z1638" t="str">
        <f>HYPERLINK("Melting_Curves/meltCurve_sp_Q15276_RABE1_HUMAN_.pdf", "Melting_Curves/meltCurve_sp_Q15276_RABE1_HUMAN_.pdf")</f>
        <v>Melting_Curves/meltCurve_sp_Q15276_RABE1_HUMAN_.pdf</v>
      </c>
      <c r="AA1638" t="s">
        <v>13105</v>
      </c>
      <c r="AB1638" t="s">
        <v>16878</v>
      </c>
    </row>
    <row r="1639" spans="1:28" x14ac:dyDescent="0.25">
      <c r="A1639" t="s">
        <v>1643</v>
      </c>
      <c r="B1639">
        <v>0.98876768158843997</v>
      </c>
      <c r="C1639">
        <v>0.93937112112649701</v>
      </c>
      <c r="D1639">
        <v>0.92773243031559705</v>
      </c>
      <c r="E1639">
        <v>0.84642049122746699</v>
      </c>
      <c r="F1639">
        <v>0.84403744980103501</v>
      </c>
      <c r="G1639">
        <v>0.61591784116525194</v>
      </c>
      <c r="H1639">
        <v>0.46031558222937102</v>
      </c>
      <c r="I1639">
        <v>0.39710074480665403</v>
      </c>
      <c r="J1639">
        <v>0.217347174024239</v>
      </c>
      <c r="K1639">
        <v>0.118959977142685</v>
      </c>
      <c r="L1639">
        <v>638.78467690484104</v>
      </c>
      <c r="M1639">
        <v>10.6671493962418</v>
      </c>
      <c r="N1639">
        <v>59.883362169469599</v>
      </c>
      <c r="O1639">
        <v>57.893838271137803</v>
      </c>
      <c r="P1639">
        <v>-4.60808970472339E-2</v>
      </c>
      <c r="Q1639">
        <v>0</v>
      </c>
      <c r="R1639">
        <v>0.98315535629991002</v>
      </c>
      <c r="S1639" t="s">
        <v>5471</v>
      </c>
      <c r="T1639" t="s">
        <v>7662</v>
      </c>
      <c r="U1639" t="s">
        <v>7662</v>
      </c>
      <c r="V1639" t="s">
        <v>7662</v>
      </c>
      <c r="W1639">
        <v>4</v>
      </c>
      <c r="X1639" t="s">
        <v>9301</v>
      </c>
      <c r="Y1639">
        <v>0.66214873872815228</v>
      </c>
      <c r="Z1639" t="str">
        <f>HYPERLINK("Melting_Curves/meltCurve_sp_Q15291_RBBP5_HUMAN_.pdf", "Melting_Curves/meltCurve_sp_Q15291_RBBP5_HUMAN_.pdf")</f>
        <v>Melting_Curves/meltCurve_sp_Q15291_RBBP5_HUMAN_.pdf</v>
      </c>
      <c r="AA1639" t="s">
        <v>13106</v>
      </c>
      <c r="AB1639" t="s">
        <v>16879</v>
      </c>
    </row>
    <row r="1640" spans="1:28" x14ac:dyDescent="0.25">
      <c r="A1640" t="s">
        <v>1644</v>
      </c>
      <c r="B1640">
        <v>0.98876768158843997</v>
      </c>
      <c r="C1640">
        <v>1.00478905832395</v>
      </c>
      <c r="D1640">
        <v>0.90386549339857403</v>
      </c>
      <c r="E1640">
        <v>0.76769767261833599</v>
      </c>
      <c r="F1640">
        <v>0.73296373599884401</v>
      </c>
      <c r="G1640">
        <v>0.52615428981887602</v>
      </c>
      <c r="H1640">
        <v>0.41908678053342802</v>
      </c>
      <c r="I1640">
        <v>0.47473380882190602</v>
      </c>
      <c r="J1640">
        <v>0.58791222811631505</v>
      </c>
      <c r="K1640">
        <v>0.65583958482626603</v>
      </c>
      <c r="L1640">
        <v>997.37429191165802</v>
      </c>
      <c r="M1640">
        <v>19.787868527967099</v>
      </c>
      <c r="O1640">
        <v>49.8970212284244</v>
      </c>
      <c r="P1640">
        <v>-4.6708022768473398E-2</v>
      </c>
      <c r="Q1640">
        <v>0.52890083460864401</v>
      </c>
      <c r="R1640">
        <v>0.88048733282250102</v>
      </c>
      <c r="S1640" t="s">
        <v>5472</v>
      </c>
      <c r="T1640" t="s">
        <v>7662</v>
      </c>
      <c r="U1640" t="s">
        <v>7662</v>
      </c>
      <c r="V1640" t="s">
        <v>7662</v>
      </c>
      <c r="W1640">
        <v>12</v>
      </c>
      <c r="X1640" t="s">
        <v>9302</v>
      </c>
      <c r="Y1640">
        <v>0.69895216136123339</v>
      </c>
      <c r="Z1640" t="str">
        <f>HYPERLINK("Melting_Curves/meltCurve_sp_Q15293_RCN1_HUMAN_.pdf", "Melting_Curves/meltCurve_sp_Q15293_RCN1_HUMAN_.pdf")</f>
        <v>Melting_Curves/meltCurve_sp_Q15293_RCN1_HUMAN_.pdf</v>
      </c>
      <c r="AA1640" t="s">
        <v>13107</v>
      </c>
      <c r="AB1640" t="s">
        <v>16880</v>
      </c>
    </row>
    <row r="1641" spans="1:28" x14ac:dyDescent="0.25">
      <c r="A1641" t="s">
        <v>1645</v>
      </c>
      <c r="B1641">
        <v>0.98876768158843997</v>
      </c>
      <c r="C1641">
        <v>1.0092444038935999</v>
      </c>
      <c r="D1641">
        <v>0.866837762323447</v>
      </c>
      <c r="E1641">
        <v>0.51365761035351898</v>
      </c>
      <c r="F1641">
        <v>0.271519385105773</v>
      </c>
      <c r="G1641">
        <v>0.17182967574777999</v>
      </c>
      <c r="H1641">
        <v>0.13738219753028899</v>
      </c>
      <c r="I1641">
        <v>0.101774522509175</v>
      </c>
      <c r="J1641">
        <v>0.20628705931795099</v>
      </c>
      <c r="K1641">
        <v>0.105526387631144</v>
      </c>
      <c r="L1641">
        <v>1207.5159518604301</v>
      </c>
      <c r="M1641">
        <v>24.426583761540201</v>
      </c>
      <c r="N1641">
        <v>50.080156734487304</v>
      </c>
      <c r="O1641">
        <v>49.106746536281399</v>
      </c>
      <c r="P1641">
        <v>-0.107559244124823</v>
      </c>
      <c r="Q1641">
        <v>0.13507239243989999</v>
      </c>
      <c r="R1641">
        <v>0.99350958352691199</v>
      </c>
      <c r="S1641" t="s">
        <v>5473</v>
      </c>
      <c r="T1641" t="s">
        <v>7662</v>
      </c>
      <c r="U1641" t="s">
        <v>7662</v>
      </c>
      <c r="V1641" t="s">
        <v>7662</v>
      </c>
      <c r="W1641">
        <v>8</v>
      </c>
      <c r="X1641" t="s">
        <v>9303</v>
      </c>
      <c r="Y1641">
        <v>0.41513942528231651</v>
      </c>
      <c r="Z1641" t="str">
        <f>HYPERLINK("Melting_Curves/meltCurve_sp_Q15311_RBP1_HUMAN_.pdf", "Melting_Curves/meltCurve_sp_Q15311_RBP1_HUMAN_.pdf")</f>
        <v>Melting_Curves/meltCurve_sp_Q15311_RBP1_HUMAN_.pdf</v>
      </c>
      <c r="AA1641" t="s">
        <v>13108</v>
      </c>
      <c r="AB1641" t="s">
        <v>16881</v>
      </c>
    </row>
    <row r="1642" spans="1:28" x14ac:dyDescent="0.25">
      <c r="A1642" t="s">
        <v>1646</v>
      </c>
      <c r="B1642">
        <v>0.98876768158843997</v>
      </c>
      <c r="C1642">
        <v>1.0239909304441801</v>
      </c>
      <c r="D1642">
        <v>0.82700543663801196</v>
      </c>
      <c r="E1642">
        <v>0.58111820352414001</v>
      </c>
      <c r="F1642">
        <v>0.34631947120975798</v>
      </c>
      <c r="G1642">
        <v>0.14678170032832699</v>
      </c>
      <c r="H1642">
        <v>0.15870297445547099</v>
      </c>
      <c r="I1642">
        <v>0.160105057373231</v>
      </c>
      <c r="J1642">
        <v>0.21621711412751701</v>
      </c>
      <c r="K1642">
        <v>0.15949213931218401</v>
      </c>
      <c r="L1642">
        <v>1075.5063329265799</v>
      </c>
      <c r="M1642">
        <v>21.6160359311638</v>
      </c>
      <c r="N1642">
        <v>50.636801903693602</v>
      </c>
      <c r="O1642">
        <v>49.3350640942894</v>
      </c>
      <c r="P1642">
        <v>-9.2358777659004299E-2</v>
      </c>
      <c r="Q1642">
        <v>0.156845007786033</v>
      </c>
      <c r="R1642">
        <v>0.98920692620240502</v>
      </c>
      <c r="S1642" t="s">
        <v>5474</v>
      </c>
      <c r="T1642" t="s">
        <v>7662</v>
      </c>
      <c r="U1642" t="s">
        <v>7662</v>
      </c>
      <c r="V1642" t="s">
        <v>7662</v>
      </c>
      <c r="W1642">
        <v>3</v>
      </c>
      <c r="X1642" t="s">
        <v>9304</v>
      </c>
      <c r="Y1642">
        <v>0.44108317525967322</v>
      </c>
      <c r="Z1642" t="str">
        <f>HYPERLINK("Melting_Curves/meltCurve_sp_Q15345_LRC41_HUMAN_.pdf", "Melting_Curves/meltCurve_sp_Q15345_LRC41_HUMAN_.pdf")</f>
        <v>Melting_Curves/meltCurve_sp_Q15345_LRC41_HUMAN_.pdf</v>
      </c>
      <c r="AA1642" t="s">
        <v>13109</v>
      </c>
      <c r="AB1642" t="s">
        <v>16882</v>
      </c>
    </row>
    <row r="1643" spans="1:28" x14ac:dyDescent="0.25">
      <c r="A1643" t="s">
        <v>1647</v>
      </c>
      <c r="B1643">
        <v>0.98876768158843997</v>
      </c>
      <c r="C1643">
        <v>1.17995737792259</v>
      </c>
      <c r="D1643">
        <v>0.86161949741779298</v>
      </c>
      <c r="E1643">
        <v>0.68403807863777299</v>
      </c>
      <c r="F1643">
        <v>0.948246714228417</v>
      </c>
      <c r="G1643">
        <v>0.60274762262681403</v>
      </c>
      <c r="H1643">
        <v>0.46238945712130602</v>
      </c>
      <c r="I1643">
        <v>0.480926584145773</v>
      </c>
      <c r="J1643">
        <v>0.58221451712482497</v>
      </c>
      <c r="K1643">
        <v>0.53106489926049905</v>
      </c>
      <c r="L1643">
        <v>729.27062480591303</v>
      </c>
      <c r="M1643">
        <v>13.7433760694844</v>
      </c>
      <c r="O1643">
        <v>51.977797619894503</v>
      </c>
      <c r="P1643">
        <v>-3.4084124485544397E-2</v>
      </c>
      <c r="Q1643">
        <v>0.48444523487750801</v>
      </c>
      <c r="R1643">
        <v>0.759334654910786</v>
      </c>
      <c r="S1643" t="s">
        <v>5475</v>
      </c>
      <c r="T1643" t="s">
        <v>7662</v>
      </c>
      <c r="U1643" t="s">
        <v>7662</v>
      </c>
      <c r="V1643" t="s">
        <v>7662</v>
      </c>
      <c r="W1643">
        <v>12</v>
      </c>
      <c r="X1643" t="s">
        <v>9305</v>
      </c>
      <c r="Y1643">
        <v>0.7213706520670885</v>
      </c>
      <c r="Z1643" t="str">
        <f>HYPERLINK("Melting_Curves/meltCurve_sp_Q15365_PCBP1_HUMAN_.pdf", "Melting_Curves/meltCurve_sp_Q15365_PCBP1_HUMAN_.pdf")</f>
        <v>Melting_Curves/meltCurve_sp_Q15365_PCBP1_HUMAN_.pdf</v>
      </c>
      <c r="AA1643" t="s">
        <v>13110</v>
      </c>
      <c r="AB1643" t="s">
        <v>16883</v>
      </c>
    </row>
    <row r="1644" spans="1:28" x14ac:dyDescent="0.25">
      <c r="A1644" t="s">
        <v>1648</v>
      </c>
      <c r="B1644">
        <v>0.98876768158843997</v>
      </c>
      <c r="C1644">
        <v>1.0110091595036099</v>
      </c>
      <c r="D1644">
        <v>0.64704480842157697</v>
      </c>
      <c r="E1644">
        <v>0.46789775208155898</v>
      </c>
      <c r="F1644">
        <v>0.328663736709772</v>
      </c>
      <c r="G1644">
        <v>0.18989854701403999</v>
      </c>
      <c r="H1644">
        <v>0.13935758494481601</v>
      </c>
      <c r="I1644">
        <v>0.109578402816689</v>
      </c>
      <c r="J1644">
        <v>7.8503836691648995E-2</v>
      </c>
      <c r="K1644">
        <v>9.9120185403500399E-2</v>
      </c>
      <c r="L1644">
        <v>740.65954183370297</v>
      </c>
      <c r="M1644">
        <v>15.1818321706376</v>
      </c>
      <c r="N1644">
        <v>49.428249725651398</v>
      </c>
      <c r="O1644">
        <v>47.962974450866703</v>
      </c>
      <c r="P1644">
        <v>-7.2055661682827496E-2</v>
      </c>
      <c r="Q1644">
        <v>8.9524973126291194E-2</v>
      </c>
      <c r="R1644">
        <v>0.980217323129981</v>
      </c>
      <c r="S1644" t="s">
        <v>5476</v>
      </c>
      <c r="T1644" t="s">
        <v>7662</v>
      </c>
      <c r="U1644" t="s">
        <v>7662</v>
      </c>
      <c r="V1644" t="s">
        <v>7662</v>
      </c>
      <c r="W1644">
        <v>1</v>
      </c>
      <c r="X1644" t="s">
        <v>9306</v>
      </c>
      <c r="Y1644">
        <v>0.37831025909652921</v>
      </c>
      <c r="Z1644" t="str">
        <f>HYPERLINK("Melting_Curves/meltCurve_sp_Q15382_RHEB_HUMAN_.pdf", "Melting_Curves/meltCurve_sp_Q15382_RHEB_HUMAN_.pdf")</f>
        <v>Melting_Curves/meltCurve_sp_Q15382_RHEB_HUMAN_.pdf</v>
      </c>
      <c r="AA1644" t="s">
        <v>13111</v>
      </c>
      <c r="AB1644" t="s">
        <v>16884</v>
      </c>
    </row>
    <row r="1645" spans="1:28" x14ac:dyDescent="0.25">
      <c r="A1645" t="s">
        <v>1649</v>
      </c>
      <c r="B1645">
        <v>0.98876768158843997</v>
      </c>
      <c r="C1645">
        <v>0.95696474271475296</v>
      </c>
      <c r="D1645">
        <v>1.0931438325764999</v>
      </c>
      <c r="E1645">
        <v>0.80066995108853201</v>
      </c>
      <c r="F1645">
        <v>0.168030778982516</v>
      </c>
      <c r="G1645">
        <v>9.4159680648185196E-2</v>
      </c>
      <c r="H1645">
        <v>7.1065889222515194E-2</v>
      </c>
      <c r="I1645">
        <v>5.2225787751684703E-2</v>
      </c>
      <c r="J1645">
        <v>0.121339735311994</v>
      </c>
      <c r="K1645">
        <v>6.6817528047184604E-2</v>
      </c>
      <c r="L1645">
        <v>3153.79439714507</v>
      </c>
      <c r="M1645">
        <v>61.782628693026098</v>
      </c>
      <c r="N1645">
        <v>51.193175937118603</v>
      </c>
      <c r="O1645">
        <v>50.993224145819603</v>
      </c>
      <c r="P1645">
        <v>-0.27834740936896601</v>
      </c>
      <c r="Q1645">
        <v>8.1047466903052701E-2</v>
      </c>
      <c r="R1645">
        <v>0.99255289232960497</v>
      </c>
      <c r="S1645" t="s">
        <v>5477</v>
      </c>
      <c r="T1645" t="s">
        <v>7662</v>
      </c>
      <c r="U1645" t="s">
        <v>7662</v>
      </c>
      <c r="V1645" t="s">
        <v>7662</v>
      </c>
      <c r="W1645">
        <v>3</v>
      </c>
      <c r="X1645" t="s">
        <v>9307</v>
      </c>
      <c r="Y1645">
        <v>0.4207773848514223</v>
      </c>
      <c r="Z1645" t="str">
        <f>HYPERLINK("Melting_Curves/meltCurve_sp_Q15386_UBE3C_HUMAN_.pdf", "Melting_Curves/meltCurve_sp_Q15386_UBE3C_HUMAN_.pdf")</f>
        <v>Melting_Curves/meltCurve_sp_Q15386_UBE3C_HUMAN_.pdf</v>
      </c>
      <c r="AA1645" t="s">
        <v>13112</v>
      </c>
      <c r="AB1645" t="s">
        <v>16885</v>
      </c>
    </row>
    <row r="1646" spans="1:28" x14ac:dyDescent="0.25">
      <c r="A1646" t="s">
        <v>1650</v>
      </c>
      <c r="B1646">
        <v>0.98876768158843997</v>
      </c>
      <c r="C1646">
        <v>0.91515492617142202</v>
      </c>
      <c r="D1646">
        <v>1.0361600074061801</v>
      </c>
      <c r="E1646">
        <v>0.77251709288531201</v>
      </c>
      <c r="F1646">
        <v>0.43446893294419497</v>
      </c>
      <c r="G1646">
        <v>0.175089213471744</v>
      </c>
      <c r="H1646">
        <v>7.0652588574569394E-2</v>
      </c>
      <c r="I1646">
        <v>6.0595571521530202E-2</v>
      </c>
      <c r="J1646">
        <v>7.2931619360061206E-2</v>
      </c>
      <c r="K1646">
        <v>4.7393720893815099E-2</v>
      </c>
      <c r="L1646">
        <v>1376.3052661939801</v>
      </c>
      <c r="M1646">
        <v>26.341765341440301</v>
      </c>
      <c r="N1646">
        <v>52.496534726225001</v>
      </c>
      <c r="O1646">
        <v>51.949700514761602</v>
      </c>
      <c r="P1646">
        <v>-0.119336331803825</v>
      </c>
      <c r="Q1646">
        <v>5.8617561027112602E-2</v>
      </c>
      <c r="R1646">
        <v>0.99286328642018296</v>
      </c>
      <c r="S1646" t="s">
        <v>5478</v>
      </c>
      <c r="T1646" t="s">
        <v>7662</v>
      </c>
      <c r="U1646" t="s">
        <v>7662</v>
      </c>
      <c r="V1646" t="s">
        <v>7662</v>
      </c>
      <c r="W1646">
        <v>10</v>
      </c>
      <c r="X1646" t="s">
        <v>9308</v>
      </c>
      <c r="Y1646">
        <v>0.45074278005991858</v>
      </c>
      <c r="Z1646" t="str">
        <f>HYPERLINK("Melting_Curves/meltCurve_sp_Q15393_SF3B3_HUMAN_.pdf", "Melting_Curves/meltCurve_sp_Q15393_SF3B3_HUMAN_.pdf")</f>
        <v>Melting_Curves/meltCurve_sp_Q15393_SF3B3_HUMAN_.pdf</v>
      </c>
      <c r="AA1646" t="s">
        <v>13113</v>
      </c>
      <c r="AB1646" t="s">
        <v>16886</v>
      </c>
    </row>
    <row r="1647" spans="1:28" x14ac:dyDescent="0.25">
      <c r="A1647" t="s">
        <v>1651</v>
      </c>
      <c r="B1647">
        <v>0.98876768158843997</v>
      </c>
      <c r="C1647">
        <v>0.95314001232073597</v>
      </c>
      <c r="D1647">
        <v>0.90219585743916397</v>
      </c>
      <c r="E1647">
        <v>0.76425235124667101</v>
      </c>
      <c r="F1647">
        <v>0.94089637856186703</v>
      </c>
      <c r="G1647">
        <v>0.43069655863203399</v>
      </c>
      <c r="H1647">
        <v>0.18891650636076801</v>
      </c>
      <c r="I1647">
        <v>0.104074300841752</v>
      </c>
      <c r="J1647">
        <v>6.9798573011529697E-2</v>
      </c>
      <c r="K1647">
        <v>5.5468963303734999E-2</v>
      </c>
      <c r="L1647">
        <v>1232.60546824064</v>
      </c>
      <c r="M1647">
        <v>21.8310761207564</v>
      </c>
      <c r="N1647">
        <v>56.650463233393801</v>
      </c>
      <c r="O1647">
        <v>55.993703586552201</v>
      </c>
      <c r="P1647">
        <v>-9.40426406545182E-2</v>
      </c>
      <c r="Q1647">
        <v>3.5196520468809597E-2</v>
      </c>
      <c r="R1647">
        <v>0.959001805942158</v>
      </c>
      <c r="S1647" t="s">
        <v>5479</v>
      </c>
      <c r="T1647" t="s">
        <v>7662</v>
      </c>
      <c r="U1647" t="s">
        <v>7662</v>
      </c>
      <c r="V1647" t="s">
        <v>7662</v>
      </c>
      <c r="W1647">
        <v>11</v>
      </c>
      <c r="X1647" t="s">
        <v>9309</v>
      </c>
      <c r="Y1647">
        <v>0.57539427914445795</v>
      </c>
      <c r="Z1647" t="str">
        <f>HYPERLINK("Melting_Curves/meltCurve_sp_Q15404_RSU1_HUMAN_.pdf", "Melting_Curves/meltCurve_sp_Q15404_RSU1_HUMAN_.pdf")</f>
        <v>Melting_Curves/meltCurve_sp_Q15404_RSU1_HUMAN_.pdf</v>
      </c>
      <c r="AA1647" t="s">
        <v>13114</v>
      </c>
      <c r="AB1647" t="s">
        <v>16887</v>
      </c>
    </row>
    <row r="1648" spans="1:28" x14ac:dyDescent="0.25">
      <c r="A1648" t="s">
        <v>1652</v>
      </c>
      <c r="B1648">
        <v>0.98876768158843997</v>
      </c>
      <c r="C1648">
        <v>1.0415899478875701</v>
      </c>
      <c r="D1648">
        <v>0.85501460179992095</v>
      </c>
      <c r="E1648">
        <v>0.57777570184190796</v>
      </c>
      <c r="F1648">
        <v>0.74860162145600295</v>
      </c>
      <c r="G1648">
        <v>0.36264901510359698</v>
      </c>
      <c r="H1648">
        <v>0.19508220387273301</v>
      </c>
      <c r="I1648">
        <v>0.1851264064882</v>
      </c>
      <c r="J1648">
        <v>0.23693828696691899</v>
      </c>
      <c r="K1648">
        <v>0.22738923538771699</v>
      </c>
      <c r="L1648">
        <v>673.62952378424495</v>
      </c>
      <c r="M1648">
        <v>12.7561302736377</v>
      </c>
      <c r="N1648">
        <v>54.282164032415302</v>
      </c>
      <c r="O1648">
        <v>51.560938404251097</v>
      </c>
      <c r="P1648">
        <v>-5.2806943929977798E-2</v>
      </c>
      <c r="Q1648">
        <v>0.14636862732143699</v>
      </c>
      <c r="R1648">
        <v>0.92917900800445496</v>
      </c>
      <c r="S1648" t="s">
        <v>5480</v>
      </c>
      <c r="T1648" t="s">
        <v>7662</v>
      </c>
      <c r="U1648" t="s">
        <v>7662</v>
      </c>
      <c r="V1648" t="s">
        <v>7662</v>
      </c>
      <c r="W1648">
        <v>7</v>
      </c>
      <c r="X1648" t="s">
        <v>9310</v>
      </c>
      <c r="Y1648">
        <v>0.53375938518293287</v>
      </c>
      <c r="Z1648" t="str">
        <f>HYPERLINK("Melting_Curves/meltCurve_sp_Q15417_CNN3_HUMAN_.pdf", "Melting_Curves/meltCurve_sp_Q15417_CNN3_HUMAN_.pdf")</f>
        <v>Melting_Curves/meltCurve_sp_Q15417_CNN3_HUMAN_.pdf</v>
      </c>
      <c r="AA1648" t="s">
        <v>13115</v>
      </c>
      <c r="AB1648" t="s">
        <v>16888</v>
      </c>
    </row>
    <row r="1649" spans="1:28" x14ac:dyDescent="0.25">
      <c r="A1649" t="s">
        <v>1653</v>
      </c>
      <c r="B1649">
        <v>0.98876768158843997</v>
      </c>
      <c r="C1649">
        <v>1.0707990731385</v>
      </c>
      <c r="D1649">
        <v>0.91104284731000096</v>
      </c>
      <c r="E1649">
        <v>0.75738483365543596</v>
      </c>
      <c r="F1649">
        <v>0.77703325162137504</v>
      </c>
      <c r="G1649">
        <v>0.60016838508121895</v>
      </c>
      <c r="H1649">
        <v>0.476532186442709</v>
      </c>
      <c r="I1649">
        <v>0.54550773262556995</v>
      </c>
      <c r="J1649">
        <v>0.72542318622801105</v>
      </c>
      <c r="K1649">
        <v>0.80482646754934895</v>
      </c>
      <c r="L1649">
        <v>1152.25359754582</v>
      </c>
      <c r="M1649">
        <v>23.462512398336202</v>
      </c>
      <c r="O1649">
        <v>48.757822802453198</v>
      </c>
      <c r="P1649">
        <v>-4.35296190695997E-2</v>
      </c>
      <c r="Q1649">
        <v>0.63816786370661605</v>
      </c>
      <c r="R1649">
        <v>0.72665582314627197</v>
      </c>
      <c r="S1649" t="s">
        <v>5481</v>
      </c>
      <c r="T1649" t="s">
        <v>7662</v>
      </c>
      <c r="U1649" t="s">
        <v>7662</v>
      </c>
      <c r="V1649" t="s">
        <v>7662</v>
      </c>
      <c r="W1649">
        <v>8</v>
      </c>
      <c r="X1649" t="s">
        <v>9311</v>
      </c>
      <c r="Y1649">
        <v>0.75170460393461735</v>
      </c>
      <c r="Z1649" t="str">
        <f>HYPERLINK("Melting_Curves/meltCurve_sp_Q15424_SAFB1_HUMAN_.pdf", "Melting_Curves/meltCurve_sp_Q15424_SAFB1_HUMAN_.pdf")</f>
        <v>Melting_Curves/meltCurve_sp_Q15424_SAFB1_HUMAN_.pdf</v>
      </c>
      <c r="AA1649" t="s">
        <v>13116</v>
      </c>
      <c r="AB1649" t="s">
        <v>16889</v>
      </c>
    </row>
    <row r="1650" spans="1:28" x14ac:dyDescent="0.25">
      <c r="A1650" t="s">
        <v>1654</v>
      </c>
      <c r="B1650">
        <v>0.98876768158843997</v>
      </c>
      <c r="C1650">
        <v>0.97129849358223697</v>
      </c>
      <c r="D1650">
        <v>0.88644742655334896</v>
      </c>
      <c r="E1650">
        <v>0.65662542903752497</v>
      </c>
      <c r="F1650">
        <v>0.31433366655102901</v>
      </c>
      <c r="G1650">
        <v>0.160653115287792</v>
      </c>
      <c r="H1650">
        <v>8.1601398094187594E-2</v>
      </c>
      <c r="I1650">
        <v>5.6583022428585997E-2</v>
      </c>
      <c r="J1650">
        <v>7.6684016117079201E-2</v>
      </c>
      <c r="K1650">
        <v>4.6157918029049699E-2</v>
      </c>
      <c r="L1650">
        <v>1075.7019986083101</v>
      </c>
      <c r="M1650">
        <v>21.0989196403976</v>
      </c>
      <c r="N1650">
        <v>51.257013028116702</v>
      </c>
      <c r="O1650">
        <v>50.532380369664303</v>
      </c>
      <c r="P1650">
        <v>-9.8833191217276906E-2</v>
      </c>
      <c r="Q1650">
        <v>5.31942014062501E-2</v>
      </c>
      <c r="R1650">
        <v>0.99749045547542803</v>
      </c>
      <c r="S1650" t="s">
        <v>5482</v>
      </c>
      <c r="T1650" t="s">
        <v>7662</v>
      </c>
      <c r="U1650" t="s">
        <v>7662</v>
      </c>
      <c r="V1650" t="s">
        <v>7662</v>
      </c>
      <c r="W1650">
        <v>12</v>
      </c>
      <c r="X1650" t="s">
        <v>9312</v>
      </c>
      <c r="Y1650">
        <v>0.41172465238162292</v>
      </c>
      <c r="Z1650" t="str">
        <f>HYPERLINK("Melting_Curves/meltCurve_sp_Q15435_PP1R7_HUMAN_.pdf", "Melting_Curves/meltCurve_sp_Q15435_PP1R7_HUMAN_.pdf")</f>
        <v>Melting_Curves/meltCurve_sp_Q15435_PP1R7_HUMAN_.pdf</v>
      </c>
      <c r="AA1650" t="s">
        <v>13117</v>
      </c>
      <c r="AB1650" t="s">
        <v>16890</v>
      </c>
    </row>
    <row r="1651" spans="1:28" x14ac:dyDescent="0.25">
      <c r="A1651" t="s">
        <v>1655</v>
      </c>
      <c r="B1651">
        <v>0.98876768158843997</v>
      </c>
      <c r="C1651">
        <v>0.86750663031726105</v>
      </c>
      <c r="D1651">
        <v>0.93548376470489103</v>
      </c>
      <c r="E1651">
        <v>0.69404772546093396</v>
      </c>
      <c r="F1651">
        <v>0.40203705399596501</v>
      </c>
      <c r="G1651">
        <v>0.24950333962194099</v>
      </c>
      <c r="H1651">
        <v>8.4252105497409899E-2</v>
      </c>
      <c r="I1651">
        <v>8.2012440251215998E-2</v>
      </c>
      <c r="J1651">
        <v>8.30058341393341E-2</v>
      </c>
      <c r="K1651">
        <v>8.09712817176758E-2</v>
      </c>
      <c r="L1651">
        <v>903.77526626946099</v>
      </c>
      <c r="M1651">
        <v>17.453226072979302</v>
      </c>
      <c r="N1651">
        <v>52.141702084517199</v>
      </c>
      <c r="O1651">
        <v>51.117246233259799</v>
      </c>
      <c r="P1651">
        <v>-8.0530849050319098E-2</v>
      </c>
      <c r="Q1651">
        <v>5.6613173383875101E-2</v>
      </c>
      <c r="R1651">
        <v>0.98738256055461704</v>
      </c>
      <c r="S1651" t="s">
        <v>5483</v>
      </c>
      <c r="T1651" t="s">
        <v>7662</v>
      </c>
      <c r="U1651" t="s">
        <v>7662</v>
      </c>
      <c r="V1651" t="s">
        <v>7662</v>
      </c>
      <c r="W1651">
        <v>11</v>
      </c>
      <c r="X1651" t="s">
        <v>9313</v>
      </c>
      <c r="Y1651">
        <v>0.44373433311018329</v>
      </c>
      <c r="Z1651" t="str">
        <f>HYPERLINK("Melting_Curves/meltCurve_sp_Q15437_SC23B_HUMAN_.pdf", "Melting_Curves/meltCurve_sp_Q15437_SC23B_HUMAN_.pdf")</f>
        <v>Melting_Curves/meltCurve_sp_Q15437_SC23B_HUMAN_.pdf</v>
      </c>
      <c r="AA1651" t="s">
        <v>13118</v>
      </c>
      <c r="AB1651" t="s">
        <v>16891</v>
      </c>
    </row>
    <row r="1652" spans="1:28" x14ac:dyDescent="0.25">
      <c r="A1652" t="s">
        <v>1656</v>
      </c>
      <c r="B1652">
        <v>0.98876768158843997</v>
      </c>
      <c r="C1652">
        <v>1.0137962901516899</v>
      </c>
      <c r="D1652">
        <v>1.0111130638285999</v>
      </c>
      <c r="E1652">
        <v>0.66640386401629104</v>
      </c>
      <c r="F1652">
        <v>0.35697967062815</v>
      </c>
      <c r="G1652">
        <v>0.18313920619454199</v>
      </c>
      <c r="H1652">
        <v>0.111512863705879</v>
      </c>
      <c r="I1652">
        <v>0.11581612940957001</v>
      </c>
      <c r="J1652">
        <v>0.11769660229295401</v>
      </c>
      <c r="K1652">
        <v>0.13593817687439799</v>
      </c>
      <c r="L1652">
        <v>1462.51015612321</v>
      </c>
      <c r="M1652">
        <v>28.663452918249099</v>
      </c>
      <c r="N1652">
        <v>51.528815652876602</v>
      </c>
      <c r="O1652">
        <v>50.777101566806898</v>
      </c>
      <c r="P1652">
        <v>-0.123835421577296</v>
      </c>
      <c r="Q1652">
        <v>0.122512615496858</v>
      </c>
      <c r="R1652">
        <v>0.99713359186975004</v>
      </c>
      <c r="S1652" t="s">
        <v>5484</v>
      </c>
      <c r="T1652" t="s">
        <v>7662</v>
      </c>
      <c r="U1652" t="s">
        <v>7662</v>
      </c>
      <c r="V1652" t="s">
        <v>7662</v>
      </c>
      <c r="W1652">
        <v>9</v>
      </c>
      <c r="X1652" t="s">
        <v>9314</v>
      </c>
      <c r="Y1652">
        <v>0.45099171018212553</v>
      </c>
      <c r="Z1652" t="str">
        <f>HYPERLINK("Melting_Curves/meltCurve_sp_Q15459_SF3A1_HUMAN_.pdf", "Melting_Curves/meltCurve_sp_Q15459_SF3A1_HUMAN_.pdf")</f>
        <v>Melting_Curves/meltCurve_sp_Q15459_SF3A1_HUMAN_.pdf</v>
      </c>
      <c r="AA1652" t="s">
        <v>13119</v>
      </c>
      <c r="AB1652" t="s">
        <v>16892</v>
      </c>
    </row>
    <row r="1653" spans="1:28" x14ac:dyDescent="0.25">
      <c r="A1653" t="s">
        <v>1657</v>
      </c>
      <c r="B1653">
        <v>0.98876768158843997</v>
      </c>
      <c r="C1653">
        <v>0.630404806197013</v>
      </c>
      <c r="D1653">
        <v>0.40531668549205202</v>
      </c>
      <c r="E1653">
        <v>0.22013196002882801</v>
      </c>
      <c r="F1653">
        <v>0.14905196450522201</v>
      </c>
      <c r="G1653">
        <v>0.123647724253068</v>
      </c>
      <c r="H1653">
        <v>6.2992447069660298E-2</v>
      </c>
      <c r="I1653">
        <v>6.4971313801860095E-2</v>
      </c>
      <c r="J1653">
        <v>8.3436535818807001E-2</v>
      </c>
      <c r="K1653">
        <v>9.6279667587031104E-2</v>
      </c>
      <c r="L1653">
        <v>836.97187742820904</v>
      </c>
      <c r="M1653">
        <v>18.8427199589654</v>
      </c>
      <c r="N1653">
        <v>44.885520829835002</v>
      </c>
      <c r="O1653">
        <v>43.927628973927199</v>
      </c>
      <c r="P1653">
        <v>-9.7701622839533098E-2</v>
      </c>
      <c r="Q1653">
        <v>8.8958971941033901E-2</v>
      </c>
      <c r="R1653">
        <v>0.98196388960148795</v>
      </c>
      <c r="S1653" t="s">
        <v>5485</v>
      </c>
      <c r="T1653" t="s">
        <v>7662</v>
      </c>
      <c r="U1653" t="s">
        <v>7662</v>
      </c>
      <c r="V1653" t="s">
        <v>7662</v>
      </c>
      <c r="W1653">
        <v>5</v>
      </c>
      <c r="X1653" t="s">
        <v>9315</v>
      </c>
      <c r="Y1653">
        <v>0.2421987263289504</v>
      </c>
      <c r="Z1653" t="str">
        <f>HYPERLINK("Melting_Curves/meltCurve_sp_Q15477_SKIV2_HUMAN_.pdf", "Melting_Curves/meltCurve_sp_Q15477_SKIV2_HUMAN_.pdf")</f>
        <v>Melting_Curves/meltCurve_sp_Q15477_SKIV2_HUMAN_.pdf</v>
      </c>
      <c r="AA1653" t="s">
        <v>13120</v>
      </c>
      <c r="AB1653" t="s">
        <v>16893</v>
      </c>
    </row>
    <row r="1654" spans="1:28" x14ac:dyDescent="0.25">
      <c r="A1654" t="s">
        <v>1658</v>
      </c>
      <c r="B1654">
        <v>0.98876768158843997</v>
      </c>
      <c r="C1654">
        <v>1.1521634843217099</v>
      </c>
      <c r="D1654">
        <v>0.86806666853097303</v>
      </c>
      <c r="E1654">
        <v>0.82780547461937903</v>
      </c>
      <c r="F1654">
        <v>1.0644809933253201</v>
      </c>
      <c r="G1654">
        <v>0.76256366087980598</v>
      </c>
      <c r="H1654">
        <v>0.52648870139624904</v>
      </c>
      <c r="I1654">
        <v>0.42460463683664501</v>
      </c>
      <c r="J1654">
        <v>0.24178497876845301</v>
      </c>
      <c r="K1654">
        <v>0.116693645515083</v>
      </c>
      <c r="L1654">
        <v>948.85668906129399</v>
      </c>
      <c r="M1654">
        <v>15.3208924930512</v>
      </c>
      <c r="N1654">
        <v>61.932207273152997</v>
      </c>
      <c r="O1654">
        <v>60.905859525570101</v>
      </c>
      <c r="P1654">
        <v>-6.2893448871598701E-2</v>
      </c>
      <c r="Q1654">
        <v>0</v>
      </c>
      <c r="R1654">
        <v>0.92510997322358102</v>
      </c>
      <c r="S1654" t="s">
        <v>5486</v>
      </c>
      <c r="T1654" t="s">
        <v>7662</v>
      </c>
      <c r="U1654" t="s">
        <v>7662</v>
      </c>
      <c r="V1654" t="s">
        <v>7662</v>
      </c>
      <c r="W1654">
        <v>26</v>
      </c>
      <c r="X1654" t="s">
        <v>9316</v>
      </c>
      <c r="Y1654">
        <v>0.72925209691267945</v>
      </c>
      <c r="Z1654" t="str">
        <f>HYPERLINK("Melting_Curves/meltCurve_sp_Q15493_RGN_HUMAN_.pdf", "Melting_Curves/meltCurve_sp_Q15493_RGN_HUMAN_.pdf")</f>
        <v>Melting_Curves/meltCurve_sp_Q15493_RGN_HUMAN_.pdf</v>
      </c>
      <c r="AA1654" t="s">
        <v>13121</v>
      </c>
      <c r="AB1654" t="s">
        <v>16894</v>
      </c>
    </row>
    <row r="1655" spans="1:28" x14ac:dyDescent="0.25">
      <c r="A1655" t="s">
        <v>1659</v>
      </c>
      <c r="B1655">
        <v>0.98876768158843997</v>
      </c>
      <c r="C1655">
        <v>1.0471749594087501</v>
      </c>
      <c r="D1655">
        <v>0.75064708023488003</v>
      </c>
      <c r="E1655">
        <v>0.84009432344300405</v>
      </c>
      <c r="F1655">
        <v>1.0997223646072201</v>
      </c>
      <c r="G1655">
        <v>0.85743274322627305</v>
      </c>
      <c r="H1655">
        <v>0.71581210974063203</v>
      </c>
      <c r="I1655">
        <v>0.75728424429312102</v>
      </c>
      <c r="J1655">
        <v>0.91002245853883901</v>
      </c>
      <c r="K1655">
        <v>1.12080070333342</v>
      </c>
      <c r="L1655">
        <v>11077.896159366201</v>
      </c>
      <c r="M1655">
        <v>250</v>
      </c>
      <c r="O1655">
        <v>44.308749002069902</v>
      </c>
      <c r="P1655">
        <v>-0.16718094807405001</v>
      </c>
      <c r="Q1655">
        <v>0.88147874151305705</v>
      </c>
      <c r="R1655">
        <v>0.14614122136212301</v>
      </c>
      <c r="S1655" t="s">
        <v>5487</v>
      </c>
      <c r="T1655" t="s">
        <v>7662</v>
      </c>
      <c r="U1655" t="s">
        <v>7662</v>
      </c>
      <c r="V1655" t="s">
        <v>7662</v>
      </c>
      <c r="W1655">
        <v>1</v>
      </c>
      <c r="X1655" t="s">
        <v>9317</v>
      </c>
      <c r="Y1655">
        <v>0.89852177303084746</v>
      </c>
      <c r="Z1655" t="str">
        <f>HYPERLINK("Melting_Curves/meltCurve_sp_Q15526_2_SURF1_HUMAN_.pdf", "Melting_Curves/meltCurve_sp_Q15526_2_SURF1_HUMAN_.pdf")</f>
        <v>Melting_Curves/meltCurve_sp_Q15526_2_SURF1_HUMAN_.pdf</v>
      </c>
      <c r="AA1655" t="s">
        <v>13122</v>
      </c>
      <c r="AB1655" t="s">
        <v>16895</v>
      </c>
    </row>
    <row r="1656" spans="1:28" x14ac:dyDescent="0.25">
      <c r="A1656" t="s">
        <v>1660</v>
      </c>
      <c r="B1656">
        <v>0.98876768158843997</v>
      </c>
      <c r="C1656">
        <v>0.94221185446537603</v>
      </c>
      <c r="D1656">
        <v>0.96012295889567301</v>
      </c>
      <c r="E1656">
        <v>0.84595648208147001</v>
      </c>
      <c r="F1656">
        <v>0.71895061722659404</v>
      </c>
      <c r="G1656">
        <v>0.44092462909152103</v>
      </c>
      <c r="H1656">
        <v>0.27912878508399402</v>
      </c>
      <c r="I1656">
        <v>0.31943877191230402</v>
      </c>
      <c r="J1656">
        <v>0.38278699528924098</v>
      </c>
      <c r="K1656">
        <v>0.465528547482572</v>
      </c>
      <c r="L1656">
        <v>1370.3006347384701</v>
      </c>
      <c r="M1656">
        <v>25.862803343492502</v>
      </c>
      <c r="N1656">
        <v>55.673070650975198</v>
      </c>
      <c r="O1656">
        <v>52.6697295824384</v>
      </c>
      <c r="P1656">
        <v>-7.8975735973591504E-2</v>
      </c>
      <c r="Q1656">
        <v>0.35666962849412198</v>
      </c>
      <c r="R1656">
        <v>0.95731157184511995</v>
      </c>
      <c r="S1656" t="s">
        <v>5488</v>
      </c>
      <c r="T1656" t="s">
        <v>7662</v>
      </c>
      <c r="U1656" t="s">
        <v>7662</v>
      </c>
      <c r="V1656" t="s">
        <v>7662</v>
      </c>
      <c r="W1656">
        <v>2</v>
      </c>
      <c r="X1656" t="s">
        <v>9318</v>
      </c>
      <c r="Y1656">
        <v>0.64064637642090883</v>
      </c>
      <c r="Z1656" t="str">
        <f>HYPERLINK("Melting_Curves/meltCurve_sp_Q15554_TERF2_HUMAN_.pdf", "Melting_Curves/meltCurve_sp_Q15554_TERF2_HUMAN_.pdf")</f>
        <v>Melting_Curves/meltCurve_sp_Q15554_TERF2_HUMAN_.pdf</v>
      </c>
      <c r="AA1656" t="s">
        <v>13123</v>
      </c>
      <c r="AB1656" t="s">
        <v>16896</v>
      </c>
    </row>
    <row r="1657" spans="1:28" x14ac:dyDescent="0.25">
      <c r="A1657" t="s">
        <v>1661</v>
      </c>
      <c r="B1657">
        <v>0.98876768158843997</v>
      </c>
      <c r="C1657">
        <v>1.0128512617688901</v>
      </c>
      <c r="D1657">
        <v>0.80004250245370201</v>
      </c>
      <c r="E1657">
        <v>0.56424251891986299</v>
      </c>
      <c r="F1657">
        <v>0.56604913364854503</v>
      </c>
      <c r="G1657">
        <v>0.42887302637590102</v>
      </c>
      <c r="H1657">
        <v>0.330096202305102</v>
      </c>
      <c r="I1657">
        <v>0.36306056774711998</v>
      </c>
      <c r="J1657">
        <v>0.4785138087186</v>
      </c>
      <c r="K1657">
        <v>0.502141010591727</v>
      </c>
      <c r="L1657">
        <v>1024.2253475125899</v>
      </c>
      <c r="M1657">
        <v>21.4207212879803</v>
      </c>
      <c r="N1657">
        <v>52.467361082994302</v>
      </c>
      <c r="O1657">
        <v>47.403831532514602</v>
      </c>
      <c r="P1657">
        <v>-6.4938589509692599E-2</v>
      </c>
      <c r="Q1657">
        <v>0.42518059482727499</v>
      </c>
      <c r="R1657">
        <v>0.93817822750716595</v>
      </c>
      <c r="S1657" t="s">
        <v>5489</v>
      </c>
      <c r="T1657" t="s">
        <v>7662</v>
      </c>
      <c r="U1657" t="s">
        <v>7662</v>
      </c>
      <c r="V1657" t="s">
        <v>7662</v>
      </c>
      <c r="W1657">
        <v>6</v>
      </c>
      <c r="X1657" t="s">
        <v>9319</v>
      </c>
      <c r="Y1657">
        <v>0.5819963625226241</v>
      </c>
      <c r="Z1657" t="str">
        <f>HYPERLINK("Melting_Curves/meltCurve_sp_Q15555_4_MARE2_HUMAN_.pdf", "Melting_Curves/meltCurve_sp_Q15555_4_MARE2_HUMAN_.pdf")</f>
        <v>Melting_Curves/meltCurve_sp_Q15555_4_MARE2_HUMAN_.pdf</v>
      </c>
      <c r="AA1657" t="s">
        <v>13124</v>
      </c>
      <c r="AB1657" t="s">
        <v>16897</v>
      </c>
    </row>
    <row r="1658" spans="1:28" x14ac:dyDescent="0.25">
      <c r="A1658" t="s">
        <v>1662</v>
      </c>
      <c r="B1658">
        <v>0.98876768158843997</v>
      </c>
      <c r="C1658">
        <v>0.97582336907512002</v>
      </c>
      <c r="D1658">
        <v>0.90130377811421303</v>
      </c>
      <c r="E1658">
        <v>0.70641526555557699</v>
      </c>
      <c r="F1658">
        <v>0.50583725065263896</v>
      </c>
      <c r="G1658">
        <v>0.37340529638159298</v>
      </c>
      <c r="H1658">
        <v>0.26950705267349101</v>
      </c>
      <c r="I1658">
        <v>0.25218704712819401</v>
      </c>
      <c r="J1658">
        <v>0.26702232135937498</v>
      </c>
      <c r="K1658">
        <v>0.26210221771264702</v>
      </c>
      <c r="L1658">
        <v>885.46001237691701</v>
      </c>
      <c r="M1658">
        <v>17.2910389503621</v>
      </c>
      <c r="N1658">
        <v>53.272922334889302</v>
      </c>
      <c r="O1658">
        <v>50.538961464949402</v>
      </c>
      <c r="P1658">
        <v>-6.4657940029463498E-2</v>
      </c>
      <c r="Q1658">
        <v>0.24410412520029801</v>
      </c>
      <c r="R1658">
        <v>0.99851969081135605</v>
      </c>
      <c r="S1658" t="s">
        <v>5490</v>
      </c>
      <c r="T1658" t="s">
        <v>7662</v>
      </c>
      <c r="U1658" t="s">
        <v>7662</v>
      </c>
      <c r="V1658" t="s">
        <v>7662</v>
      </c>
      <c r="W1658">
        <v>2</v>
      </c>
      <c r="X1658" t="s">
        <v>9320</v>
      </c>
      <c r="Y1658">
        <v>0.54017733332825202</v>
      </c>
      <c r="Z1658" t="str">
        <f>HYPERLINK("Melting_Curves/meltCurve_sp_Q15596_NCOA2_HUMAN_.pdf", "Melting_Curves/meltCurve_sp_Q15596_NCOA2_HUMAN_.pdf")</f>
        <v>Melting_Curves/meltCurve_sp_Q15596_NCOA2_HUMAN_.pdf</v>
      </c>
      <c r="AA1658" t="s">
        <v>13125</v>
      </c>
      <c r="AB1658" t="s">
        <v>16898</v>
      </c>
    </row>
    <row r="1659" spans="1:28" x14ac:dyDescent="0.25">
      <c r="A1659" t="s">
        <v>1663</v>
      </c>
      <c r="B1659">
        <v>0.98876768158843997</v>
      </c>
      <c r="C1659">
        <v>1.03283381449391</v>
      </c>
      <c r="D1659">
        <v>0.85455994079064901</v>
      </c>
      <c r="E1659">
        <v>0.73030499800759996</v>
      </c>
      <c r="F1659">
        <v>0.77194827089805695</v>
      </c>
      <c r="G1659">
        <v>0.55679366376056105</v>
      </c>
      <c r="H1659">
        <v>0.443265733222167</v>
      </c>
      <c r="I1659">
        <v>0.53859902294508899</v>
      </c>
      <c r="J1659">
        <v>0.63827294452729399</v>
      </c>
      <c r="K1659">
        <v>0.77999743293344403</v>
      </c>
      <c r="L1659">
        <v>940.30607086477505</v>
      </c>
      <c r="M1659">
        <v>19.3478649466938</v>
      </c>
      <c r="O1659">
        <v>48.089736541737999</v>
      </c>
      <c r="P1659">
        <v>-4.0282415459196703E-2</v>
      </c>
      <c r="Q1659">
        <v>0.59952190672444505</v>
      </c>
      <c r="R1659">
        <v>0.74379139666508698</v>
      </c>
      <c r="S1659" t="s">
        <v>5491</v>
      </c>
      <c r="T1659" t="s">
        <v>7662</v>
      </c>
      <c r="U1659" t="s">
        <v>7662</v>
      </c>
      <c r="V1659" t="s">
        <v>7662</v>
      </c>
      <c r="W1659">
        <v>11</v>
      </c>
      <c r="X1659" t="s">
        <v>9321</v>
      </c>
      <c r="Y1659">
        <v>0.72035912517090306</v>
      </c>
      <c r="Z1659" t="str">
        <f>HYPERLINK("Melting_Curves/meltCurve_sp_Q15599_NHRF2_HUMAN_.pdf", "Melting_Curves/meltCurve_sp_Q15599_NHRF2_HUMAN_.pdf")</f>
        <v>Melting_Curves/meltCurve_sp_Q15599_NHRF2_HUMAN_.pdf</v>
      </c>
      <c r="AA1659" t="s">
        <v>13126</v>
      </c>
      <c r="AB1659" t="s">
        <v>16899</v>
      </c>
    </row>
    <row r="1660" spans="1:28" x14ac:dyDescent="0.25">
      <c r="A1660" t="s">
        <v>1664</v>
      </c>
      <c r="B1660">
        <v>0.98876768158843997</v>
      </c>
      <c r="C1660">
        <v>1.01438269476484</v>
      </c>
      <c r="D1660">
        <v>0.99364314732105197</v>
      </c>
      <c r="E1660">
        <v>0.74256774513981905</v>
      </c>
      <c r="F1660">
        <v>0.57074462041768204</v>
      </c>
      <c r="G1660">
        <v>0.34868773153958799</v>
      </c>
      <c r="H1660">
        <v>0.22396740882118801</v>
      </c>
      <c r="I1660">
        <v>0.37110340151452897</v>
      </c>
      <c r="J1660">
        <v>0.34118010315724301</v>
      </c>
      <c r="K1660">
        <v>0.37381417883363099</v>
      </c>
      <c r="L1660">
        <v>1348.97744953091</v>
      </c>
      <c r="M1660">
        <v>26.2815514597822</v>
      </c>
      <c r="N1660">
        <v>53.448206458643</v>
      </c>
      <c r="O1660">
        <v>51.033517409534802</v>
      </c>
      <c r="P1660">
        <v>-8.7068493388489501E-2</v>
      </c>
      <c r="Q1660">
        <v>0.32372904461055402</v>
      </c>
      <c r="R1660">
        <v>0.97595014857099405</v>
      </c>
      <c r="S1660" t="s">
        <v>5492</v>
      </c>
      <c r="T1660" t="s">
        <v>7662</v>
      </c>
      <c r="U1660" t="s">
        <v>7662</v>
      </c>
      <c r="V1660" t="s">
        <v>7662</v>
      </c>
      <c r="W1660">
        <v>1</v>
      </c>
      <c r="X1660" t="s">
        <v>9322</v>
      </c>
      <c r="Y1660">
        <v>0.58464564944388908</v>
      </c>
      <c r="Z1660" t="str">
        <f>HYPERLINK("Melting_Curves/meltCurve_sp_Q15633_2_TRBP2_HUMAN_.pdf", "Melting_Curves/meltCurve_sp_Q15633_2_TRBP2_HUMAN_.pdf")</f>
        <v>Melting_Curves/meltCurve_sp_Q15633_2_TRBP2_HUMAN_.pdf</v>
      </c>
      <c r="AA1660" t="s">
        <v>13127</v>
      </c>
      <c r="AB1660" t="s">
        <v>16900</v>
      </c>
    </row>
    <row r="1661" spans="1:28" x14ac:dyDescent="0.25">
      <c r="A1661" t="s">
        <v>1665</v>
      </c>
      <c r="B1661">
        <v>0.98876768158843997</v>
      </c>
      <c r="C1661">
        <v>0.98537367251062902</v>
      </c>
      <c r="D1661">
        <v>0.85811983283873705</v>
      </c>
      <c r="E1661">
        <v>0.65775005987174795</v>
      </c>
      <c r="F1661">
        <v>0.68564308815740704</v>
      </c>
      <c r="G1661">
        <v>0.55039454408953603</v>
      </c>
      <c r="H1661">
        <v>0.41878403613866</v>
      </c>
      <c r="I1661">
        <v>0.47373860426523101</v>
      </c>
      <c r="J1661">
        <v>0.63149567003348495</v>
      </c>
      <c r="K1661">
        <v>0.62360811126431104</v>
      </c>
      <c r="L1661">
        <v>945.58866007781705</v>
      </c>
      <c r="M1661">
        <v>19.661615469824401</v>
      </c>
      <c r="O1661">
        <v>47.603906047339898</v>
      </c>
      <c r="P1661">
        <v>-4.7226571168863203E-2</v>
      </c>
      <c r="Q1661">
        <v>0.54264357004696595</v>
      </c>
      <c r="R1661">
        <v>0.87420975431537196</v>
      </c>
      <c r="S1661" t="s">
        <v>5493</v>
      </c>
      <c r="T1661" t="s">
        <v>7662</v>
      </c>
      <c r="U1661" t="s">
        <v>7662</v>
      </c>
      <c r="V1661" t="s">
        <v>7662</v>
      </c>
      <c r="W1661">
        <v>8</v>
      </c>
      <c r="X1661" t="s">
        <v>9323</v>
      </c>
      <c r="Y1661">
        <v>0.67275053249256678</v>
      </c>
      <c r="Z1661" t="str">
        <f>HYPERLINK("Melting_Curves/meltCurve_sp_Q15637_5_SF01_HUMAN_.pdf", "Melting_Curves/meltCurve_sp_Q15637_5_SF01_HUMAN_.pdf")</f>
        <v>Melting_Curves/meltCurve_sp_Q15637_5_SF01_HUMAN_.pdf</v>
      </c>
      <c r="AA1661" t="s">
        <v>13128</v>
      </c>
      <c r="AB1661" t="s">
        <v>16901</v>
      </c>
    </row>
    <row r="1662" spans="1:28" x14ac:dyDescent="0.25">
      <c r="A1662" t="s">
        <v>1666</v>
      </c>
      <c r="B1662">
        <v>0.98876768158843997</v>
      </c>
      <c r="C1662">
        <v>1.0407088848357</v>
      </c>
      <c r="D1662">
        <v>0.88613302375419201</v>
      </c>
      <c r="E1662">
        <v>0.79365287894599301</v>
      </c>
      <c r="F1662">
        <v>0.70997494764495195</v>
      </c>
      <c r="G1662">
        <v>0.49553342647152299</v>
      </c>
      <c r="H1662">
        <v>0.33896634834532102</v>
      </c>
      <c r="I1662">
        <v>0.38121824261130299</v>
      </c>
      <c r="J1662">
        <v>0.48802093413415198</v>
      </c>
      <c r="K1662">
        <v>0.49120712782527398</v>
      </c>
      <c r="L1662">
        <v>989.84626166879798</v>
      </c>
      <c r="M1662">
        <v>19.075269550487299</v>
      </c>
      <c r="N1662">
        <v>57.241849214846098</v>
      </c>
      <c r="O1662">
        <v>51.331371736022099</v>
      </c>
      <c r="P1662">
        <v>-5.4264054286061097E-2</v>
      </c>
      <c r="Q1662">
        <v>0.41592648270574201</v>
      </c>
      <c r="R1662">
        <v>0.94128380996523398</v>
      </c>
      <c r="S1662" t="s">
        <v>5494</v>
      </c>
      <c r="T1662" t="s">
        <v>7662</v>
      </c>
      <c r="U1662" t="s">
        <v>7662</v>
      </c>
      <c r="V1662" t="s">
        <v>7662</v>
      </c>
      <c r="W1662">
        <v>5</v>
      </c>
      <c r="X1662" t="s">
        <v>9324</v>
      </c>
      <c r="Y1662">
        <v>0.65624402278900662</v>
      </c>
      <c r="Z1662" t="str">
        <f>HYPERLINK("Melting_Curves/meltCurve_sp_Q15642_CIP4_HUMAN_.pdf", "Melting_Curves/meltCurve_sp_Q15642_CIP4_HUMAN_.pdf")</f>
        <v>Melting_Curves/meltCurve_sp_Q15642_CIP4_HUMAN_.pdf</v>
      </c>
      <c r="AA1662" t="s">
        <v>13129</v>
      </c>
      <c r="AB1662" t="s">
        <v>16902</v>
      </c>
    </row>
    <row r="1663" spans="1:28" x14ac:dyDescent="0.25">
      <c r="A1663" t="s">
        <v>1667</v>
      </c>
      <c r="B1663">
        <v>0.98876768158843997</v>
      </c>
      <c r="C1663">
        <v>0.994685156801421</v>
      </c>
      <c r="D1663">
        <v>0.93823503102168204</v>
      </c>
      <c r="E1663">
        <v>0.668314302627802</v>
      </c>
      <c r="F1663">
        <v>0.37033460357085901</v>
      </c>
      <c r="G1663">
        <v>0.30377254621317401</v>
      </c>
      <c r="H1663">
        <v>0.23127255183613199</v>
      </c>
      <c r="I1663">
        <v>0.24028577369436699</v>
      </c>
      <c r="J1663">
        <v>0.24725110738887099</v>
      </c>
      <c r="K1663">
        <v>0.303734778271044</v>
      </c>
      <c r="L1663">
        <v>1504.3310374672101</v>
      </c>
      <c r="M1663">
        <v>29.938406061919402</v>
      </c>
      <c r="N1663">
        <v>51.495508024909398</v>
      </c>
      <c r="O1663">
        <v>50.024957327328003</v>
      </c>
      <c r="P1663">
        <v>-0.11102148370124799</v>
      </c>
      <c r="Q1663">
        <v>0.25796890620219198</v>
      </c>
      <c r="R1663">
        <v>0.99498434770367805</v>
      </c>
      <c r="S1663" t="s">
        <v>5495</v>
      </c>
      <c r="T1663" t="s">
        <v>7662</v>
      </c>
      <c r="U1663" t="s">
        <v>7662</v>
      </c>
      <c r="V1663" t="s">
        <v>7662</v>
      </c>
      <c r="W1663">
        <v>13</v>
      </c>
      <c r="X1663" t="s">
        <v>9325</v>
      </c>
      <c r="Y1663">
        <v>0.51606243703051935</v>
      </c>
      <c r="Z1663" t="str">
        <f>HYPERLINK("Melting_Curves/meltCurve_sp_Q15643_TRIPB_HUMAN_.pdf", "Melting_Curves/meltCurve_sp_Q15643_TRIPB_HUMAN_.pdf")</f>
        <v>Melting_Curves/meltCurve_sp_Q15643_TRIPB_HUMAN_.pdf</v>
      </c>
      <c r="AA1663" t="s">
        <v>13130</v>
      </c>
      <c r="AB1663" t="s">
        <v>16903</v>
      </c>
    </row>
    <row r="1664" spans="1:28" x14ac:dyDescent="0.25">
      <c r="A1664" t="s">
        <v>1668</v>
      </c>
      <c r="B1664">
        <v>0.98876768158843997</v>
      </c>
      <c r="C1664">
        <v>1.05733082827058</v>
      </c>
      <c r="D1664">
        <v>0.88063355618582195</v>
      </c>
      <c r="E1664">
        <v>0.67541736569655397</v>
      </c>
      <c r="F1664">
        <v>0.74741901146548395</v>
      </c>
      <c r="G1664">
        <v>0.54569450226790595</v>
      </c>
      <c r="H1664">
        <v>0.44143204433911198</v>
      </c>
      <c r="I1664">
        <v>0.492833497313929</v>
      </c>
      <c r="J1664">
        <v>0.555803485087492</v>
      </c>
      <c r="K1664">
        <v>0.639200060729611</v>
      </c>
      <c r="L1664">
        <v>928.49155793655405</v>
      </c>
      <c r="M1664">
        <v>18.836546333837799</v>
      </c>
      <c r="O1664">
        <v>48.746566620395797</v>
      </c>
      <c r="P1664">
        <v>-4.4874845023408202E-2</v>
      </c>
      <c r="Q1664">
        <v>0.53549788519039099</v>
      </c>
      <c r="R1664">
        <v>0.87826496696867795</v>
      </c>
      <c r="S1664" t="s">
        <v>5496</v>
      </c>
      <c r="T1664" t="s">
        <v>7662</v>
      </c>
      <c r="U1664" t="s">
        <v>7662</v>
      </c>
      <c r="V1664" t="s">
        <v>7662</v>
      </c>
      <c r="W1664">
        <v>3</v>
      </c>
      <c r="X1664" t="s">
        <v>9326</v>
      </c>
      <c r="Y1664">
        <v>0.68668676383376948</v>
      </c>
      <c r="Z1664" t="str">
        <f>HYPERLINK("Melting_Curves/meltCurve_sp_Q15652_2_JHD2C_HUMAN_.pdf", "Melting_Curves/meltCurve_sp_Q15652_2_JHD2C_HUMAN_.pdf")</f>
        <v>Melting_Curves/meltCurve_sp_Q15652_2_JHD2C_HUMAN_.pdf</v>
      </c>
      <c r="AA1664" t="s">
        <v>13131</v>
      </c>
      <c r="AB1664" t="s">
        <v>16904</v>
      </c>
    </row>
    <row r="1665" spans="1:28" x14ac:dyDescent="0.25">
      <c r="A1665" t="s">
        <v>1669</v>
      </c>
      <c r="B1665">
        <v>0.98876768158843997</v>
      </c>
      <c r="C1665">
        <v>1.01965787466394</v>
      </c>
      <c r="D1665">
        <v>0.84205395994531396</v>
      </c>
      <c r="E1665">
        <v>0.64630242006654604</v>
      </c>
      <c r="F1665">
        <v>0.68718965169276502</v>
      </c>
      <c r="G1665">
        <v>0.49686008539870902</v>
      </c>
      <c r="H1665">
        <v>0.368185379804505</v>
      </c>
      <c r="I1665">
        <v>0.38422700652743302</v>
      </c>
      <c r="J1665">
        <v>0.474499825032763</v>
      </c>
      <c r="K1665">
        <v>0.50825451434708002</v>
      </c>
      <c r="L1665">
        <v>775.85323480803004</v>
      </c>
      <c r="M1665">
        <v>15.6034943245098</v>
      </c>
      <c r="N1665">
        <v>56.853941637218803</v>
      </c>
      <c r="O1665">
        <v>48.927820488315902</v>
      </c>
      <c r="P1665">
        <v>-4.5499110882811201E-2</v>
      </c>
      <c r="Q1665">
        <v>0.42936380309619798</v>
      </c>
      <c r="R1665">
        <v>0.92783596612241903</v>
      </c>
      <c r="S1665" t="s">
        <v>5497</v>
      </c>
      <c r="T1665" t="s">
        <v>7662</v>
      </c>
      <c r="U1665" t="s">
        <v>7662</v>
      </c>
      <c r="V1665" t="s">
        <v>7662</v>
      </c>
      <c r="W1665">
        <v>8</v>
      </c>
      <c r="X1665" t="s">
        <v>9327</v>
      </c>
      <c r="Y1665">
        <v>0.62708898957517323</v>
      </c>
      <c r="Z1665" t="str">
        <f>HYPERLINK("Melting_Curves/meltCurve_sp_Q15654_TRIP6_HUMAN_.pdf", "Melting_Curves/meltCurve_sp_Q15654_TRIP6_HUMAN_.pdf")</f>
        <v>Melting_Curves/meltCurve_sp_Q15654_TRIP6_HUMAN_.pdf</v>
      </c>
      <c r="AA1665" t="s">
        <v>13132</v>
      </c>
      <c r="AB1665" t="s">
        <v>16905</v>
      </c>
    </row>
    <row r="1666" spans="1:28" x14ac:dyDescent="0.25">
      <c r="A1666" t="s">
        <v>1670</v>
      </c>
      <c r="B1666">
        <v>0.98876768158843997</v>
      </c>
      <c r="C1666">
        <v>1.1123317557913499</v>
      </c>
      <c r="D1666">
        <v>0.88863119217836894</v>
      </c>
      <c r="E1666">
        <v>0.73893969011728999</v>
      </c>
      <c r="F1666">
        <v>0.74632199307886604</v>
      </c>
      <c r="G1666">
        <v>0.338654712585578</v>
      </c>
      <c r="H1666">
        <v>0.121296181550598</v>
      </c>
      <c r="I1666">
        <v>0.123039384139022</v>
      </c>
      <c r="J1666">
        <v>0.124811088383844</v>
      </c>
      <c r="K1666">
        <v>0.167467570985535</v>
      </c>
      <c r="L1666">
        <v>991.18992016432605</v>
      </c>
      <c r="M1666">
        <v>18.296462274177902</v>
      </c>
      <c r="N1666">
        <v>54.773767893614298</v>
      </c>
      <c r="O1666">
        <v>53.5391436768925</v>
      </c>
      <c r="P1666">
        <v>-7.7681352178413904E-2</v>
      </c>
      <c r="Q1666">
        <v>9.0796756438774703E-2</v>
      </c>
      <c r="R1666">
        <v>0.96357063320212699</v>
      </c>
      <c r="S1666" t="s">
        <v>5498</v>
      </c>
      <c r="T1666" t="s">
        <v>7662</v>
      </c>
      <c r="U1666" t="s">
        <v>7662</v>
      </c>
      <c r="V1666" t="s">
        <v>7662</v>
      </c>
      <c r="W1666">
        <v>9</v>
      </c>
      <c r="X1666" t="s">
        <v>9328</v>
      </c>
      <c r="Y1666">
        <v>0.53449139829323145</v>
      </c>
      <c r="Z1666" t="str">
        <f>HYPERLINK("Melting_Curves/meltCurve_sp_Q15691_MARE1_HUMAN_.pdf", "Melting_Curves/meltCurve_sp_Q15691_MARE1_HUMAN_.pdf")</f>
        <v>Melting_Curves/meltCurve_sp_Q15691_MARE1_HUMAN_.pdf</v>
      </c>
      <c r="AA1666" t="s">
        <v>13133</v>
      </c>
      <c r="AB1666" t="s">
        <v>16906</v>
      </c>
    </row>
    <row r="1667" spans="1:28" x14ac:dyDescent="0.25">
      <c r="A1667" t="s">
        <v>1671</v>
      </c>
      <c r="B1667">
        <v>0.98876768158843997</v>
      </c>
      <c r="C1667">
        <v>1.2112780067581299</v>
      </c>
      <c r="D1667">
        <v>0.90229870021867198</v>
      </c>
      <c r="E1667">
        <v>0.73587487717095701</v>
      </c>
      <c r="F1667">
        <v>1.0008587372117901</v>
      </c>
      <c r="G1667">
        <v>0.75250187055105899</v>
      </c>
      <c r="H1667">
        <v>0.63240116814061298</v>
      </c>
      <c r="I1667">
        <v>0.66204865560951198</v>
      </c>
      <c r="J1667">
        <v>0.863595755024957</v>
      </c>
      <c r="K1667">
        <v>0.89505052349381498</v>
      </c>
      <c r="L1667">
        <v>11505.678058888099</v>
      </c>
      <c r="M1667">
        <v>250</v>
      </c>
      <c r="O1667">
        <v>46.019766884128103</v>
      </c>
      <c r="P1667">
        <v>-0.28281100484433702</v>
      </c>
      <c r="Q1667">
        <v>0.79176165508173901</v>
      </c>
      <c r="R1667">
        <v>0.46114894635680598</v>
      </c>
      <c r="S1667" t="s">
        <v>5499</v>
      </c>
      <c r="T1667" t="s">
        <v>7662</v>
      </c>
      <c r="U1667" t="s">
        <v>7662</v>
      </c>
      <c r="V1667" t="s">
        <v>7662</v>
      </c>
      <c r="W1667">
        <v>3</v>
      </c>
      <c r="X1667" t="s">
        <v>9329</v>
      </c>
      <c r="Y1667">
        <v>0.83358379524289028</v>
      </c>
      <c r="Z1667" t="str">
        <f>HYPERLINK("Melting_Curves/meltCurve_sp_Q15714_2_T22D1_HUMAN_.pdf", "Melting_Curves/meltCurve_sp_Q15714_2_T22D1_HUMAN_.pdf")</f>
        <v>Melting_Curves/meltCurve_sp_Q15714_2_T22D1_HUMAN_.pdf</v>
      </c>
      <c r="AA1667" t="s">
        <v>13134</v>
      </c>
      <c r="AB1667" t="s">
        <v>16907</v>
      </c>
    </row>
    <row r="1668" spans="1:28" x14ac:dyDescent="0.25">
      <c r="A1668" t="s">
        <v>1672</v>
      </c>
      <c r="B1668">
        <v>0.98876768158843997</v>
      </c>
      <c r="C1668">
        <v>1.1683465133184501</v>
      </c>
      <c r="D1668">
        <v>0.869046961814124</v>
      </c>
      <c r="E1668">
        <v>0.68775635174466898</v>
      </c>
      <c r="F1668">
        <v>0.69670190855771896</v>
      </c>
      <c r="G1668">
        <v>0.37800282495440202</v>
      </c>
      <c r="H1668">
        <v>0.203614419780828</v>
      </c>
      <c r="I1668">
        <v>0.17144661792350599</v>
      </c>
      <c r="J1668">
        <v>0.19004161784127199</v>
      </c>
      <c r="K1668">
        <v>0.174150817387344</v>
      </c>
      <c r="L1668">
        <v>799.92706797304902</v>
      </c>
      <c r="M1668">
        <v>14.916104281448099</v>
      </c>
      <c r="N1668">
        <v>54.683066310747598</v>
      </c>
      <c r="O1668">
        <v>52.692196409521301</v>
      </c>
      <c r="P1668">
        <v>-6.1930178416252098E-2</v>
      </c>
      <c r="Q1668">
        <v>0.124999372104995</v>
      </c>
      <c r="R1668">
        <v>0.95253633031715601</v>
      </c>
      <c r="S1668" t="s">
        <v>5500</v>
      </c>
      <c r="T1668" t="s">
        <v>7662</v>
      </c>
      <c r="U1668" t="s">
        <v>7662</v>
      </c>
      <c r="V1668" t="s">
        <v>7662</v>
      </c>
      <c r="W1668">
        <v>7</v>
      </c>
      <c r="X1668" t="s">
        <v>9330</v>
      </c>
      <c r="Y1668">
        <v>0.54092752566682423</v>
      </c>
      <c r="Z1668" t="str">
        <f>HYPERLINK("Melting_Curves/meltCurve_sp_Q15717_ELAV1_HUMAN_.pdf", "Melting_Curves/meltCurve_sp_Q15717_ELAV1_HUMAN_.pdf")</f>
        <v>Melting_Curves/meltCurve_sp_Q15717_ELAV1_HUMAN_.pdf</v>
      </c>
      <c r="AA1668" t="s">
        <v>13135</v>
      </c>
      <c r="AB1668" t="s">
        <v>16908</v>
      </c>
    </row>
    <row r="1669" spans="1:28" x14ac:dyDescent="0.25">
      <c r="A1669" t="s">
        <v>1673</v>
      </c>
      <c r="B1669">
        <v>0.98876768158843997</v>
      </c>
      <c r="C1669">
        <v>1.0982405950310301</v>
      </c>
      <c r="D1669">
        <v>0.86138494124860798</v>
      </c>
      <c r="E1669">
        <v>0.68637067371537097</v>
      </c>
      <c r="F1669">
        <v>0.60379931276637999</v>
      </c>
      <c r="G1669">
        <v>0.356463708671999</v>
      </c>
      <c r="H1669">
        <v>0.23833457349124501</v>
      </c>
      <c r="I1669">
        <v>0.25189088774436802</v>
      </c>
      <c r="J1669">
        <v>0.27906687225181598</v>
      </c>
      <c r="K1669">
        <v>0.30870861101645602</v>
      </c>
      <c r="L1669">
        <v>894.33187171236398</v>
      </c>
      <c r="M1669">
        <v>17.355935630745901</v>
      </c>
      <c r="N1669">
        <v>53.6816802766267</v>
      </c>
      <c r="O1669">
        <v>50.859394923808097</v>
      </c>
      <c r="P1669">
        <v>-6.3927225150173406E-2</v>
      </c>
      <c r="Q1669">
        <v>0.25071978064585898</v>
      </c>
      <c r="R1669">
        <v>0.96833622671650199</v>
      </c>
      <c r="S1669" t="s">
        <v>5501</v>
      </c>
      <c r="T1669" t="s">
        <v>7662</v>
      </c>
      <c r="U1669" t="s">
        <v>7662</v>
      </c>
      <c r="V1669" t="s">
        <v>7662</v>
      </c>
      <c r="W1669">
        <v>42</v>
      </c>
      <c r="X1669" t="s">
        <v>9331</v>
      </c>
      <c r="Y1669">
        <v>0.55203044789559064</v>
      </c>
      <c r="Z1669" t="str">
        <f>HYPERLINK("Melting_Curves/meltCurve_sp_Q15746_6_MYLK_HUMAN_.pdf", "Melting_Curves/meltCurve_sp_Q15746_6_MYLK_HUMAN_.pdf")</f>
        <v>Melting_Curves/meltCurve_sp_Q15746_6_MYLK_HUMAN_.pdf</v>
      </c>
      <c r="AA1669" t="s">
        <v>13136</v>
      </c>
      <c r="AB1669" t="s">
        <v>16909</v>
      </c>
    </row>
    <row r="1670" spans="1:28" x14ac:dyDescent="0.25">
      <c r="A1670" t="s">
        <v>1674</v>
      </c>
      <c r="B1670">
        <v>0.98876768158843997</v>
      </c>
      <c r="C1670">
        <v>0.97611202170054401</v>
      </c>
      <c r="D1670">
        <v>0.88170971799470099</v>
      </c>
      <c r="E1670">
        <v>0.595257383008166</v>
      </c>
      <c r="F1670">
        <v>0.285310141663082</v>
      </c>
      <c r="G1670">
        <v>0.13712292292896799</v>
      </c>
      <c r="H1670">
        <v>7.6289804779673398E-2</v>
      </c>
      <c r="I1670">
        <v>6.6625761901847894E-2</v>
      </c>
      <c r="J1670">
        <v>7.4732449866602699E-2</v>
      </c>
      <c r="K1670">
        <v>6.2889775720029406E-2</v>
      </c>
      <c r="L1670">
        <v>1102.76397060455</v>
      </c>
      <c r="M1670">
        <v>21.862477831712201</v>
      </c>
      <c r="N1670">
        <v>50.742390842002301</v>
      </c>
      <c r="O1670">
        <v>50.024608752756002</v>
      </c>
      <c r="P1670">
        <v>-0.10260715625672399</v>
      </c>
      <c r="Q1670">
        <v>6.0899615143837398E-2</v>
      </c>
      <c r="R1670">
        <v>0.99914782899481303</v>
      </c>
      <c r="S1670" t="s">
        <v>5502</v>
      </c>
      <c r="T1670" t="s">
        <v>7662</v>
      </c>
      <c r="U1670" t="s">
        <v>7662</v>
      </c>
      <c r="V1670" t="s">
        <v>7662</v>
      </c>
      <c r="W1670">
        <v>6</v>
      </c>
      <c r="X1670" t="s">
        <v>9332</v>
      </c>
      <c r="Y1670">
        <v>0.39872416002602579</v>
      </c>
      <c r="Z1670" t="str">
        <f>HYPERLINK("Melting_Curves/meltCurve_sp_Q15750_2_TAB1_HUMAN_.pdf", "Melting_Curves/meltCurve_sp_Q15750_2_TAB1_HUMAN_.pdf")</f>
        <v>Melting_Curves/meltCurve_sp_Q15750_2_TAB1_HUMAN_.pdf</v>
      </c>
      <c r="AA1670" t="s">
        <v>13137</v>
      </c>
      <c r="AB1670" t="s">
        <v>16910</v>
      </c>
    </row>
    <row r="1671" spans="1:28" x14ac:dyDescent="0.25">
      <c r="A1671" t="s">
        <v>1675</v>
      </c>
      <c r="B1671">
        <v>0.98876768158843997</v>
      </c>
      <c r="C1671">
        <v>0.97110387728013703</v>
      </c>
      <c r="D1671">
        <v>0.80204171645836597</v>
      </c>
      <c r="E1671">
        <v>0.31635569621008702</v>
      </c>
      <c r="F1671">
        <v>0.23927669734443499</v>
      </c>
      <c r="G1671">
        <v>0.110804324343538</v>
      </c>
      <c r="H1671">
        <v>8.5413018518690598E-2</v>
      </c>
      <c r="I1671">
        <v>6.9305832223359606E-2</v>
      </c>
      <c r="J1671">
        <v>8.8337188721423099E-2</v>
      </c>
      <c r="K1671">
        <v>7.6468432677102405E-2</v>
      </c>
      <c r="L1671">
        <v>1180.9970903757301</v>
      </c>
      <c r="M1671">
        <v>24.480182140370001</v>
      </c>
      <c r="N1671">
        <v>48.618636627580301</v>
      </c>
      <c r="O1671">
        <v>47.924537316988499</v>
      </c>
      <c r="P1671">
        <v>-0.11669980789751901</v>
      </c>
      <c r="Q1671">
        <v>8.6166910676351405E-2</v>
      </c>
      <c r="R1671">
        <v>0.99523897525998195</v>
      </c>
      <c r="S1671" t="s">
        <v>5503</v>
      </c>
      <c r="T1671" t="s">
        <v>7662</v>
      </c>
      <c r="U1671" t="s">
        <v>7662</v>
      </c>
      <c r="V1671" t="s">
        <v>7662</v>
      </c>
      <c r="W1671">
        <v>6</v>
      </c>
      <c r="X1671" t="s">
        <v>9333</v>
      </c>
      <c r="Y1671">
        <v>0.34569825016905048</v>
      </c>
      <c r="Z1671" t="str">
        <f>HYPERLINK("Melting_Curves/meltCurve_sp_Q15813_TBCE_HUMAN_.pdf", "Melting_Curves/meltCurve_sp_Q15813_TBCE_HUMAN_.pdf")</f>
        <v>Melting_Curves/meltCurve_sp_Q15813_TBCE_HUMAN_.pdf</v>
      </c>
      <c r="AA1671" t="s">
        <v>13138</v>
      </c>
      <c r="AB1671" t="s">
        <v>16911</v>
      </c>
    </row>
    <row r="1672" spans="1:28" x14ac:dyDescent="0.25">
      <c r="A1672" t="s">
        <v>1676</v>
      </c>
      <c r="B1672">
        <v>0.98876768158843997</v>
      </c>
      <c r="C1672">
        <v>0.99514234795036005</v>
      </c>
      <c r="D1672">
        <v>0.83558847518644896</v>
      </c>
      <c r="E1672">
        <v>0.724739588764162</v>
      </c>
      <c r="F1672">
        <v>0.69866455450642295</v>
      </c>
      <c r="G1672">
        <v>0.27767282494698098</v>
      </c>
      <c r="H1672">
        <v>7.6052828710870199E-2</v>
      </c>
      <c r="I1672">
        <v>0.104183886309114</v>
      </c>
      <c r="J1672">
        <v>0</v>
      </c>
      <c r="K1672">
        <v>0.114409189556793</v>
      </c>
      <c r="L1672">
        <v>825.63356177803905</v>
      </c>
      <c r="M1672">
        <v>15.2722317042487</v>
      </c>
      <c r="N1672">
        <v>54.061094864669698</v>
      </c>
      <c r="O1672">
        <v>53.159624337841699</v>
      </c>
      <c r="P1672">
        <v>-7.1829278984820305E-2</v>
      </c>
      <c r="Q1672">
        <v>0</v>
      </c>
      <c r="R1672">
        <v>0.96966940302193705</v>
      </c>
      <c r="S1672" t="s">
        <v>5504</v>
      </c>
      <c r="T1672" t="s">
        <v>7662</v>
      </c>
      <c r="U1672" t="s">
        <v>7662</v>
      </c>
      <c r="V1672" t="s">
        <v>7662</v>
      </c>
      <c r="W1672">
        <v>2</v>
      </c>
      <c r="X1672" t="s">
        <v>9334</v>
      </c>
      <c r="Y1672">
        <v>0.48870080657130388</v>
      </c>
      <c r="Z1672" t="str">
        <f>HYPERLINK("Melting_Curves/meltCurve_sp_Q15814_TBCC_HUMAN_.pdf", "Melting_Curves/meltCurve_sp_Q15814_TBCC_HUMAN_.pdf")</f>
        <v>Melting_Curves/meltCurve_sp_Q15814_TBCC_HUMAN_.pdf</v>
      </c>
      <c r="AA1672" t="s">
        <v>13139</v>
      </c>
      <c r="AB1672" t="s">
        <v>16912</v>
      </c>
    </row>
    <row r="1673" spans="1:28" x14ac:dyDescent="0.25">
      <c r="A1673" t="s">
        <v>1677</v>
      </c>
      <c r="B1673">
        <v>0.98876768158843997</v>
      </c>
      <c r="C1673">
        <v>1.0807794576333301</v>
      </c>
      <c r="D1673">
        <v>0.82571576829394799</v>
      </c>
      <c r="E1673">
        <v>0.70599389852553196</v>
      </c>
      <c r="F1673">
        <v>0.82873160888701902</v>
      </c>
      <c r="G1673">
        <v>0.47402106214644402</v>
      </c>
      <c r="H1673">
        <v>0.19429553162292601</v>
      </c>
      <c r="I1673">
        <v>8.7095161727647696E-2</v>
      </c>
      <c r="J1673">
        <v>4.6564671455672002E-2</v>
      </c>
      <c r="K1673">
        <v>5.12908723707916E-2</v>
      </c>
      <c r="L1673">
        <v>828.63750476047903</v>
      </c>
      <c r="M1673">
        <v>14.796345717140101</v>
      </c>
      <c r="N1673">
        <v>56.002853832678099</v>
      </c>
      <c r="O1673">
        <v>55.009755106292701</v>
      </c>
      <c r="P1673">
        <v>-6.7251362756514901E-2</v>
      </c>
      <c r="Q1673">
        <v>0</v>
      </c>
      <c r="R1673">
        <v>0.95153978958010299</v>
      </c>
      <c r="S1673" t="s">
        <v>5505</v>
      </c>
      <c r="T1673" t="s">
        <v>7662</v>
      </c>
      <c r="U1673" t="s">
        <v>7662</v>
      </c>
      <c r="V1673" t="s">
        <v>7662</v>
      </c>
      <c r="W1673">
        <v>9</v>
      </c>
      <c r="X1673" t="s">
        <v>9335</v>
      </c>
      <c r="Y1673">
        <v>0.5513689128999828</v>
      </c>
      <c r="Z1673" t="str">
        <f>HYPERLINK("Melting_Curves/meltCurve_sp_Q15819_UB2V2_HUMAN_.pdf", "Melting_Curves/meltCurve_sp_Q15819_UB2V2_HUMAN_.pdf")</f>
        <v>Melting_Curves/meltCurve_sp_Q15819_UB2V2_HUMAN_.pdf</v>
      </c>
      <c r="AA1673" t="s">
        <v>13140</v>
      </c>
      <c r="AB1673" t="s">
        <v>16913</v>
      </c>
    </row>
    <row r="1674" spans="1:28" x14ac:dyDescent="0.25">
      <c r="A1674" t="s">
        <v>1678</v>
      </c>
      <c r="B1674">
        <v>0.98876768158843997</v>
      </c>
      <c r="C1674">
        <v>0.92375751780585502</v>
      </c>
      <c r="D1674">
        <v>0.85889062972930896</v>
      </c>
      <c r="E1674">
        <v>0.401546095173548</v>
      </c>
      <c r="F1674">
        <v>0.18572690251474799</v>
      </c>
      <c r="G1674">
        <v>0.110447225295508</v>
      </c>
      <c r="H1674">
        <v>9.5180732631506407E-2</v>
      </c>
      <c r="I1674">
        <v>7.6463778558425094E-2</v>
      </c>
      <c r="J1674">
        <v>9.5072991278430996E-2</v>
      </c>
      <c r="K1674">
        <v>3.7265729103140299E-2</v>
      </c>
      <c r="L1674">
        <v>1217.8309783151799</v>
      </c>
      <c r="M1674">
        <v>24.928195882288001</v>
      </c>
      <c r="N1674">
        <v>49.171659021963499</v>
      </c>
      <c r="O1674">
        <v>48.542421428509797</v>
      </c>
      <c r="P1674">
        <v>-0.11882479279619899</v>
      </c>
      <c r="Q1674">
        <v>7.4467379839940895E-2</v>
      </c>
      <c r="R1674">
        <v>0.99637086138771702</v>
      </c>
      <c r="S1674" t="s">
        <v>5506</v>
      </c>
      <c r="T1674" t="s">
        <v>7662</v>
      </c>
      <c r="U1674" t="s">
        <v>7662</v>
      </c>
      <c r="V1674" t="s">
        <v>7662</v>
      </c>
      <c r="W1674">
        <v>3</v>
      </c>
      <c r="X1674" t="s">
        <v>9336</v>
      </c>
      <c r="Y1674">
        <v>0.35585244610849892</v>
      </c>
      <c r="Z1674" t="str">
        <f>HYPERLINK("Melting_Curves/meltCurve_sp_Q15833_STXB2_HUMAN_.pdf", "Melting_Curves/meltCurve_sp_Q15833_STXB2_HUMAN_.pdf")</f>
        <v>Melting_Curves/meltCurve_sp_Q15833_STXB2_HUMAN_.pdf</v>
      </c>
      <c r="AA1674" t="s">
        <v>13141</v>
      </c>
      <c r="AB1674" t="s">
        <v>16914</v>
      </c>
    </row>
    <row r="1675" spans="1:28" x14ac:dyDescent="0.25">
      <c r="A1675" t="s">
        <v>1679</v>
      </c>
      <c r="B1675">
        <v>0.98876768158843997</v>
      </c>
      <c r="C1675">
        <v>1.11044163310556</v>
      </c>
      <c r="D1675">
        <v>0.89534179023286697</v>
      </c>
      <c r="E1675">
        <v>0.71513311630332199</v>
      </c>
      <c r="F1675">
        <v>0.97635015886549503</v>
      </c>
      <c r="G1675">
        <v>0.68845603510699405</v>
      </c>
      <c r="H1675">
        <v>0.53890348711154801</v>
      </c>
      <c r="I1675">
        <v>0.59609307782438303</v>
      </c>
      <c r="J1675">
        <v>0.68648658989822597</v>
      </c>
      <c r="K1675">
        <v>0.78578055280930104</v>
      </c>
      <c r="L1675">
        <v>775.26671523118705</v>
      </c>
      <c r="M1675">
        <v>15.248162095940399</v>
      </c>
      <c r="O1675">
        <v>49.992870276967203</v>
      </c>
      <c r="P1675">
        <v>-2.63488366655481E-2</v>
      </c>
      <c r="Q1675">
        <v>0.65448184907180196</v>
      </c>
      <c r="R1675">
        <v>0.61996894828519</v>
      </c>
      <c r="S1675" t="s">
        <v>5507</v>
      </c>
      <c r="T1675" t="s">
        <v>7662</v>
      </c>
      <c r="U1675" t="s">
        <v>7662</v>
      </c>
      <c r="V1675" t="s">
        <v>7662</v>
      </c>
      <c r="W1675">
        <v>6</v>
      </c>
      <c r="X1675" t="s">
        <v>9337</v>
      </c>
      <c r="Y1675">
        <v>0.78717147769053453</v>
      </c>
      <c r="Z1675" t="str">
        <f>HYPERLINK("Melting_Curves/meltCurve_sp_Q15847_ADIRF_HUMAN_.pdf", "Melting_Curves/meltCurve_sp_Q15847_ADIRF_HUMAN_.pdf")</f>
        <v>Melting_Curves/meltCurve_sp_Q15847_ADIRF_HUMAN_.pdf</v>
      </c>
      <c r="AA1675" t="s">
        <v>13142</v>
      </c>
      <c r="AB1675" t="s">
        <v>16915</v>
      </c>
    </row>
    <row r="1676" spans="1:28" x14ac:dyDescent="0.25">
      <c r="A1676" t="s">
        <v>1680</v>
      </c>
      <c r="B1676">
        <v>0.98876768158843997</v>
      </c>
      <c r="C1676">
        <v>0.98973302289346499</v>
      </c>
      <c r="D1676">
        <v>0.88862872958649397</v>
      </c>
      <c r="E1676">
        <v>0.69081124665197702</v>
      </c>
      <c r="F1676">
        <v>0.33102001232475098</v>
      </c>
      <c r="G1676">
        <v>0.125016485651579</v>
      </c>
      <c r="H1676">
        <v>5.5865385774936202E-2</v>
      </c>
      <c r="I1676">
        <v>4.1563450854982899E-2</v>
      </c>
      <c r="J1676">
        <v>4.0766011256008698E-2</v>
      </c>
      <c r="K1676">
        <v>3.3979769691502897E-2</v>
      </c>
      <c r="L1676">
        <v>1156.85995462906</v>
      </c>
      <c r="M1676">
        <v>22.529353417748101</v>
      </c>
      <c r="N1676">
        <v>51.4929344711773</v>
      </c>
      <c r="O1676">
        <v>50.9495986068031</v>
      </c>
      <c r="P1676">
        <v>-0.107176189368779</v>
      </c>
      <c r="Q1676">
        <v>3.05144038012258E-2</v>
      </c>
      <c r="R1676">
        <v>0.99769648241331799</v>
      </c>
      <c r="S1676" t="s">
        <v>5508</v>
      </c>
      <c r="T1676" t="s">
        <v>7662</v>
      </c>
      <c r="U1676" t="s">
        <v>7662</v>
      </c>
      <c r="V1676" t="s">
        <v>7662</v>
      </c>
      <c r="W1676">
        <v>7</v>
      </c>
      <c r="X1676" t="s">
        <v>9338</v>
      </c>
      <c r="Y1676">
        <v>0.40802104473867912</v>
      </c>
      <c r="Z1676" t="str">
        <f>HYPERLINK("Melting_Curves/meltCurve_sp_Q15907_RB11B_HUMAN_.pdf", "Melting_Curves/meltCurve_sp_Q15907_RB11B_HUMAN_.pdf")</f>
        <v>Melting_Curves/meltCurve_sp_Q15907_RB11B_HUMAN_.pdf</v>
      </c>
      <c r="AA1676" t="s">
        <v>13143</v>
      </c>
      <c r="AB1676" t="s">
        <v>16916</v>
      </c>
    </row>
    <row r="1677" spans="1:28" x14ac:dyDescent="0.25">
      <c r="A1677" t="s">
        <v>1681</v>
      </c>
      <c r="B1677">
        <v>0.98876768158843997</v>
      </c>
      <c r="C1677">
        <v>1.07409791615437</v>
      </c>
      <c r="D1677">
        <v>0.87594984779254703</v>
      </c>
      <c r="E1677">
        <v>0.75906773785154202</v>
      </c>
      <c r="F1677">
        <v>0.88386790537664095</v>
      </c>
      <c r="G1677">
        <v>0.62852939772595895</v>
      </c>
      <c r="H1677">
        <v>0.48257408714327199</v>
      </c>
      <c r="I1677">
        <v>0.60002250073553698</v>
      </c>
      <c r="J1677">
        <v>0.70178170516675198</v>
      </c>
      <c r="K1677">
        <v>0.826453096178836</v>
      </c>
      <c r="L1677">
        <v>898.55531990053601</v>
      </c>
      <c r="M1677">
        <v>18.1645244642454</v>
      </c>
      <c r="O1677">
        <v>48.879732541892601</v>
      </c>
      <c r="P1677">
        <v>-3.1951459929637299E-2</v>
      </c>
      <c r="Q1677">
        <v>0.65609787643102602</v>
      </c>
      <c r="R1677">
        <v>0.64322677729882005</v>
      </c>
      <c r="S1677" t="s">
        <v>5509</v>
      </c>
      <c r="T1677" t="s">
        <v>7662</v>
      </c>
      <c r="U1677" t="s">
        <v>7662</v>
      </c>
      <c r="V1677" t="s">
        <v>7662</v>
      </c>
      <c r="W1677">
        <v>10</v>
      </c>
      <c r="X1677" t="s">
        <v>9339</v>
      </c>
      <c r="Y1677">
        <v>0.7704339541098143</v>
      </c>
      <c r="Z1677" t="str">
        <f>HYPERLINK("Melting_Curves/meltCurve_sp_Q15942_ZYX_HUMAN_.pdf", "Melting_Curves/meltCurve_sp_Q15942_ZYX_HUMAN_.pdf")</f>
        <v>Melting_Curves/meltCurve_sp_Q15942_ZYX_HUMAN_.pdf</v>
      </c>
      <c r="AA1677" t="s">
        <v>13144</v>
      </c>
      <c r="AB1677" t="s">
        <v>16917</v>
      </c>
    </row>
    <row r="1678" spans="1:28" x14ac:dyDescent="0.25">
      <c r="A1678" t="s">
        <v>1682</v>
      </c>
      <c r="B1678">
        <v>0.98876768158843997</v>
      </c>
      <c r="C1678">
        <v>0.951427846172749</v>
      </c>
      <c r="D1678">
        <v>1.0732251020094701</v>
      </c>
      <c r="E1678">
        <v>0.90049564510609503</v>
      </c>
      <c r="F1678">
        <v>0.41673576972638599</v>
      </c>
      <c r="G1678">
        <v>0.14991835295384501</v>
      </c>
      <c r="H1678">
        <v>9.4075196726823504E-2</v>
      </c>
      <c r="I1678">
        <v>9.8571281054659496E-2</v>
      </c>
      <c r="J1678">
        <v>0.106489502612304</v>
      </c>
      <c r="K1678">
        <v>0.10584364984071901</v>
      </c>
      <c r="L1678">
        <v>2358.3315122961499</v>
      </c>
      <c r="M1678">
        <v>45.108440510777797</v>
      </c>
      <c r="N1678">
        <v>52.558874477097604</v>
      </c>
      <c r="O1678">
        <v>52.178939481999798</v>
      </c>
      <c r="P1678">
        <v>-0.19322335305132099</v>
      </c>
      <c r="Q1678">
        <v>0.10596096121908399</v>
      </c>
      <c r="R1678">
        <v>0.99474794316610005</v>
      </c>
      <c r="S1678" t="s">
        <v>5510</v>
      </c>
      <c r="T1678" t="s">
        <v>7662</v>
      </c>
      <c r="U1678" t="s">
        <v>7662</v>
      </c>
      <c r="V1678" t="s">
        <v>7662</v>
      </c>
      <c r="W1678">
        <v>19</v>
      </c>
      <c r="X1678" t="s">
        <v>9340</v>
      </c>
      <c r="Y1678">
        <v>0.47449783050202521</v>
      </c>
      <c r="Z1678" t="str">
        <f>HYPERLINK("Melting_Curves/meltCurve_sp_Q16181_SEPT7_HUMAN_.pdf", "Melting_Curves/meltCurve_sp_Q16181_SEPT7_HUMAN_.pdf")</f>
        <v>Melting_Curves/meltCurve_sp_Q16181_SEPT7_HUMAN_.pdf</v>
      </c>
      <c r="AA1678" t="s">
        <v>13145</v>
      </c>
      <c r="AB1678" t="s">
        <v>16918</v>
      </c>
    </row>
    <row r="1679" spans="1:28" x14ac:dyDescent="0.25">
      <c r="A1679" t="s">
        <v>1683</v>
      </c>
      <c r="B1679">
        <v>0.98876768158843997</v>
      </c>
      <c r="C1679">
        <v>0.93193157233156898</v>
      </c>
      <c r="D1679">
        <v>0.83706587750863004</v>
      </c>
      <c r="E1679">
        <v>0.545164487261527</v>
      </c>
      <c r="F1679">
        <v>0.597581998024866</v>
      </c>
      <c r="G1679">
        <v>0.43938316905518998</v>
      </c>
      <c r="H1679">
        <v>0.325661774051969</v>
      </c>
      <c r="I1679">
        <v>0.36764897289260601</v>
      </c>
      <c r="J1679">
        <v>0.51084256781709403</v>
      </c>
      <c r="K1679">
        <v>0.58905240957424998</v>
      </c>
      <c r="L1679">
        <v>1008.50636364403</v>
      </c>
      <c r="M1679">
        <v>21.2347101034776</v>
      </c>
      <c r="N1679">
        <v>53.406894006839998</v>
      </c>
      <c r="O1679">
        <v>47.078090704030501</v>
      </c>
      <c r="P1679">
        <v>-6.1753467996413298E-2</v>
      </c>
      <c r="Q1679">
        <v>0.452375468408032</v>
      </c>
      <c r="R1679">
        <v>0.87811074523391197</v>
      </c>
      <c r="S1679" t="s">
        <v>5511</v>
      </c>
      <c r="T1679" t="s">
        <v>7662</v>
      </c>
      <c r="U1679" t="s">
        <v>7662</v>
      </c>
      <c r="V1679" t="s">
        <v>7662</v>
      </c>
      <c r="W1679">
        <v>2</v>
      </c>
      <c r="X1679" t="s">
        <v>9341</v>
      </c>
      <c r="Y1679">
        <v>0.59607933990082196</v>
      </c>
      <c r="Z1679" t="str">
        <f>HYPERLINK("Melting_Curves/meltCurve_sp_Q16186_ADRM1_HUMAN_.pdf", "Melting_Curves/meltCurve_sp_Q16186_ADRM1_HUMAN_.pdf")</f>
        <v>Melting_Curves/meltCurve_sp_Q16186_ADRM1_HUMAN_.pdf</v>
      </c>
      <c r="AA1679" t="s">
        <v>13146</v>
      </c>
      <c r="AB1679" t="s">
        <v>16919</v>
      </c>
    </row>
    <row r="1680" spans="1:28" x14ac:dyDescent="0.25">
      <c r="A1680" t="s">
        <v>1684</v>
      </c>
      <c r="B1680">
        <v>0.98876768158843997</v>
      </c>
      <c r="C1680">
        <v>0.99186093676352005</v>
      </c>
      <c r="D1680">
        <v>0.89831986607549597</v>
      </c>
      <c r="E1680">
        <v>0.70458757399451699</v>
      </c>
      <c r="F1680">
        <v>0.66971398812039296</v>
      </c>
      <c r="G1680">
        <v>0.44358248767663</v>
      </c>
      <c r="H1680">
        <v>0.34231391033837599</v>
      </c>
      <c r="I1680">
        <v>0.360970989780245</v>
      </c>
      <c r="J1680">
        <v>0.47688143108056302</v>
      </c>
      <c r="K1680">
        <v>0.49627082256747801</v>
      </c>
      <c r="L1680">
        <v>917.93657521931095</v>
      </c>
      <c r="M1680">
        <v>18.1489488935079</v>
      </c>
      <c r="N1680">
        <v>55.8659539148695</v>
      </c>
      <c r="O1680">
        <v>49.975885833986801</v>
      </c>
      <c r="P1680">
        <v>-5.3542540466846603E-2</v>
      </c>
      <c r="Q1680">
        <v>0.41027813899037602</v>
      </c>
      <c r="R1680">
        <v>0.94365541590884805</v>
      </c>
      <c r="S1680" t="s">
        <v>5512</v>
      </c>
      <c r="T1680" t="s">
        <v>7662</v>
      </c>
      <c r="U1680" t="s">
        <v>7662</v>
      </c>
      <c r="V1680" t="s">
        <v>7662</v>
      </c>
      <c r="W1680">
        <v>7</v>
      </c>
      <c r="X1680" t="s">
        <v>9342</v>
      </c>
      <c r="Y1680">
        <v>0.62804772912924756</v>
      </c>
      <c r="Z1680" t="str">
        <f>HYPERLINK("Melting_Curves/meltCurve_sp_Q16204_CCDC6_HUMAN_.pdf", "Melting_Curves/meltCurve_sp_Q16204_CCDC6_HUMAN_.pdf")</f>
        <v>Melting_Curves/meltCurve_sp_Q16204_CCDC6_HUMAN_.pdf</v>
      </c>
      <c r="AA1680" t="s">
        <v>13147</v>
      </c>
      <c r="AB1680" t="s">
        <v>16920</v>
      </c>
    </row>
    <row r="1681" spans="1:28" x14ac:dyDescent="0.25">
      <c r="A1681" t="s">
        <v>1685</v>
      </c>
      <c r="B1681">
        <v>0.98876768158843997</v>
      </c>
      <c r="C1681">
        <v>1.0599688962217999</v>
      </c>
      <c r="D1681">
        <v>0.80359532341706397</v>
      </c>
      <c r="E1681">
        <v>0.40591346711638199</v>
      </c>
      <c r="F1681">
        <v>0.14807517254425401</v>
      </c>
      <c r="G1681">
        <v>7.81177790515548E-2</v>
      </c>
      <c r="H1681">
        <v>5.1863563436668703E-2</v>
      </c>
      <c r="I1681">
        <v>4.5174926424721297E-2</v>
      </c>
      <c r="J1681">
        <v>5.4811764338410299E-2</v>
      </c>
      <c r="K1681">
        <v>4.5624218517171002E-2</v>
      </c>
      <c r="L1681">
        <v>1252.4781127814799</v>
      </c>
      <c r="M1681">
        <v>25.632753478807899</v>
      </c>
      <c r="N1681">
        <v>49.053966447272003</v>
      </c>
      <c r="O1681">
        <v>48.567924627388301</v>
      </c>
      <c r="P1681">
        <v>-0.12566060975655199</v>
      </c>
      <c r="Q1681">
        <v>4.7624675665804798E-2</v>
      </c>
      <c r="R1681">
        <v>0.99413103631476996</v>
      </c>
      <c r="S1681" t="s">
        <v>5513</v>
      </c>
      <c r="T1681" t="s">
        <v>7662</v>
      </c>
      <c r="U1681" t="s">
        <v>7662</v>
      </c>
      <c r="V1681" t="s">
        <v>7662</v>
      </c>
      <c r="W1681">
        <v>12</v>
      </c>
      <c r="X1681" t="s">
        <v>9343</v>
      </c>
      <c r="Y1681">
        <v>0.33697702019638032</v>
      </c>
      <c r="Z1681" t="str">
        <f>HYPERLINK("Melting_Curves/meltCurve_sp_Q16222_3_UAP1_HUMAN_.pdf", "Melting_Curves/meltCurve_sp_Q16222_3_UAP1_HUMAN_.pdf")</f>
        <v>Melting_Curves/meltCurve_sp_Q16222_3_UAP1_HUMAN_.pdf</v>
      </c>
      <c r="AA1681" t="s">
        <v>13148</v>
      </c>
      <c r="AB1681" t="s">
        <v>16921</v>
      </c>
    </row>
    <row r="1682" spans="1:28" x14ac:dyDescent="0.25">
      <c r="A1682" t="s">
        <v>1686</v>
      </c>
      <c r="B1682">
        <v>0.98876768158843997</v>
      </c>
      <c r="C1682">
        <v>1.0396326773606199</v>
      </c>
      <c r="D1682">
        <v>0.95950878177669197</v>
      </c>
      <c r="E1682">
        <v>0.63906285922667005</v>
      </c>
      <c r="F1682">
        <v>0.54358423603474804</v>
      </c>
      <c r="G1682">
        <v>0.34242110689497202</v>
      </c>
      <c r="H1682">
        <v>0.28405394191219902</v>
      </c>
      <c r="I1682">
        <v>0.30457787139211701</v>
      </c>
      <c r="J1682">
        <v>0.22729130920857801</v>
      </c>
      <c r="K1682">
        <v>0.32606892493099698</v>
      </c>
      <c r="L1682">
        <v>1052.71579300587</v>
      </c>
      <c r="M1682">
        <v>20.731179141448902</v>
      </c>
      <c r="N1682">
        <v>52.8618590837212</v>
      </c>
      <c r="O1682">
        <v>50.313963500604601</v>
      </c>
      <c r="P1682">
        <v>-7.4265713636887998E-2</v>
      </c>
      <c r="Q1682">
        <v>0.27905777825250899</v>
      </c>
      <c r="R1682">
        <v>0.98278128760944305</v>
      </c>
      <c r="S1682" t="s">
        <v>5514</v>
      </c>
      <c r="T1682" t="s">
        <v>7662</v>
      </c>
      <c r="U1682" t="s">
        <v>7662</v>
      </c>
      <c r="V1682" t="s">
        <v>7662</v>
      </c>
      <c r="W1682">
        <v>1</v>
      </c>
      <c r="X1682" t="s">
        <v>9344</v>
      </c>
      <c r="Y1682">
        <v>0.54745408454905342</v>
      </c>
      <c r="Z1682" t="str">
        <f>HYPERLINK("Melting_Curves/meltCurve_sp_Q16270_2_IBP7_HUMAN_.pdf", "Melting_Curves/meltCurve_sp_Q16270_2_IBP7_HUMAN_.pdf")</f>
        <v>Melting_Curves/meltCurve_sp_Q16270_2_IBP7_HUMAN_.pdf</v>
      </c>
      <c r="AA1682" t="s">
        <v>13149</v>
      </c>
      <c r="AB1682" t="s">
        <v>16922</v>
      </c>
    </row>
    <row r="1683" spans="1:28" x14ac:dyDescent="0.25">
      <c r="A1683" t="s">
        <v>1687</v>
      </c>
      <c r="B1683">
        <v>0.98876768158843997</v>
      </c>
      <c r="C1683">
        <v>0.90100784779973297</v>
      </c>
      <c r="D1683">
        <v>0.94703908686874905</v>
      </c>
      <c r="E1683">
        <v>0.69020180648609597</v>
      </c>
      <c r="F1683">
        <v>0.64503246232330902</v>
      </c>
      <c r="G1683">
        <v>0.28642108359348201</v>
      </c>
      <c r="H1683">
        <v>5.7003107817963299E-2</v>
      </c>
      <c r="I1683">
        <v>3.8974106141783101E-2</v>
      </c>
      <c r="J1683">
        <v>3.59384190546638E-2</v>
      </c>
      <c r="K1683">
        <v>3.4184303784758299E-2</v>
      </c>
      <c r="L1683">
        <v>878.57784773852597</v>
      </c>
      <c r="M1683">
        <v>16.3602453624863</v>
      </c>
      <c r="N1683">
        <v>53.701998072345297</v>
      </c>
      <c r="O1683">
        <v>52.918882292664101</v>
      </c>
      <c r="P1683">
        <v>-7.7294815864060201E-2</v>
      </c>
      <c r="Q1683">
        <v>0</v>
      </c>
      <c r="R1683">
        <v>0.98221311449582505</v>
      </c>
      <c r="S1683" t="s">
        <v>5515</v>
      </c>
      <c r="T1683" t="s">
        <v>7662</v>
      </c>
      <c r="U1683" t="s">
        <v>7662</v>
      </c>
      <c r="V1683" t="s">
        <v>7662</v>
      </c>
      <c r="W1683">
        <v>13</v>
      </c>
      <c r="X1683" t="s">
        <v>9345</v>
      </c>
      <c r="Y1683">
        <v>0.47527489474886292</v>
      </c>
      <c r="Z1683" t="str">
        <f>HYPERLINK("Melting_Curves/meltCurve_sp_Q16401_2_PSMD5_HUMAN_.pdf", "Melting_Curves/meltCurve_sp_Q16401_2_PSMD5_HUMAN_.pdf")</f>
        <v>Melting_Curves/meltCurve_sp_Q16401_2_PSMD5_HUMAN_.pdf</v>
      </c>
      <c r="AA1683" t="s">
        <v>13150</v>
      </c>
      <c r="AB1683" t="s">
        <v>16923</v>
      </c>
    </row>
    <row r="1684" spans="1:28" x14ac:dyDescent="0.25">
      <c r="A1684" t="s">
        <v>1688</v>
      </c>
      <c r="B1684">
        <v>0.98876768158843997</v>
      </c>
      <c r="C1684">
        <v>0.80108863977767797</v>
      </c>
      <c r="D1684">
        <v>0.84592676323162397</v>
      </c>
      <c r="E1684">
        <v>0.461320888784778</v>
      </c>
      <c r="F1684">
        <v>0.440028150003206</v>
      </c>
      <c r="G1684">
        <v>0.33844114215154603</v>
      </c>
      <c r="H1684">
        <v>0.24715054825017299</v>
      </c>
      <c r="I1684">
        <v>0.24657618171172199</v>
      </c>
      <c r="J1684">
        <v>0.34244189802894598</v>
      </c>
      <c r="K1684">
        <v>0.31874952847366</v>
      </c>
      <c r="L1684">
        <v>764.92543544825799</v>
      </c>
      <c r="M1684">
        <v>15.982837675565699</v>
      </c>
      <c r="N1684">
        <v>50.459578316601799</v>
      </c>
      <c r="O1684">
        <v>47.128740078601503</v>
      </c>
      <c r="P1684">
        <v>-6.0998353509116303E-2</v>
      </c>
      <c r="Q1684">
        <v>0.280590783685289</v>
      </c>
      <c r="R1684">
        <v>0.94980315298082696</v>
      </c>
      <c r="S1684" t="s">
        <v>5516</v>
      </c>
      <c r="T1684" t="s">
        <v>7662</v>
      </c>
      <c r="U1684" t="s">
        <v>7662</v>
      </c>
      <c r="V1684" t="s">
        <v>7662</v>
      </c>
      <c r="W1684">
        <v>1</v>
      </c>
      <c r="X1684" t="s">
        <v>9346</v>
      </c>
      <c r="Y1684">
        <v>0.48545706865280008</v>
      </c>
      <c r="Z1684" t="str">
        <f>HYPERLINK("Melting_Curves/meltCurve_sp_Q16513_3_PKN2_HUMAN_.pdf", "Melting_Curves/meltCurve_sp_Q16513_3_PKN2_HUMAN_.pdf")</f>
        <v>Melting_Curves/meltCurve_sp_Q16513_3_PKN2_HUMAN_.pdf</v>
      </c>
      <c r="AA1684" t="s">
        <v>13151</v>
      </c>
      <c r="AB1684" t="s">
        <v>16924</v>
      </c>
    </row>
    <row r="1685" spans="1:28" x14ac:dyDescent="0.25">
      <c r="A1685" t="s">
        <v>1689</v>
      </c>
      <c r="B1685">
        <v>0.98876768158843997</v>
      </c>
      <c r="C1685">
        <v>0.92383920985440204</v>
      </c>
      <c r="D1685">
        <v>1.0389388175155201</v>
      </c>
      <c r="E1685">
        <v>0.93441065881669905</v>
      </c>
      <c r="F1685">
        <v>0.73474426819981797</v>
      </c>
      <c r="G1685">
        <v>0.63332653093741198</v>
      </c>
      <c r="H1685">
        <v>0.36229111419214699</v>
      </c>
      <c r="I1685">
        <v>0.105013082623984</v>
      </c>
      <c r="J1685">
        <v>6.9974732913359899E-2</v>
      </c>
      <c r="K1685">
        <v>6.1536632798089803E-2</v>
      </c>
      <c r="L1685">
        <v>945.60568249231198</v>
      </c>
      <c r="M1685">
        <v>16.2971493282054</v>
      </c>
      <c r="N1685">
        <v>58.0227665345991</v>
      </c>
      <c r="O1685">
        <v>57.170237828138902</v>
      </c>
      <c r="P1685">
        <v>-7.1271079357690406E-2</v>
      </c>
      <c r="Q1685">
        <v>0</v>
      </c>
      <c r="R1685">
        <v>0.97997774090860601</v>
      </c>
      <c r="S1685" t="s">
        <v>5517</v>
      </c>
      <c r="T1685" t="s">
        <v>7662</v>
      </c>
      <c r="U1685" t="s">
        <v>7662</v>
      </c>
      <c r="V1685" t="s">
        <v>7662</v>
      </c>
      <c r="W1685">
        <v>38</v>
      </c>
      <c r="X1685" t="s">
        <v>9347</v>
      </c>
      <c r="Y1685">
        <v>0.61380387886712195</v>
      </c>
      <c r="Z1685" t="str">
        <f>HYPERLINK("Melting_Curves/meltCurve_sp_Q16531_DDB1_HUMAN_.pdf", "Melting_Curves/meltCurve_sp_Q16531_DDB1_HUMAN_.pdf")</f>
        <v>Melting_Curves/meltCurve_sp_Q16531_DDB1_HUMAN_.pdf</v>
      </c>
      <c r="AA1685" t="s">
        <v>13152</v>
      </c>
      <c r="AB1685" t="s">
        <v>16925</v>
      </c>
    </row>
    <row r="1686" spans="1:28" x14ac:dyDescent="0.25">
      <c r="A1686" t="s">
        <v>1690</v>
      </c>
      <c r="B1686">
        <v>0.98876768158843997</v>
      </c>
      <c r="C1686">
        <v>0.961136072284835</v>
      </c>
      <c r="D1686">
        <v>0.74867036289697497</v>
      </c>
      <c r="E1686">
        <v>0.28325477424879503</v>
      </c>
      <c r="F1686">
        <v>0.136927239659726</v>
      </c>
      <c r="G1686">
        <v>8.0409613006925298E-2</v>
      </c>
      <c r="H1686">
        <v>5.4377826801081497E-2</v>
      </c>
      <c r="I1686">
        <v>4.6821551418103798E-2</v>
      </c>
      <c r="J1686">
        <v>5.2979619740568203E-2</v>
      </c>
      <c r="K1686">
        <v>3.6441565261730403E-2</v>
      </c>
      <c r="L1686">
        <v>1209.0882171012299</v>
      </c>
      <c r="M1686">
        <v>25.263056632231901</v>
      </c>
      <c r="N1686">
        <v>48.062622830022697</v>
      </c>
      <c r="O1686">
        <v>47.5630719175102</v>
      </c>
      <c r="P1686">
        <v>-0.12607939165521601</v>
      </c>
      <c r="Q1686">
        <v>5.0527272794972301E-2</v>
      </c>
      <c r="R1686">
        <v>0.99949498280037596</v>
      </c>
      <c r="S1686" t="s">
        <v>5518</v>
      </c>
      <c r="T1686" t="s">
        <v>7662</v>
      </c>
      <c r="U1686" t="s">
        <v>7662</v>
      </c>
      <c r="V1686" t="s">
        <v>7662</v>
      </c>
      <c r="W1686">
        <v>8</v>
      </c>
      <c r="X1686" t="s">
        <v>9348</v>
      </c>
      <c r="Y1686">
        <v>0.30749743825806009</v>
      </c>
      <c r="Z1686" t="str">
        <f>HYPERLINK("Melting_Curves/meltCurve_sp_Q16539_MK14_HUMAN_.pdf", "Melting_Curves/meltCurve_sp_Q16539_MK14_HUMAN_.pdf")</f>
        <v>Melting_Curves/meltCurve_sp_Q16539_MK14_HUMAN_.pdf</v>
      </c>
      <c r="AA1686" t="s">
        <v>13153</v>
      </c>
      <c r="AB1686" t="s">
        <v>16926</v>
      </c>
    </row>
    <row r="1687" spans="1:28" x14ac:dyDescent="0.25">
      <c r="A1687" t="s">
        <v>1691</v>
      </c>
      <c r="B1687">
        <v>0.98876768158843997</v>
      </c>
      <c r="C1687">
        <v>0.99331368012278598</v>
      </c>
      <c r="D1687">
        <v>1.0029681256987999</v>
      </c>
      <c r="E1687">
        <v>0.86419926366342503</v>
      </c>
      <c r="F1687">
        <v>0.94107442720676804</v>
      </c>
      <c r="G1687">
        <v>0.67610888143082304</v>
      </c>
      <c r="H1687">
        <v>0.41837676767128001</v>
      </c>
      <c r="I1687">
        <v>0.217541875826717</v>
      </c>
      <c r="J1687">
        <v>0.10901485520558001</v>
      </c>
      <c r="K1687">
        <v>8.8963530671192406E-2</v>
      </c>
      <c r="L1687">
        <v>1023.4797718981</v>
      </c>
      <c r="M1687">
        <v>17.184058337135902</v>
      </c>
      <c r="N1687">
        <v>59.559840561967498</v>
      </c>
      <c r="O1687">
        <v>58.770798989240902</v>
      </c>
      <c r="P1687">
        <v>-7.3102101196537303E-2</v>
      </c>
      <c r="Q1687">
        <v>0</v>
      </c>
      <c r="R1687">
        <v>0.98965106822450899</v>
      </c>
      <c r="S1687" t="s">
        <v>5519</v>
      </c>
      <c r="T1687" t="s">
        <v>7662</v>
      </c>
      <c r="U1687" t="s">
        <v>7662</v>
      </c>
      <c r="V1687" t="s">
        <v>7662</v>
      </c>
      <c r="W1687">
        <v>17</v>
      </c>
      <c r="X1687" t="s">
        <v>9349</v>
      </c>
      <c r="Y1687">
        <v>0.6613027207816139</v>
      </c>
      <c r="Z1687" t="str">
        <f>HYPERLINK("Melting_Curves/meltCurve_sp_Q16543_CDC37_HUMAN_.pdf", "Melting_Curves/meltCurve_sp_Q16543_CDC37_HUMAN_.pdf")</f>
        <v>Melting_Curves/meltCurve_sp_Q16543_CDC37_HUMAN_.pdf</v>
      </c>
      <c r="AA1687" t="s">
        <v>13154</v>
      </c>
      <c r="AB1687" t="s">
        <v>16927</v>
      </c>
    </row>
    <row r="1688" spans="1:28" x14ac:dyDescent="0.25">
      <c r="A1688" t="s">
        <v>1692</v>
      </c>
      <c r="B1688">
        <v>0.98876768158843997</v>
      </c>
      <c r="C1688">
        <v>0.87725357287181105</v>
      </c>
      <c r="D1688">
        <v>0.99541221210672004</v>
      </c>
      <c r="E1688">
        <v>0.77117553481411805</v>
      </c>
      <c r="F1688">
        <v>0.43397908756014902</v>
      </c>
      <c r="G1688">
        <v>0.25651459005441601</v>
      </c>
      <c r="H1688">
        <v>7.8876319037342296E-2</v>
      </c>
      <c r="I1688">
        <v>3.2616572823887698E-2</v>
      </c>
      <c r="J1688">
        <v>3.8412665116280699E-2</v>
      </c>
      <c r="K1688">
        <v>1.6176254053047401E-2</v>
      </c>
      <c r="L1688">
        <v>999.60165633367603</v>
      </c>
      <c r="M1688">
        <v>18.939213811806301</v>
      </c>
      <c r="N1688">
        <v>52.8559123578315</v>
      </c>
      <c r="O1688">
        <v>52.201605636406299</v>
      </c>
      <c r="P1688">
        <v>-8.9480651977043302E-2</v>
      </c>
      <c r="Q1688">
        <v>1.3508124397295099E-2</v>
      </c>
      <c r="R1688">
        <v>0.98656603498425999</v>
      </c>
      <c r="S1688" t="s">
        <v>5520</v>
      </c>
      <c r="T1688" t="s">
        <v>7662</v>
      </c>
      <c r="U1688" t="s">
        <v>7662</v>
      </c>
      <c r="V1688" t="s">
        <v>7662</v>
      </c>
      <c r="W1688">
        <v>10</v>
      </c>
      <c r="X1688" t="s">
        <v>9350</v>
      </c>
      <c r="Y1688">
        <v>0.44864851914683018</v>
      </c>
      <c r="Z1688" t="str">
        <f>HYPERLINK("Melting_Curves/meltCurve_sp_Q16555_2_DPYL2_HUMAN_.pdf", "Melting_Curves/meltCurve_sp_Q16555_2_DPYL2_HUMAN_.pdf")</f>
        <v>Melting_Curves/meltCurve_sp_Q16555_2_DPYL2_HUMAN_.pdf</v>
      </c>
      <c r="AA1688" t="s">
        <v>13155</v>
      </c>
      <c r="AB1688" t="s">
        <v>16928</v>
      </c>
    </row>
    <row r="1689" spans="1:28" x14ac:dyDescent="0.25">
      <c r="A1689" t="s">
        <v>1693</v>
      </c>
      <c r="B1689">
        <v>0.98876768158843997</v>
      </c>
      <c r="C1689">
        <v>1.05306560282901</v>
      </c>
      <c r="D1689">
        <v>1.00767677655289</v>
      </c>
      <c r="E1689">
        <v>0.87014990579504103</v>
      </c>
      <c r="F1689">
        <v>0.905345901236291</v>
      </c>
      <c r="G1689">
        <v>0.457541380476711</v>
      </c>
      <c r="H1689">
        <v>0.204359781810802</v>
      </c>
      <c r="I1689">
        <v>9.9252441074569903E-2</v>
      </c>
      <c r="J1689">
        <v>8.6052481242548398E-2</v>
      </c>
      <c r="K1689">
        <v>7.4498365807036199E-2</v>
      </c>
      <c r="L1689">
        <v>1449.0657754516899</v>
      </c>
      <c r="M1689">
        <v>25.661832354204801</v>
      </c>
      <c r="N1689">
        <v>56.787544321513401</v>
      </c>
      <c r="O1689">
        <v>56.128174038406002</v>
      </c>
      <c r="P1689">
        <v>-0.10661139480939701</v>
      </c>
      <c r="Q1689">
        <v>6.7279173225140806E-2</v>
      </c>
      <c r="R1689">
        <v>0.990259506747173</v>
      </c>
      <c r="S1689" t="s">
        <v>5521</v>
      </c>
      <c r="T1689" t="s">
        <v>7662</v>
      </c>
      <c r="U1689" t="s">
        <v>7662</v>
      </c>
      <c r="V1689" t="s">
        <v>7662</v>
      </c>
      <c r="W1689">
        <v>7</v>
      </c>
      <c r="X1689" t="s">
        <v>9351</v>
      </c>
      <c r="Y1689">
        <v>0.58741982640662294</v>
      </c>
      <c r="Z1689" t="str">
        <f>HYPERLINK("Melting_Curves/meltCurve_sp_Q16576_RBBP7_HUMAN_.pdf", "Melting_Curves/meltCurve_sp_Q16576_RBBP7_HUMAN_.pdf")</f>
        <v>Melting_Curves/meltCurve_sp_Q16576_RBBP7_HUMAN_.pdf</v>
      </c>
      <c r="AA1689" t="s">
        <v>13156</v>
      </c>
      <c r="AB1689" t="s">
        <v>16929</v>
      </c>
    </row>
    <row r="1690" spans="1:28" x14ac:dyDescent="0.25">
      <c r="A1690" t="s">
        <v>1694</v>
      </c>
      <c r="B1690">
        <v>0.98876768158843997</v>
      </c>
      <c r="C1690">
        <v>1.1125344108044599</v>
      </c>
      <c r="D1690">
        <v>0.90871742316780002</v>
      </c>
      <c r="E1690">
        <v>0.80361775892303799</v>
      </c>
      <c r="F1690">
        <v>0.97319608508201105</v>
      </c>
      <c r="G1690">
        <v>0.69841342305808396</v>
      </c>
      <c r="H1690">
        <v>0.538187549906055</v>
      </c>
      <c r="I1690">
        <v>0.62729180739211599</v>
      </c>
      <c r="J1690">
        <v>0.70821667482669604</v>
      </c>
      <c r="K1690">
        <v>0.80589787656645495</v>
      </c>
      <c r="L1690">
        <v>980.26918860240301</v>
      </c>
      <c r="M1690">
        <v>18.664936307769501</v>
      </c>
      <c r="O1690">
        <v>51.9275682637305</v>
      </c>
      <c r="P1690">
        <v>-2.9829088531387399E-2</v>
      </c>
      <c r="Q1690">
        <v>0.66806513122071998</v>
      </c>
      <c r="R1690">
        <v>0.65720158823571295</v>
      </c>
      <c r="S1690" t="s">
        <v>5522</v>
      </c>
      <c r="T1690" t="s">
        <v>7662</v>
      </c>
      <c r="U1690" t="s">
        <v>7662</v>
      </c>
      <c r="V1690" t="s">
        <v>7662</v>
      </c>
      <c r="W1690">
        <v>5</v>
      </c>
      <c r="X1690" t="s">
        <v>9352</v>
      </c>
      <c r="Y1690">
        <v>0.8117437005141116</v>
      </c>
      <c r="Z1690" t="str">
        <f>HYPERLINK("Melting_Curves/meltCurve_sp_Q16625_5_OCLN_HUMAN_.pdf", "Melting_Curves/meltCurve_sp_Q16625_5_OCLN_HUMAN_.pdf")</f>
        <v>Melting_Curves/meltCurve_sp_Q16625_5_OCLN_HUMAN_.pdf</v>
      </c>
      <c r="AA1690" t="s">
        <v>13157</v>
      </c>
      <c r="AB1690" t="s">
        <v>16930</v>
      </c>
    </row>
    <row r="1691" spans="1:28" x14ac:dyDescent="0.25">
      <c r="A1691" t="s">
        <v>1695</v>
      </c>
      <c r="B1691">
        <v>0.98876768158843997</v>
      </c>
      <c r="C1691">
        <v>0.91290707908046798</v>
      </c>
      <c r="D1691">
        <v>0.69059642227599005</v>
      </c>
      <c r="E1691">
        <v>0.76570889018549804</v>
      </c>
      <c r="F1691">
        <v>0.15773388243391501</v>
      </c>
      <c r="G1691">
        <v>0.14855650750140101</v>
      </c>
      <c r="H1691">
        <v>0.30655882727004202</v>
      </c>
      <c r="I1691">
        <v>0.192759077017051</v>
      </c>
      <c r="J1691">
        <v>0.26526879397046998</v>
      </c>
      <c r="K1691">
        <v>0.31236560141203901</v>
      </c>
      <c r="L1691">
        <v>915.79485887314695</v>
      </c>
      <c r="M1691">
        <v>18.807310676159101</v>
      </c>
      <c r="N1691">
        <v>50.258476091504399</v>
      </c>
      <c r="O1691">
        <v>48.153058980619598</v>
      </c>
      <c r="P1691">
        <v>-7.6007072484305604E-2</v>
      </c>
      <c r="Q1691">
        <v>0.22161727780932999</v>
      </c>
      <c r="R1691">
        <v>0.84899007670919302</v>
      </c>
      <c r="S1691" t="s">
        <v>5523</v>
      </c>
      <c r="T1691" t="s">
        <v>7662</v>
      </c>
      <c r="U1691" t="s">
        <v>7662</v>
      </c>
      <c r="V1691" t="s">
        <v>7662</v>
      </c>
      <c r="W1691">
        <v>1</v>
      </c>
      <c r="X1691" t="s">
        <v>9353</v>
      </c>
      <c r="Y1691">
        <v>0.4595899954856012</v>
      </c>
      <c r="Z1691" t="str">
        <f>HYPERLINK("Melting_Curves/meltCurve_sp_Q16626_MEA1_HUMAN_.pdf", "Melting_Curves/meltCurve_sp_Q16626_MEA1_HUMAN_.pdf")</f>
        <v>Melting_Curves/meltCurve_sp_Q16626_MEA1_HUMAN_.pdf</v>
      </c>
      <c r="AA1691" t="s">
        <v>13158</v>
      </c>
      <c r="AB1691" t="s">
        <v>16931</v>
      </c>
    </row>
    <row r="1692" spans="1:28" x14ac:dyDescent="0.25">
      <c r="A1692" t="s">
        <v>1696</v>
      </c>
      <c r="B1692">
        <v>0.98876768158843997</v>
      </c>
      <c r="C1692">
        <v>1.0332358186059201</v>
      </c>
      <c r="D1692">
        <v>0.76901155661473297</v>
      </c>
      <c r="E1692">
        <v>0.57433532212995397</v>
      </c>
      <c r="F1692">
        <v>0.46560558561836801</v>
      </c>
      <c r="G1692">
        <v>0.31285564863473603</v>
      </c>
      <c r="H1692">
        <v>0.36466786780745503</v>
      </c>
      <c r="I1692">
        <v>0.49737112481052498</v>
      </c>
      <c r="J1692">
        <v>0.54026750191241901</v>
      </c>
      <c r="K1692">
        <v>0.57286962327229296</v>
      </c>
      <c r="L1692">
        <v>1445.9920636920499</v>
      </c>
      <c r="M1692">
        <v>30.899281130021301</v>
      </c>
      <c r="N1692">
        <v>51.046246883673597</v>
      </c>
      <c r="O1692">
        <v>46.602250465532897</v>
      </c>
      <c r="P1692">
        <v>-8.9210313861597904E-2</v>
      </c>
      <c r="Q1692">
        <v>0.46181566332530699</v>
      </c>
      <c r="R1692">
        <v>0.88909094717424397</v>
      </c>
      <c r="S1692" t="s">
        <v>5524</v>
      </c>
      <c r="T1692" t="s">
        <v>7662</v>
      </c>
      <c r="U1692" t="s">
        <v>7662</v>
      </c>
      <c r="V1692" t="s">
        <v>7662</v>
      </c>
      <c r="W1692">
        <v>3</v>
      </c>
      <c r="X1692" t="s">
        <v>9354</v>
      </c>
      <c r="Y1692">
        <v>0.58678153140597022</v>
      </c>
      <c r="Z1692" t="str">
        <f>HYPERLINK("Melting_Curves/meltCurve_sp_Q16629_3_SRSF7_HUMAN_.pdf", "Melting_Curves/meltCurve_sp_Q16629_3_SRSF7_HUMAN_.pdf")</f>
        <v>Melting_Curves/meltCurve_sp_Q16629_3_SRSF7_HUMAN_.pdf</v>
      </c>
      <c r="AA1692" t="s">
        <v>13159</v>
      </c>
      <c r="AB1692" t="s">
        <v>16932</v>
      </c>
    </row>
    <row r="1693" spans="1:28" x14ac:dyDescent="0.25">
      <c r="A1693" t="s">
        <v>1697</v>
      </c>
      <c r="B1693">
        <v>0.98876768158843997</v>
      </c>
      <c r="C1693">
        <v>0.97112674329379001</v>
      </c>
      <c r="D1693">
        <v>0.91889753565681997</v>
      </c>
      <c r="E1693">
        <v>0.75590536302707401</v>
      </c>
      <c r="F1693">
        <v>0.72334075332022696</v>
      </c>
      <c r="G1693">
        <v>0.35992738089501802</v>
      </c>
      <c r="H1693">
        <v>0.18718955035155599</v>
      </c>
      <c r="I1693">
        <v>9.6485367640930506E-2</v>
      </c>
      <c r="J1693">
        <v>0.29766963175783601</v>
      </c>
      <c r="K1693">
        <v>7.3577597272557402E-2</v>
      </c>
      <c r="L1693">
        <v>873.16554756655</v>
      </c>
      <c r="M1693">
        <v>16.107490814609701</v>
      </c>
      <c r="N1693">
        <v>54.986308423334798</v>
      </c>
      <c r="O1693">
        <v>53.3937779194369</v>
      </c>
      <c r="P1693">
        <v>-6.77415413928069E-2</v>
      </c>
      <c r="Q1693">
        <v>0.10185873252043801</v>
      </c>
      <c r="R1693">
        <v>0.96099543183346303</v>
      </c>
      <c r="S1693" t="s">
        <v>5525</v>
      </c>
      <c r="T1693" t="s">
        <v>7662</v>
      </c>
      <c r="U1693" t="s">
        <v>7662</v>
      </c>
      <c r="V1693" t="s">
        <v>7662</v>
      </c>
      <c r="W1693">
        <v>7</v>
      </c>
      <c r="X1693" t="s">
        <v>9355</v>
      </c>
      <c r="Y1693">
        <v>0.5438947314032172</v>
      </c>
      <c r="Z1693" t="str">
        <f>HYPERLINK("Melting_Curves/meltCurve_sp_Q16658_FSCN1_HUMAN_.pdf", "Melting_Curves/meltCurve_sp_Q16658_FSCN1_HUMAN_.pdf")</f>
        <v>Melting_Curves/meltCurve_sp_Q16658_FSCN1_HUMAN_.pdf</v>
      </c>
      <c r="AA1693" t="s">
        <v>13160</v>
      </c>
      <c r="AB1693" t="s">
        <v>16933</v>
      </c>
    </row>
    <row r="1694" spans="1:28" x14ac:dyDescent="0.25">
      <c r="A1694" t="s">
        <v>1698</v>
      </c>
      <c r="B1694">
        <v>0.98876768158843997</v>
      </c>
      <c r="C1694">
        <v>0.93630703457237596</v>
      </c>
      <c r="D1694">
        <v>0.96498434629042795</v>
      </c>
      <c r="E1694">
        <v>0.90657421252336901</v>
      </c>
      <c r="F1694">
        <v>0.74827739975739804</v>
      </c>
      <c r="G1694">
        <v>0.55501488700881596</v>
      </c>
      <c r="H1694">
        <v>0.40079827723803002</v>
      </c>
      <c r="I1694">
        <v>0.34822569223959299</v>
      </c>
      <c r="J1694">
        <v>0.199520435415458</v>
      </c>
      <c r="K1694">
        <v>0.12074444664485701</v>
      </c>
      <c r="L1694">
        <v>633.400640945075</v>
      </c>
      <c r="M1694">
        <v>10.7782819057278</v>
      </c>
      <c r="N1694">
        <v>58.766365283692402</v>
      </c>
      <c r="O1694">
        <v>56.851892145606897</v>
      </c>
      <c r="P1694">
        <v>-4.7413614579297499E-2</v>
      </c>
      <c r="Q1694">
        <v>0</v>
      </c>
      <c r="R1694">
        <v>0.99128888481962996</v>
      </c>
      <c r="S1694" t="s">
        <v>5526</v>
      </c>
      <c r="T1694" t="s">
        <v>7662</v>
      </c>
      <c r="U1694" t="s">
        <v>7662</v>
      </c>
      <c r="V1694" t="s">
        <v>7662</v>
      </c>
      <c r="W1694">
        <v>13</v>
      </c>
      <c r="X1694" t="s">
        <v>9356</v>
      </c>
      <c r="Y1694">
        <v>0.6324744915154884</v>
      </c>
      <c r="Z1694" t="str">
        <f>HYPERLINK("Melting_Curves/meltCurve_sp_Q16719_KYNU_HUMAN_.pdf", "Melting_Curves/meltCurve_sp_Q16719_KYNU_HUMAN_.pdf")</f>
        <v>Melting_Curves/meltCurve_sp_Q16719_KYNU_HUMAN_.pdf</v>
      </c>
      <c r="AA1694" t="s">
        <v>13161</v>
      </c>
      <c r="AB1694" t="s">
        <v>16934</v>
      </c>
    </row>
    <row r="1695" spans="1:28" x14ac:dyDescent="0.25">
      <c r="A1695" t="s">
        <v>1699</v>
      </c>
      <c r="B1695">
        <v>0.98876768158843997</v>
      </c>
      <c r="C1695">
        <v>0.93034928132599404</v>
      </c>
      <c r="D1695">
        <v>0.950733577503167</v>
      </c>
      <c r="E1695">
        <v>0.80916867006121596</v>
      </c>
      <c r="F1695">
        <v>0.46176656403187299</v>
      </c>
      <c r="G1695">
        <v>0.23072123931466801</v>
      </c>
      <c r="H1695">
        <v>0.10885204824445301</v>
      </c>
      <c r="I1695">
        <v>8.4751120038612196E-2</v>
      </c>
      <c r="J1695">
        <v>8.1935879531507799E-2</v>
      </c>
      <c r="K1695">
        <v>6.6746273159805802E-2</v>
      </c>
      <c r="L1695">
        <v>1183.67731309023</v>
      </c>
      <c r="M1695">
        <v>22.520035648647401</v>
      </c>
      <c r="N1695">
        <v>52.922539266361397</v>
      </c>
      <c r="O1695">
        <v>52.151885703761202</v>
      </c>
      <c r="P1695">
        <v>-0.100260758405622</v>
      </c>
      <c r="Q1695">
        <v>7.1283668048965396E-2</v>
      </c>
      <c r="R1695">
        <v>0.99531794990289701</v>
      </c>
      <c r="S1695" t="s">
        <v>5527</v>
      </c>
      <c r="T1695" t="s">
        <v>7662</v>
      </c>
      <c r="U1695" t="s">
        <v>7662</v>
      </c>
      <c r="V1695" t="s">
        <v>7662</v>
      </c>
      <c r="W1695">
        <v>9</v>
      </c>
      <c r="X1695" t="s">
        <v>9357</v>
      </c>
      <c r="Y1695">
        <v>0.47049895039357881</v>
      </c>
      <c r="Z1695" t="str">
        <f>HYPERLINK("Melting_Curves/meltCurve_sp_Q16740_CLPP_HUMAN_.pdf", "Melting_Curves/meltCurve_sp_Q16740_CLPP_HUMAN_.pdf")</f>
        <v>Melting_Curves/meltCurve_sp_Q16740_CLPP_HUMAN_.pdf</v>
      </c>
      <c r="AA1695" t="s">
        <v>13162</v>
      </c>
      <c r="AB1695" t="s">
        <v>16935</v>
      </c>
    </row>
    <row r="1696" spans="1:28" x14ac:dyDescent="0.25">
      <c r="A1696" t="s">
        <v>1700</v>
      </c>
      <c r="B1696">
        <v>0.98876768158843997</v>
      </c>
      <c r="C1696">
        <v>1.06734598777867</v>
      </c>
      <c r="D1696">
        <v>0.80147416129012905</v>
      </c>
      <c r="E1696">
        <v>0.68896250088993805</v>
      </c>
      <c r="F1696">
        <v>0.23985389732814599</v>
      </c>
      <c r="G1696">
        <v>8.58756660099559E-2</v>
      </c>
      <c r="H1696">
        <v>3.8525685398498898E-2</v>
      </c>
      <c r="I1696">
        <v>3.2787435642139998E-2</v>
      </c>
      <c r="J1696">
        <v>3.5634554479872897E-2</v>
      </c>
      <c r="K1696">
        <v>2.8558855156411201E-2</v>
      </c>
      <c r="L1696">
        <v>1225.56163372837</v>
      </c>
      <c r="M1696">
        <v>24.0891262600367</v>
      </c>
      <c r="N1696">
        <v>50.970247950415803</v>
      </c>
      <c r="O1696">
        <v>50.5294050958898</v>
      </c>
      <c r="P1696">
        <v>-0.116593011862954</v>
      </c>
      <c r="Q1696">
        <v>2.17520155187352E-2</v>
      </c>
      <c r="R1696">
        <v>0.98156952330158798</v>
      </c>
      <c r="S1696" t="s">
        <v>5528</v>
      </c>
      <c r="T1696" t="s">
        <v>7662</v>
      </c>
      <c r="U1696" t="s">
        <v>7662</v>
      </c>
      <c r="V1696" t="s">
        <v>7662</v>
      </c>
      <c r="W1696">
        <v>16</v>
      </c>
      <c r="X1696" t="s">
        <v>9358</v>
      </c>
      <c r="Y1696">
        <v>0.38589800327767082</v>
      </c>
      <c r="Z1696" t="str">
        <f>HYPERLINK("Melting_Curves/meltCurve_sp_Q16762_THTR_HUMAN_.pdf", "Melting_Curves/meltCurve_sp_Q16762_THTR_HUMAN_.pdf")</f>
        <v>Melting_Curves/meltCurve_sp_Q16762_THTR_HUMAN_.pdf</v>
      </c>
      <c r="AA1696" t="s">
        <v>13163</v>
      </c>
      <c r="AB1696" t="s">
        <v>16936</v>
      </c>
    </row>
    <row r="1697" spans="1:28" x14ac:dyDescent="0.25">
      <c r="A1697" t="s">
        <v>1701</v>
      </c>
      <c r="B1697">
        <v>0.98876768158843997</v>
      </c>
      <c r="C1697">
        <v>0.89647088248909201</v>
      </c>
      <c r="D1697">
        <v>0.90665616732298604</v>
      </c>
      <c r="E1697">
        <v>0.76464276444499302</v>
      </c>
      <c r="F1697">
        <v>0.61654405246380695</v>
      </c>
      <c r="G1697">
        <v>0.41441594728971798</v>
      </c>
      <c r="H1697">
        <v>0.25220325538813299</v>
      </c>
      <c r="I1697">
        <v>0.143364531291995</v>
      </c>
      <c r="J1697">
        <v>0.120068859775294</v>
      </c>
      <c r="K1697">
        <v>7.2726827712131098E-2</v>
      </c>
      <c r="L1697">
        <v>625.408508268574</v>
      </c>
      <c r="M1697">
        <v>11.359698071546999</v>
      </c>
      <c r="N1697">
        <v>55.055029124052801</v>
      </c>
      <c r="O1697">
        <v>53.431693425832599</v>
      </c>
      <c r="P1697">
        <v>-5.3166401482921503E-2</v>
      </c>
      <c r="Q1697">
        <v>0</v>
      </c>
      <c r="R1697">
        <v>0.99550055339464405</v>
      </c>
      <c r="S1697" t="s">
        <v>5529</v>
      </c>
      <c r="T1697" t="s">
        <v>7662</v>
      </c>
      <c r="U1697" t="s">
        <v>7662</v>
      </c>
      <c r="V1697" t="s">
        <v>7662</v>
      </c>
      <c r="W1697">
        <v>7</v>
      </c>
      <c r="X1697" t="s">
        <v>9359</v>
      </c>
      <c r="Y1697">
        <v>0.52594545411652083</v>
      </c>
      <c r="Z1697" t="str">
        <f>HYPERLINK("Melting_Curves/meltCurve_sp_Q16773_KAT1_HUMAN_.pdf", "Melting_Curves/meltCurve_sp_Q16773_KAT1_HUMAN_.pdf")</f>
        <v>Melting_Curves/meltCurve_sp_Q16773_KAT1_HUMAN_.pdf</v>
      </c>
      <c r="AA1697" t="s">
        <v>13164</v>
      </c>
      <c r="AB1697" t="s">
        <v>16937</v>
      </c>
    </row>
    <row r="1698" spans="1:28" x14ac:dyDescent="0.25">
      <c r="A1698" t="s">
        <v>1702</v>
      </c>
      <c r="B1698">
        <v>0.98876768158843997</v>
      </c>
      <c r="C1698">
        <v>1.13915551976152</v>
      </c>
      <c r="D1698">
        <v>0.87202468953130696</v>
      </c>
      <c r="E1698">
        <v>0.81849461741336704</v>
      </c>
      <c r="F1698">
        <v>0.92424603540196804</v>
      </c>
      <c r="G1698">
        <v>0.64403563902676098</v>
      </c>
      <c r="H1698">
        <v>0.424552917273472</v>
      </c>
      <c r="I1698">
        <v>0.32245234708700699</v>
      </c>
      <c r="J1698">
        <v>0.23370980281449699</v>
      </c>
      <c r="K1698">
        <v>0.123674768680424</v>
      </c>
      <c r="L1698">
        <v>727.76115025974002</v>
      </c>
      <c r="M1698">
        <v>12.1508459017824</v>
      </c>
      <c r="N1698">
        <v>59.893867213074998</v>
      </c>
      <c r="O1698">
        <v>58.340859464640602</v>
      </c>
      <c r="P1698">
        <v>-5.20802949680466E-2</v>
      </c>
      <c r="Q1698">
        <v>0</v>
      </c>
      <c r="R1698">
        <v>0.95289679193819499</v>
      </c>
      <c r="S1698" t="s">
        <v>5530</v>
      </c>
      <c r="T1698" t="s">
        <v>7662</v>
      </c>
      <c r="U1698" t="s">
        <v>7662</v>
      </c>
      <c r="V1698" t="s">
        <v>7662</v>
      </c>
      <c r="W1698">
        <v>21</v>
      </c>
      <c r="X1698" t="s">
        <v>9360</v>
      </c>
      <c r="Y1698">
        <v>0.66645849929397372</v>
      </c>
      <c r="Z1698" t="str">
        <f>HYPERLINK("Melting_Curves/meltCurve_sp_Q16775_GLO2_HUMAN_.pdf", "Melting_Curves/meltCurve_sp_Q16775_GLO2_HUMAN_.pdf")</f>
        <v>Melting_Curves/meltCurve_sp_Q16775_GLO2_HUMAN_.pdf</v>
      </c>
      <c r="AA1698" t="s">
        <v>13165</v>
      </c>
      <c r="AB1698" t="s">
        <v>16938</v>
      </c>
    </row>
    <row r="1699" spans="1:28" x14ac:dyDescent="0.25">
      <c r="A1699" t="s">
        <v>1703</v>
      </c>
      <c r="B1699">
        <v>0.98876768158843997</v>
      </c>
      <c r="C1699">
        <v>0.87168960406839602</v>
      </c>
      <c r="D1699">
        <v>0.98062711845129602</v>
      </c>
      <c r="E1699">
        <v>0.30083990475377398</v>
      </c>
      <c r="F1699">
        <v>0.13477897030130101</v>
      </c>
      <c r="G1699">
        <v>8.2609271363727699E-2</v>
      </c>
      <c r="H1699">
        <v>5.4330127756220599E-2</v>
      </c>
      <c r="I1699">
        <v>5.5820592943204302E-2</v>
      </c>
      <c r="J1699">
        <v>6.3122218475667194E-2</v>
      </c>
      <c r="K1699">
        <v>8.0430824324529596E-2</v>
      </c>
      <c r="L1699">
        <v>2410.5292075000002</v>
      </c>
      <c r="M1699">
        <v>49.2886113530841</v>
      </c>
      <c r="N1699">
        <v>49.065775920508699</v>
      </c>
      <c r="O1699">
        <v>48.8261089252711</v>
      </c>
      <c r="P1699">
        <v>-0.23370336003197201</v>
      </c>
      <c r="Q1699">
        <v>7.3959276867142099E-2</v>
      </c>
      <c r="R1699">
        <v>0.98727714797875199</v>
      </c>
      <c r="S1699" t="s">
        <v>5531</v>
      </c>
      <c r="T1699" t="s">
        <v>7662</v>
      </c>
      <c r="U1699" t="s">
        <v>7662</v>
      </c>
      <c r="V1699" t="s">
        <v>7662</v>
      </c>
      <c r="W1699">
        <v>2</v>
      </c>
      <c r="X1699" t="s">
        <v>9361</v>
      </c>
      <c r="Y1699">
        <v>0.3509391325735749</v>
      </c>
      <c r="Z1699" t="str">
        <f>HYPERLINK("Melting_Curves/meltCurve_sp_Q16787_4_LAMA3_HUMAN_.pdf", "Melting_Curves/meltCurve_sp_Q16787_4_LAMA3_HUMAN_.pdf")</f>
        <v>Melting_Curves/meltCurve_sp_Q16787_4_LAMA3_HUMAN_.pdf</v>
      </c>
      <c r="AA1699" t="s">
        <v>13166</v>
      </c>
      <c r="AB1699" t="s">
        <v>16939</v>
      </c>
    </row>
    <row r="1700" spans="1:28" x14ac:dyDescent="0.25">
      <c r="A1700" t="s">
        <v>1704</v>
      </c>
      <c r="B1700">
        <v>0.98876768158843997</v>
      </c>
      <c r="C1700">
        <v>0.81023127723114496</v>
      </c>
      <c r="D1700">
        <v>0.79239220646618003</v>
      </c>
      <c r="E1700">
        <v>0.46564412877271999</v>
      </c>
      <c r="F1700">
        <v>0.24987402122315</v>
      </c>
      <c r="G1700">
        <v>0.11854569348136999</v>
      </c>
      <c r="H1700">
        <v>3.6435200038467903E-2</v>
      </c>
      <c r="I1700">
        <v>2.65454233460286E-2</v>
      </c>
      <c r="J1700">
        <v>2.7007890562889599E-2</v>
      </c>
      <c r="K1700">
        <v>2.2489907155542499E-2</v>
      </c>
      <c r="L1700">
        <v>725.89046913044206</v>
      </c>
      <c r="M1700">
        <v>14.707884084551001</v>
      </c>
      <c r="N1700">
        <v>49.353833428419598</v>
      </c>
      <c r="O1700">
        <v>48.468395480416198</v>
      </c>
      <c r="P1700">
        <v>-7.5871547177535997E-2</v>
      </c>
      <c r="Q1700">
        <v>0</v>
      </c>
      <c r="R1700">
        <v>0.990811918642584</v>
      </c>
      <c r="S1700" t="s">
        <v>5532</v>
      </c>
      <c r="T1700" t="s">
        <v>7662</v>
      </c>
      <c r="U1700" t="s">
        <v>7662</v>
      </c>
      <c r="V1700" t="s">
        <v>7662</v>
      </c>
      <c r="W1700">
        <v>44</v>
      </c>
      <c r="X1700" t="s">
        <v>9362</v>
      </c>
      <c r="Y1700">
        <v>0.33705755837862678</v>
      </c>
      <c r="Z1700" t="str">
        <f>HYPERLINK("Melting_Curves/meltCurve_sp_Q16822_PCKGM_HUMAN_.pdf", "Melting_Curves/meltCurve_sp_Q16822_PCKGM_HUMAN_.pdf")</f>
        <v>Melting_Curves/meltCurve_sp_Q16822_PCKGM_HUMAN_.pdf</v>
      </c>
      <c r="AA1700" t="s">
        <v>13167</v>
      </c>
      <c r="AB1700" t="s">
        <v>16940</v>
      </c>
    </row>
    <row r="1701" spans="1:28" x14ac:dyDescent="0.25">
      <c r="A1701" t="s">
        <v>1705</v>
      </c>
      <c r="B1701">
        <v>0.98876768158843997</v>
      </c>
      <c r="C1701">
        <v>0.99119049690332095</v>
      </c>
      <c r="D1701">
        <v>0.86286641938047604</v>
      </c>
      <c r="E1701">
        <v>0.78698415746226902</v>
      </c>
      <c r="F1701">
        <v>0.72192812838740394</v>
      </c>
      <c r="G1701">
        <v>0.44097537865248099</v>
      </c>
      <c r="H1701">
        <v>0.23374142107573101</v>
      </c>
      <c r="I1701">
        <v>6.1302560939748403E-2</v>
      </c>
      <c r="J1701">
        <v>5.5563754604823802E-2</v>
      </c>
      <c r="K1701">
        <v>1.5443308444034701E-2</v>
      </c>
      <c r="L1701">
        <v>814.25915022222296</v>
      </c>
      <c r="M1701">
        <v>14.643132657423701</v>
      </c>
      <c r="N1701">
        <v>55.606895681797504</v>
      </c>
      <c r="O1701">
        <v>54.600714349856503</v>
      </c>
      <c r="P1701">
        <v>-6.7053898760928293E-2</v>
      </c>
      <c r="Q1701">
        <v>0</v>
      </c>
      <c r="R1701">
        <v>0.98563909153382001</v>
      </c>
      <c r="S1701" t="s">
        <v>5533</v>
      </c>
      <c r="T1701" t="s">
        <v>7662</v>
      </c>
      <c r="U1701" t="s">
        <v>7662</v>
      </c>
      <c r="V1701" t="s">
        <v>7662</v>
      </c>
      <c r="W1701">
        <v>3</v>
      </c>
      <c r="X1701" t="s">
        <v>9363</v>
      </c>
      <c r="Y1701">
        <v>0.53902901773792034</v>
      </c>
      <c r="Z1701" t="str">
        <f>HYPERLINK("Melting_Curves/meltCurve_sp_Q16831_UPP1_HUMAN_.pdf", "Melting_Curves/meltCurve_sp_Q16831_UPP1_HUMAN_.pdf")</f>
        <v>Melting_Curves/meltCurve_sp_Q16831_UPP1_HUMAN_.pdf</v>
      </c>
      <c r="AA1701" t="s">
        <v>13168</v>
      </c>
      <c r="AB1701" t="s">
        <v>16941</v>
      </c>
    </row>
    <row r="1702" spans="1:28" x14ac:dyDescent="0.25">
      <c r="A1702" t="s">
        <v>1706</v>
      </c>
      <c r="B1702">
        <v>0.98876768158843997</v>
      </c>
      <c r="C1702">
        <v>1.0623195825560501</v>
      </c>
      <c r="D1702">
        <v>0.88212971476885005</v>
      </c>
      <c r="E1702">
        <v>0.83637799868806695</v>
      </c>
      <c r="F1702">
        <v>0.951304899814157</v>
      </c>
      <c r="G1702">
        <v>0.67337378048670404</v>
      </c>
      <c r="H1702">
        <v>0.57563098289904502</v>
      </c>
      <c r="I1702">
        <v>0.65090029031522401</v>
      </c>
      <c r="J1702">
        <v>0.60194694616770805</v>
      </c>
      <c r="K1702">
        <v>0.56032224465292702</v>
      </c>
      <c r="L1702">
        <v>698.58996940253996</v>
      </c>
      <c r="M1702">
        <v>12.7088299357286</v>
      </c>
      <c r="O1702">
        <v>53.661161461374299</v>
      </c>
      <c r="P1702">
        <v>-2.72302297205173E-2</v>
      </c>
      <c r="Q1702">
        <v>0.54018605683755705</v>
      </c>
      <c r="R1702">
        <v>0.86828432084366902</v>
      </c>
      <c r="S1702" t="s">
        <v>5534</v>
      </c>
      <c r="T1702" t="s">
        <v>7662</v>
      </c>
      <c r="U1702" t="s">
        <v>7662</v>
      </c>
      <c r="V1702" t="s">
        <v>7662</v>
      </c>
      <c r="W1702">
        <v>24</v>
      </c>
      <c r="X1702" t="s">
        <v>9364</v>
      </c>
      <c r="Y1702">
        <v>0.77998625828151502</v>
      </c>
      <c r="Z1702" t="str">
        <f>HYPERLINK("Melting_Curves/meltCurve_sp_Q16836_HCDH_HUMAN_.pdf", "Melting_Curves/meltCurve_sp_Q16836_HCDH_HUMAN_.pdf")</f>
        <v>Melting_Curves/meltCurve_sp_Q16836_HCDH_HUMAN_.pdf</v>
      </c>
      <c r="AA1702" t="s">
        <v>13169</v>
      </c>
      <c r="AB1702" t="s">
        <v>16942</v>
      </c>
    </row>
    <row r="1703" spans="1:28" x14ac:dyDescent="0.25">
      <c r="A1703" t="s">
        <v>1707</v>
      </c>
      <c r="B1703">
        <v>0.98876768158843997</v>
      </c>
      <c r="C1703">
        <v>0.75140721009497402</v>
      </c>
      <c r="D1703">
        <v>1.1374676574877001</v>
      </c>
      <c r="E1703">
        <v>0.97292472616861103</v>
      </c>
      <c r="F1703">
        <v>0.41723118753333899</v>
      </c>
      <c r="G1703">
        <v>0.17996855425611999</v>
      </c>
      <c r="H1703">
        <v>9.5967501291171403E-2</v>
      </c>
      <c r="I1703">
        <v>6.3167046452003897E-2</v>
      </c>
      <c r="J1703">
        <v>4.99800206196244E-2</v>
      </c>
      <c r="K1703">
        <v>3.7731058879092998E-2</v>
      </c>
      <c r="L1703">
        <v>3020.2550879177202</v>
      </c>
      <c r="M1703">
        <v>57.4998662141765</v>
      </c>
      <c r="N1703">
        <v>52.691028736088398</v>
      </c>
      <c r="O1703">
        <v>52.462897139993402</v>
      </c>
      <c r="P1703">
        <v>-0.251461568951035</v>
      </c>
      <c r="Q1703">
        <v>8.2266315100310003E-2</v>
      </c>
      <c r="R1703">
        <v>0.94858973410814595</v>
      </c>
      <c r="S1703" t="s">
        <v>5535</v>
      </c>
      <c r="T1703" t="s">
        <v>7662</v>
      </c>
      <c r="U1703" t="s">
        <v>7662</v>
      </c>
      <c r="V1703" t="s">
        <v>7662</v>
      </c>
      <c r="W1703">
        <v>35</v>
      </c>
      <c r="X1703" t="s">
        <v>9365</v>
      </c>
      <c r="Y1703">
        <v>0.46706542564559611</v>
      </c>
      <c r="Z1703" t="str">
        <f>HYPERLINK("Melting_Curves/meltCurve_sp_Q16851_2_UGPA_HUMAN_.pdf", "Melting_Curves/meltCurve_sp_Q16851_2_UGPA_HUMAN_.pdf")</f>
        <v>Melting_Curves/meltCurve_sp_Q16851_2_UGPA_HUMAN_.pdf</v>
      </c>
      <c r="AA1703" t="s">
        <v>13170</v>
      </c>
      <c r="AB1703" t="s">
        <v>16943</v>
      </c>
    </row>
    <row r="1704" spans="1:28" x14ac:dyDescent="0.25">
      <c r="A1704" t="s">
        <v>1708</v>
      </c>
      <c r="B1704">
        <v>0.98876768158843997</v>
      </c>
      <c r="C1704">
        <v>0.82211491039491802</v>
      </c>
      <c r="D1704">
        <v>1.1425219249941001</v>
      </c>
      <c r="E1704">
        <v>1.00694606177179</v>
      </c>
      <c r="F1704">
        <v>0.63940255794566103</v>
      </c>
      <c r="G1704">
        <v>0.14841188767341101</v>
      </c>
      <c r="H1704">
        <v>4.90099263795565E-2</v>
      </c>
      <c r="I1704">
        <v>3.2505994931042899E-2</v>
      </c>
      <c r="J1704">
        <v>3.7032655325688897E-2</v>
      </c>
      <c r="K1704">
        <v>2.9719460875767299E-2</v>
      </c>
      <c r="L1704">
        <v>2216.41844626086</v>
      </c>
      <c r="M1704">
        <v>41.229602567215402</v>
      </c>
      <c r="N1704">
        <v>53.865469130990299</v>
      </c>
      <c r="O1704">
        <v>53.631934809190199</v>
      </c>
      <c r="P1704">
        <v>-0.18459601568862999</v>
      </c>
      <c r="Q1704">
        <v>3.9503404365324603E-2</v>
      </c>
      <c r="R1704">
        <v>0.97226573881090195</v>
      </c>
      <c r="S1704" t="s">
        <v>5536</v>
      </c>
      <c r="T1704" t="s">
        <v>7662</v>
      </c>
      <c r="U1704" t="s">
        <v>7662</v>
      </c>
      <c r="V1704" t="s">
        <v>7662</v>
      </c>
      <c r="W1704">
        <v>35</v>
      </c>
      <c r="X1704" t="s">
        <v>9366</v>
      </c>
      <c r="Y1704">
        <v>0.48333850263432182</v>
      </c>
      <c r="Z1704" t="str">
        <f>HYPERLINK("Melting_Curves/meltCurve_sp_Q16851_UGPA_HUMAN_.pdf", "Melting_Curves/meltCurve_sp_Q16851_UGPA_HUMAN_.pdf")</f>
        <v>Melting_Curves/meltCurve_sp_Q16851_UGPA_HUMAN_.pdf</v>
      </c>
      <c r="AA1704" t="s">
        <v>13170</v>
      </c>
      <c r="AB1704" t="s">
        <v>16944</v>
      </c>
    </row>
    <row r="1705" spans="1:28" x14ac:dyDescent="0.25">
      <c r="A1705" t="s">
        <v>1709</v>
      </c>
      <c r="B1705">
        <v>0.98876768158843997</v>
      </c>
      <c r="C1705">
        <v>0.95437930920037195</v>
      </c>
      <c r="D1705">
        <v>0.92830229723726598</v>
      </c>
      <c r="E1705">
        <v>0.90386302451560496</v>
      </c>
      <c r="F1705">
        <v>0.82379589768001604</v>
      </c>
      <c r="G1705">
        <v>0.63796763891033903</v>
      </c>
      <c r="H1705">
        <v>0.51242215522554901</v>
      </c>
      <c r="I1705">
        <v>0.35730127840840697</v>
      </c>
      <c r="J1705">
        <v>5.7760351042233399E-2</v>
      </c>
      <c r="K1705">
        <v>3.3501855782002397E-2</v>
      </c>
      <c r="L1705">
        <v>845.42179774534497</v>
      </c>
      <c r="M1705">
        <v>14.1612151628846</v>
      </c>
      <c r="N1705">
        <v>59.699806183186702</v>
      </c>
      <c r="O1705">
        <v>58.5471309682938</v>
      </c>
      <c r="P1705">
        <v>-6.0476923652486803E-2</v>
      </c>
      <c r="Q1705">
        <v>0</v>
      </c>
      <c r="R1705">
        <v>0.96529886427701905</v>
      </c>
      <c r="S1705" t="s">
        <v>5537</v>
      </c>
      <c r="T1705" t="s">
        <v>7662</v>
      </c>
      <c r="U1705" t="s">
        <v>7662</v>
      </c>
      <c r="V1705" t="s">
        <v>7662</v>
      </c>
      <c r="W1705">
        <v>6</v>
      </c>
      <c r="X1705" t="s">
        <v>9367</v>
      </c>
      <c r="Y1705">
        <v>0.66399677786195188</v>
      </c>
      <c r="Z1705" t="str">
        <f>HYPERLINK("Melting_Curves/meltCurve_sp_Q16854_DGUOK_HUMAN_.pdf", "Melting_Curves/meltCurve_sp_Q16854_DGUOK_HUMAN_.pdf")</f>
        <v>Melting_Curves/meltCurve_sp_Q16854_DGUOK_HUMAN_.pdf</v>
      </c>
      <c r="AA1705" t="s">
        <v>13171</v>
      </c>
      <c r="AB1705" t="s">
        <v>16945</v>
      </c>
    </row>
    <row r="1706" spans="1:28" x14ac:dyDescent="0.25">
      <c r="A1706" t="s">
        <v>1710</v>
      </c>
      <c r="B1706">
        <v>0.98876768158843997</v>
      </c>
      <c r="C1706">
        <v>1.0687988219254501</v>
      </c>
      <c r="D1706">
        <v>0.88819925244239295</v>
      </c>
      <c r="E1706">
        <v>0.75530864983208101</v>
      </c>
      <c r="F1706">
        <v>0.87172543029798699</v>
      </c>
      <c r="G1706">
        <v>0.53194503642408197</v>
      </c>
      <c r="H1706">
        <v>0.219189790414658</v>
      </c>
      <c r="I1706">
        <v>0.11432279537939399</v>
      </c>
      <c r="J1706">
        <v>0.10557086592084899</v>
      </c>
      <c r="K1706">
        <v>0.10327378974408</v>
      </c>
      <c r="L1706">
        <v>896.45647013491305</v>
      </c>
      <c r="M1706">
        <v>15.745208680473301</v>
      </c>
      <c r="N1706">
        <v>57.015696005130501</v>
      </c>
      <c r="O1706">
        <v>56.040515456469102</v>
      </c>
      <c r="P1706">
        <v>-6.9473924660390998E-2</v>
      </c>
      <c r="Q1706">
        <v>1.0993241315094901E-2</v>
      </c>
      <c r="R1706">
        <v>0.96263750789418001</v>
      </c>
      <c r="S1706" t="s">
        <v>5538</v>
      </c>
      <c r="T1706" t="s">
        <v>7662</v>
      </c>
      <c r="U1706" t="s">
        <v>7662</v>
      </c>
      <c r="V1706" t="s">
        <v>7662</v>
      </c>
      <c r="W1706">
        <v>2</v>
      </c>
      <c r="X1706" t="s">
        <v>9368</v>
      </c>
      <c r="Y1706">
        <v>0.58458784438246525</v>
      </c>
      <c r="Z1706" t="str">
        <f>HYPERLINK("Melting_Curves/meltCurve_sp_Q16878_CDO1_HUMAN_.pdf", "Melting_Curves/meltCurve_sp_Q16878_CDO1_HUMAN_.pdf")</f>
        <v>Melting_Curves/meltCurve_sp_Q16878_CDO1_HUMAN_.pdf</v>
      </c>
      <c r="AA1706" t="s">
        <v>13172</v>
      </c>
      <c r="AB1706" t="s">
        <v>16946</v>
      </c>
    </row>
    <row r="1707" spans="1:28" x14ac:dyDescent="0.25">
      <c r="A1707" t="s">
        <v>1711</v>
      </c>
      <c r="B1707">
        <v>0.98876768158843997</v>
      </c>
      <c r="C1707">
        <v>0.90866282136353405</v>
      </c>
      <c r="D1707">
        <v>0.92357403077661604</v>
      </c>
      <c r="E1707">
        <v>0.71336082336796403</v>
      </c>
      <c r="F1707">
        <v>0.51670825459793401</v>
      </c>
      <c r="G1707">
        <v>0.40615148539209001</v>
      </c>
      <c r="H1707">
        <v>0.24438574812059799</v>
      </c>
      <c r="I1707">
        <v>0.21287892609105299</v>
      </c>
      <c r="J1707">
        <v>0.20635718942526199</v>
      </c>
      <c r="K1707">
        <v>9.1366272978209595E-2</v>
      </c>
      <c r="L1707">
        <v>615.11873778346001</v>
      </c>
      <c r="M1707">
        <v>11.5284879115123</v>
      </c>
      <c r="N1707">
        <v>54.203652608529197</v>
      </c>
      <c r="O1707">
        <v>51.826737989437497</v>
      </c>
      <c r="P1707">
        <v>-5.1040000994364301E-2</v>
      </c>
      <c r="Q1707">
        <v>8.24495576770332E-2</v>
      </c>
      <c r="R1707">
        <v>0.98943863367474405</v>
      </c>
      <c r="S1707" t="s">
        <v>5539</v>
      </c>
      <c r="T1707" t="s">
        <v>7662</v>
      </c>
      <c r="U1707" t="s">
        <v>7662</v>
      </c>
      <c r="V1707" t="s">
        <v>7662</v>
      </c>
      <c r="W1707">
        <v>2</v>
      </c>
      <c r="X1707" t="s">
        <v>9369</v>
      </c>
      <c r="Y1707">
        <v>0.51740269055154431</v>
      </c>
      <c r="Z1707" t="str">
        <f>HYPERLINK("Melting_Curves/meltCurve_sp_Q17R31_5_TATD3_HUMAN_.pdf", "Melting_Curves/meltCurve_sp_Q17R31_5_TATD3_HUMAN_.pdf")</f>
        <v>Melting_Curves/meltCurve_sp_Q17R31_5_TATD3_HUMAN_.pdf</v>
      </c>
      <c r="AA1707" t="s">
        <v>13173</v>
      </c>
      <c r="AB1707" t="s">
        <v>16947</v>
      </c>
    </row>
    <row r="1708" spans="1:28" x14ac:dyDescent="0.25">
      <c r="A1708" t="s">
        <v>1712</v>
      </c>
      <c r="B1708">
        <v>0.98876768158843997</v>
      </c>
      <c r="C1708">
        <v>1.1219646827818599</v>
      </c>
      <c r="D1708">
        <v>0.81757318224536801</v>
      </c>
      <c r="E1708">
        <v>0.67810506967405904</v>
      </c>
      <c r="F1708">
        <v>0.96737247549130301</v>
      </c>
      <c r="G1708">
        <v>0.62502269530940202</v>
      </c>
      <c r="H1708">
        <v>0.48438077524926099</v>
      </c>
      <c r="I1708">
        <v>0.65621323077295901</v>
      </c>
      <c r="J1708">
        <v>0.92308096623131897</v>
      </c>
      <c r="K1708">
        <v>0.99725327560190602</v>
      </c>
      <c r="L1708">
        <v>11445.6252940178</v>
      </c>
      <c r="M1708">
        <v>250</v>
      </c>
      <c r="O1708">
        <v>45.779571268756399</v>
      </c>
      <c r="P1708">
        <v>-0.32542812609055</v>
      </c>
      <c r="Q1708">
        <v>0.76163263813822202</v>
      </c>
      <c r="R1708">
        <v>0.33664821451548699</v>
      </c>
      <c r="S1708" t="s">
        <v>5540</v>
      </c>
      <c r="T1708" t="s">
        <v>7662</v>
      </c>
      <c r="U1708" t="s">
        <v>7662</v>
      </c>
      <c r="V1708" t="s">
        <v>7662</v>
      </c>
      <c r="W1708">
        <v>5</v>
      </c>
      <c r="X1708" t="s">
        <v>9370</v>
      </c>
      <c r="Y1708">
        <v>0.80759710872161683</v>
      </c>
      <c r="Z1708" t="str">
        <f>HYPERLINK("Melting_Curves/meltCurve_sp_Q17RC7_EX3L4_HUMAN_.pdf", "Melting_Curves/meltCurve_sp_Q17RC7_EX3L4_HUMAN_.pdf")</f>
        <v>Melting_Curves/meltCurve_sp_Q17RC7_EX3L4_HUMAN_.pdf</v>
      </c>
      <c r="AA1708" t="s">
        <v>13174</v>
      </c>
      <c r="AB1708" t="s">
        <v>16948</v>
      </c>
    </row>
    <row r="1709" spans="1:28" x14ac:dyDescent="0.25">
      <c r="A1709" t="s">
        <v>1713</v>
      </c>
      <c r="B1709">
        <v>0.98876768158843997</v>
      </c>
      <c r="C1709">
        <v>0.91930939658663702</v>
      </c>
      <c r="D1709">
        <v>1.0209385316365001</v>
      </c>
      <c r="E1709">
        <v>0.57366268121973996</v>
      </c>
      <c r="F1709">
        <v>0.21684508429913599</v>
      </c>
      <c r="G1709">
        <v>0.14133487937315201</v>
      </c>
      <c r="H1709">
        <v>8.4498932171378993E-2</v>
      </c>
      <c r="I1709">
        <v>4.4657406842003901E-2</v>
      </c>
      <c r="J1709">
        <v>0</v>
      </c>
      <c r="K1709">
        <v>0</v>
      </c>
      <c r="L1709">
        <v>1558.3658041640799</v>
      </c>
      <c r="M1709">
        <v>30.884852771090401</v>
      </c>
      <c r="N1709">
        <v>50.613087424109203</v>
      </c>
      <c r="O1709">
        <v>50.247163266611302</v>
      </c>
      <c r="P1709">
        <v>-0.146697523215474</v>
      </c>
      <c r="Q1709">
        <v>4.5345419983842103E-2</v>
      </c>
      <c r="R1709">
        <v>0.987575370217044</v>
      </c>
      <c r="S1709" t="s">
        <v>5541</v>
      </c>
      <c r="T1709" t="s">
        <v>7662</v>
      </c>
      <c r="U1709" t="s">
        <v>7662</v>
      </c>
      <c r="V1709" t="s">
        <v>7662</v>
      </c>
      <c r="W1709">
        <v>1</v>
      </c>
      <c r="X1709" t="s">
        <v>9371</v>
      </c>
      <c r="Y1709">
        <v>0.38372583418694811</v>
      </c>
      <c r="Z1709" t="str">
        <f>HYPERLINK("Melting_Curves/meltCurve_sp_Q17RN3_FA98C_HUMAN_.pdf", "Melting_Curves/meltCurve_sp_Q17RN3_FA98C_HUMAN_.pdf")</f>
        <v>Melting_Curves/meltCurve_sp_Q17RN3_FA98C_HUMAN_.pdf</v>
      </c>
      <c r="AA1709" t="s">
        <v>13175</v>
      </c>
      <c r="AB1709" t="s">
        <v>16949</v>
      </c>
    </row>
    <row r="1710" spans="1:28" x14ac:dyDescent="0.25">
      <c r="A1710" t="s">
        <v>1714</v>
      </c>
      <c r="B1710">
        <v>0.98876768158843997</v>
      </c>
      <c r="C1710">
        <v>0.94719421751621202</v>
      </c>
      <c r="D1710">
        <v>0.82237149360942996</v>
      </c>
      <c r="E1710">
        <v>0.55799021021068496</v>
      </c>
      <c r="F1710">
        <v>0.32156427872801502</v>
      </c>
      <c r="G1710">
        <v>0.15851174426200601</v>
      </c>
      <c r="H1710">
        <v>0.11227113600647</v>
      </c>
      <c r="I1710">
        <v>0.101932423910347</v>
      </c>
      <c r="J1710">
        <v>0.12773291493669101</v>
      </c>
      <c r="K1710">
        <v>0.137793586058051</v>
      </c>
      <c r="L1710">
        <v>926.871112729218</v>
      </c>
      <c r="M1710">
        <v>18.612944527697</v>
      </c>
      <c r="N1710">
        <v>50.423086262214703</v>
      </c>
      <c r="O1710">
        <v>49.232985040802198</v>
      </c>
      <c r="P1710">
        <v>-8.4768544545921296E-2</v>
      </c>
      <c r="Q1710">
        <v>0.10315560108116301</v>
      </c>
      <c r="R1710">
        <v>0.99725730641529198</v>
      </c>
      <c r="S1710" t="s">
        <v>5542</v>
      </c>
      <c r="T1710" t="s">
        <v>7662</v>
      </c>
      <c r="U1710" t="s">
        <v>7662</v>
      </c>
      <c r="V1710" t="s">
        <v>7662</v>
      </c>
      <c r="W1710">
        <v>11</v>
      </c>
      <c r="X1710" t="s">
        <v>9372</v>
      </c>
      <c r="Y1710">
        <v>0.4104166681484151</v>
      </c>
      <c r="Z1710" t="str">
        <f>HYPERLINK("Melting_Curves/meltCurve_sp_Q27J81_INF2_HUMAN_.pdf", "Melting_Curves/meltCurve_sp_Q27J81_INF2_HUMAN_.pdf")</f>
        <v>Melting_Curves/meltCurve_sp_Q27J81_INF2_HUMAN_.pdf</v>
      </c>
      <c r="AA1710" t="s">
        <v>13176</v>
      </c>
      <c r="AB1710" t="s">
        <v>16950</v>
      </c>
    </row>
    <row r="1711" spans="1:28" x14ac:dyDescent="0.25">
      <c r="A1711" t="s">
        <v>1715</v>
      </c>
      <c r="B1711">
        <v>0.98876768158843997</v>
      </c>
      <c r="C1711">
        <v>1.0171179235824299</v>
      </c>
      <c r="D1711">
        <v>0.84878828203958601</v>
      </c>
      <c r="E1711">
        <v>0.60590919530569598</v>
      </c>
      <c r="F1711">
        <v>0.692242385311722</v>
      </c>
      <c r="G1711">
        <v>0.53933598362649504</v>
      </c>
      <c r="H1711">
        <v>0.42801467366588603</v>
      </c>
      <c r="I1711">
        <v>0.52422377035230605</v>
      </c>
      <c r="J1711">
        <v>0.63026696183348196</v>
      </c>
      <c r="K1711">
        <v>0.72930172077336397</v>
      </c>
      <c r="L1711">
        <v>1881.4834029101801</v>
      </c>
      <c r="M1711">
        <v>40.312179576812802</v>
      </c>
      <c r="O1711">
        <v>46.558435600291403</v>
      </c>
      <c r="P1711">
        <v>-8.9109520380426605E-2</v>
      </c>
      <c r="Q1711">
        <v>0.58833387667465997</v>
      </c>
      <c r="R1711">
        <v>0.81493606971574295</v>
      </c>
      <c r="S1711" t="s">
        <v>5543</v>
      </c>
      <c r="T1711" t="s">
        <v>7662</v>
      </c>
      <c r="U1711" t="s">
        <v>7662</v>
      </c>
      <c r="V1711" t="s">
        <v>7662</v>
      </c>
      <c r="W1711">
        <v>13</v>
      </c>
      <c r="X1711" t="s">
        <v>9373</v>
      </c>
      <c r="Y1711">
        <v>0.68122097003521287</v>
      </c>
      <c r="Z1711" t="str">
        <f>HYPERLINK("Melting_Curves/meltCurve_sp_Q29RF7_PDS5A_HUMAN_.pdf", "Melting_Curves/meltCurve_sp_Q29RF7_PDS5A_HUMAN_.pdf")</f>
        <v>Melting_Curves/meltCurve_sp_Q29RF7_PDS5A_HUMAN_.pdf</v>
      </c>
      <c r="AA1711" t="s">
        <v>13177</v>
      </c>
      <c r="AB1711" t="s">
        <v>16951</v>
      </c>
    </row>
    <row r="1712" spans="1:28" x14ac:dyDescent="0.25">
      <c r="A1712" t="s">
        <v>1716</v>
      </c>
      <c r="B1712">
        <v>0.98876768158843997</v>
      </c>
      <c r="C1712">
        <v>0.81506396385005697</v>
      </c>
      <c r="D1712">
        <v>0.92128827583010997</v>
      </c>
      <c r="E1712">
        <v>0.53575547291672698</v>
      </c>
      <c r="F1712">
        <v>0.19747231700579801</v>
      </c>
      <c r="G1712">
        <v>0.12722170823812301</v>
      </c>
      <c r="H1712">
        <v>7.4507582797531696E-2</v>
      </c>
      <c r="I1712">
        <v>5.5112593318689E-2</v>
      </c>
      <c r="J1712">
        <v>0.150226259010242</v>
      </c>
      <c r="K1712">
        <v>4.2648917561179001E-2</v>
      </c>
      <c r="L1712">
        <v>1270.88736923243</v>
      </c>
      <c r="M1712">
        <v>25.529649707387399</v>
      </c>
      <c r="N1712">
        <v>50.104125350721603</v>
      </c>
      <c r="O1712">
        <v>49.478426584065801</v>
      </c>
      <c r="P1712">
        <v>-0.119200104895063</v>
      </c>
      <c r="Q1712">
        <v>7.5935781417049306E-2</v>
      </c>
      <c r="R1712">
        <v>0.97087071063136998</v>
      </c>
      <c r="S1712" t="s">
        <v>5544</v>
      </c>
      <c r="T1712" t="s">
        <v>7662</v>
      </c>
      <c r="U1712" t="s">
        <v>7662</v>
      </c>
      <c r="V1712" t="s">
        <v>7662</v>
      </c>
      <c r="W1712">
        <v>10</v>
      </c>
      <c r="X1712" t="s">
        <v>9374</v>
      </c>
      <c r="Y1712">
        <v>0.38510567314627248</v>
      </c>
      <c r="Z1712" t="str">
        <f>HYPERLINK("Melting_Curves/meltCurve_sp_Q2M389_WASH7_HUMAN_.pdf", "Melting_Curves/meltCurve_sp_Q2M389_WASH7_HUMAN_.pdf")</f>
        <v>Melting_Curves/meltCurve_sp_Q2M389_WASH7_HUMAN_.pdf</v>
      </c>
      <c r="AA1712" t="s">
        <v>13178</v>
      </c>
      <c r="AB1712" t="s">
        <v>16952</v>
      </c>
    </row>
    <row r="1713" spans="1:28" x14ac:dyDescent="0.25">
      <c r="A1713" t="s">
        <v>1717</v>
      </c>
      <c r="B1713">
        <v>0.98876768158843997</v>
      </c>
      <c r="C1713">
        <v>1.0012422095807201</v>
      </c>
      <c r="D1713">
        <v>1.1133389750874301</v>
      </c>
      <c r="E1713">
        <v>0.53441689634228295</v>
      </c>
      <c r="F1713">
        <v>0.24711137816978601</v>
      </c>
      <c r="G1713">
        <v>0.113049271198852</v>
      </c>
      <c r="H1713">
        <v>0.10432028003848599</v>
      </c>
      <c r="I1713">
        <v>4.6458205362528197E-2</v>
      </c>
      <c r="J1713">
        <v>0.12334277173668599</v>
      </c>
      <c r="K1713">
        <v>2.1646121732773301E-2</v>
      </c>
      <c r="L1713">
        <v>1938.6431801014</v>
      </c>
      <c r="M1713">
        <v>38.638916156032202</v>
      </c>
      <c r="N1713">
        <v>50.422626950107301</v>
      </c>
      <c r="O1713">
        <v>50.039495676304298</v>
      </c>
      <c r="P1713">
        <v>-0.176257850417186</v>
      </c>
      <c r="Q1713">
        <v>8.6948057338947199E-2</v>
      </c>
      <c r="R1713">
        <v>0.98166403638589095</v>
      </c>
      <c r="S1713" t="s">
        <v>5545</v>
      </c>
      <c r="T1713" t="s">
        <v>7662</v>
      </c>
      <c r="U1713" t="s">
        <v>7662</v>
      </c>
      <c r="V1713" t="s">
        <v>7662</v>
      </c>
      <c r="W1713">
        <v>2</v>
      </c>
      <c r="X1713" t="s">
        <v>9375</v>
      </c>
      <c r="Y1713">
        <v>0.39997066634303219</v>
      </c>
      <c r="Z1713" t="str">
        <f>HYPERLINK("Melting_Curves/meltCurve_sp_Q2PPJ7_3_RGPA2_HUMAN_.pdf", "Melting_Curves/meltCurve_sp_Q2PPJ7_3_RGPA2_HUMAN_.pdf")</f>
        <v>Melting_Curves/meltCurve_sp_Q2PPJ7_3_RGPA2_HUMAN_.pdf</v>
      </c>
      <c r="AA1713" t="s">
        <v>13179</v>
      </c>
      <c r="AB1713" t="s">
        <v>16953</v>
      </c>
    </row>
    <row r="1714" spans="1:28" x14ac:dyDescent="0.25">
      <c r="A1714" t="s">
        <v>1718</v>
      </c>
      <c r="B1714">
        <v>0.98876768158843997</v>
      </c>
      <c r="C1714">
        <v>0.91548551506669096</v>
      </c>
      <c r="D1714">
        <v>0.90569946154419101</v>
      </c>
      <c r="E1714">
        <v>0.780596420754048</v>
      </c>
      <c r="F1714">
        <v>0.67600622236904795</v>
      </c>
      <c r="G1714">
        <v>0.26759964072950998</v>
      </c>
      <c r="H1714">
        <v>0.203572698155329</v>
      </c>
      <c r="I1714">
        <v>0.142413298052947</v>
      </c>
      <c r="J1714">
        <v>0.17110227981887099</v>
      </c>
      <c r="K1714">
        <v>0.14518528011552201</v>
      </c>
      <c r="L1714">
        <v>978.35006273239401</v>
      </c>
      <c r="M1714">
        <v>18.299771528181498</v>
      </c>
      <c r="N1714">
        <v>54.281888677775598</v>
      </c>
      <c r="O1714">
        <v>52.836287432281502</v>
      </c>
      <c r="P1714">
        <v>-7.6140194194864605E-2</v>
      </c>
      <c r="Q1714">
        <v>0.120693397479005</v>
      </c>
      <c r="R1714">
        <v>0.98196173509947404</v>
      </c>
      <c r="S1714" t="s">
        <v>5546</v>
      </c>
      <c r="T1714" t="s">
        <v>7662</v>
      </c>
      <c r="U1714" t="s">
        <v>7662</v>
      </c>
      <c r="V1714" t="s">
        <v>7662</v>
      </c>
      <c r="W1714">
        <v>4</v>
      </c>
      <c r="X1714" t="s">
        <v>9376</v>
      </c>
      <c r="Y1714">
        <v>0.52917738397665637</v>
      </c>
      <c r="Z1714" t="str">
        <f>HYPERLINK("Melting_Curves/meltCurve_sp_Q2T9J0_TYSD1_HUMAN_.pdf", "Melting_Curves/meltCurve_sp_Q2T9J0_TYSD1_HUMAN_.pdf")</f>
        <v>Melting_Curves/meltCurve_sp_Q2T9J0_TYSD1_HUMAN_.pdf</v>
      </c>
      <c r="AA1714" t="s">
        <v>13180</v>
      </c>
      <c r="AB1714" t="s">
        <v>16954</v>
      </c>
    </row>
    <row r="1715" spans="1:28" x14ac:dyDescent="0.25">
      <c r="A1715" t="s">
        <v>1719</v>
      </c>
      <c r="B1715">
        <v>0.98876768158843997</v>
      </c>
      <c r="C1715">
        <v>0.96292129922071501</v>
      </c>
      <c r="D1715">
        <v>1.0075014588876701</v>
      </c>
      <c r="E1715">
        <v>0.46464676905502</v>
      </c>
      <c r="F1715">
        <v>0.165179759639702</v>
      </c>
      <c r="G1715">
        <v>7.6375956904184902E-2</v>
      </c>
      <c r="H1715">
        <v>3.3894547563646599E-2</v>
      </c>
      <c r="I1715">
        <v>4.7851347672488199E-2</v>
      </c>
      <c r="J1715">
        <v>3.7714475973748003E-2</v>
      </c>
      <c r="K1715">
        <v>1.96368355420364E-2</v>
      </c>
      <c r="L1715">
        <v>1858.69544763196</v>
      </c>
      <c r="M1715">
        <v>37.335505025977199</v>
      </c>
      <c r="N1715">
        <v>49.909565872655499</v>
      </c>
      <c r="O1715">
        <v>49.6414124788976</v>
      </c>
      <c r="P1715">
        <v>-0.17957150748002401</v>
      </c>
      <c r="Q1715">
        <v>4.4967110908768801E-2</v>
      </c>
      <c r="R1715">
        <v>0.99624126526995205</v>
      </c>
      <c r="S1715" t="s">
        <v>5547</v>
      </c>
      <c r="T1715" t="s">
        <v>7662</v>
      </c>
      <c r="U1715" t="s">
        <v>7662</v>
      </c>
      <c r="V1715" t="s">
        <v>7662</v>
      </c>
      <c r="W1715">
        <v>2</v>
      </c>
      <c r="X1715" t="s">
        <v>9377</v>
      </c>
      <c r="Y1715">
        <v>0.36020138892313308</v>
      </c>
      <c r="Z1715" t="str">
        <f>HYPERLINK("Melting_Curves/meltCurve_sp_Q2TAY7_SMU1_HUMAN_.pdf", "Melting_Curves/meltCurve_sp_Q2TAY7_SMU1_HUMAN_.pdf")</f>
        <v>Melting_Curves/meltCurve_sp_Q2TAY7_SMU1_HUMAN_.pdf</v>
      </c>
      <c r="AA1715" t="s">
        <v>13181</v>
      </c>
      <c r="AB1715" t="s">
        <v>16955</v>
      </c>
    </row>
    <row r="1716" spans="1:28" x14ac:dyDescent="0.25">
      <c r="A1716" t="s">
        <v>1720</v>
      </c>
      <c r="B1716">
        <v>0.98876768158843997</v>
      </c>
      <c r="C1716">
        <v>0.83947999541817198</v>
      </c>
      <c r="D1716">
        <v>0.89297777442683701</v>
      </c>
      <c r="E1716">
        <v>0.77027178773411897</v>
      </c>
      <c r="F1716">
        <v>0.52857439569937403</v>
      </c>
      <c r="G1716">
        <v>0.34954080990980801</v>
      </c>
      <c r="H1716">
        <v>0.194073941133418</v>
      </c>
      <c r="I1716">
        <v>0.101416578114937</v>
      </c>
      <c r="J1716">
        <v>9.0543160439992498E-2</v>
      </c>
      <c r="K1716">
        <v>2.3438714476088199E-2</v>
      </c>
      <c r="L1716">
        <v>661.65974255570302</v>
      </c>
      <c r="M1716">
        <v>12.2860361154804</v>
      </c>
      <c r="N1716">
        <v>53.854614399294199</v>
      </c>
      <c r="O1716">
        <v>52.4874865492909</v>
      </c>
      <c r="P1716">
        <v>-5.8531757896795003E-2</v>
      </c>
      <c r="Q1716">
        <v>0</v>
      </c>
      <c r="R1716">
        <v>0.98486866178483801</v>
      </c>
      <c r="S1716" t="s">
        <v>5548</v>
      </c>
      <c r="T1716" t="s">
        <v>7662</v>
      </c>
      <c r="U1716" t="s">
        <v>7662</v>
      </c>
      <c r="V1716" t="s">
        <v>7662</v>
      </c>
      <c r="W1716">
        <v>2</v>
      </c>
      <c r="X1716" t="s">
        <v>9378</v>
      </c>
      <c r="Y1716">
        <v>0.48769949481836239</v>
      </c>
      <c r="Z1716" t="str">
        <f>HYPERLINK("Melting_Curves/meltCurve_sp_Q2TAZ0_ATG2A_HUMAN_.pdf", "Melting_Curves/meltCurve_sp_Q2TAZ0_ATG2A_HUMAN_.pdf")</f>
        <v>Melting_Curves/meltCurve_sp_Q2TAZ0_ATG2A_HUMAN_.pdf</v>
      </c>
      <c r="AA1716" t="s">
        <v>13182</v>
      </c>
      <c r="AB1716" t="s">
        <v>16956</v>
      </c>
    </row>
    <row r="1717" spans="1:28" x14ac:dyDescent="0.25">
      <c r="A1717" t="s">
        <v>1721</v>
      </c>
      <c r="B1717">
        <v>0.98876768158843997</v>
      </c>
      <c r="C1717">
        <v>0.953143899002173</v>
      </c>
      <c r="D1717">
        <v>0.95415913872949698</v>
      </c>
      <c r="E1717">
        <v>0.81224442647981898</v>
      </c>
      <c r="F1717">
        <v>0.94503631566058999</v>
      </c>
      <c r="G1717">
        <v>0.72902047243814005</v>
      </c>
      <c r="H1717">
        <v>0.61938662593557203</v>
      </c>
      <c r="I1717">
        <v>0.72774079492935695</v>
      </c>
      <c r="J1717">
        <v>0.84854429504475304</v>
      </c>
      <c r="K1717">
        <v>1.0723964268041599</v>
      </c>
      <c r="L1717">
        <v>1001.48264656449</v>
      </c>
      <c r="M1717">
        <v>21.225050786321098</v>
      </c>
      <c r="O1717">
        <v>46.771143596052099</v>
      </c>
      <c r="P1717">
        <v>-2.1128271951046301E-2</v>
      </c>
      <c r="Q1717">
        <v>0.81377325752028096</v>
      </c>
      <c r="R1717">
        <v>0.23648060563433901</v>
      </c>
      <c r="S1717" t="s">
        <v>5549</v>
      </c>
      <c r="T1717" t="s">
        <v>7662</v>
      </c>
      <c r="U1717" t="s">
        <v>7662</v>
      </c>
      <c r="V1717" t="s">
        <v>7662</v>
      </c>
      <c r="W1717">
        <v>24</v>
      </c>
      <c r="X1717" t="s">
        <v>9379</v>
      </c>
      <c r="Y1717">
        <v>0.86074381768692754</v>
      </c>
      <c r="Z1717" t="str">
        <f>HYPERLINK("Melting_Curves/meltCurve_sp_Q32MZ4_2_LRRF1_HUMAN_.pdf", "Melting_Curves/meltCurve_sp_Q32MZ4_2_LRRF1_HUMAN_.pdf")</f>
        <v>Melting_Curves/meltCurve_sp_Q32MZ4_2_LRRF1_HUMAN_.pdf</v>
      </c>
      <c r="AA1717" t="s">
        <v>13183</v>
      </c>
      <c r="AB1717" t="s">
        <v>16957</v>
      </c>
    </row>
    <row r="1718" spans="1:28" x14ac:dyDescent="0.25">
      <c r="A1718" t="s">
        <v>1722</v>
      </c>
      <c r="B1718">
        <v>0.98876768158843997</v>
      </c>
      <c r="C1718">
        <v>0.88375869687908704</v>
      </c>
      <c r="D1718">
        <v>0.88519312681830498</v>
      </c>
      <c r="E1718">
        <v>0.90597800113086602</v>
      </c>
      <c r="F1718">
        <v>0.74121615833236798</v>
      </c>
      <c r="G1718">
        <v>0.54967158861726395</v>
      </c>
      <c r="H1718">
        <v>0.44757790793448499</v>
      </c>
      <c r="I1718">
        <v>0.43057001880676898</v>
      </c>
      <c r="J1718">
        <v>0.68721883988102295</v>
      </c>
      <c r="K1718">
        <v>0.62126963643338395</v>
      </c>
      <c r="L1718">
        <v>1605.50957503731</v>
      </c>
      <c r="M1718">
        <v>30.7417967378281</v>
      </c>
      <c r="O1718">
        <v>52.006129888418599</v>
      </c>
      <c r="P1718">
        <v>-6.7684563251890206E-2</v>
      </c>
      <c r="Q1718">
        <v>0.54199279847222204</v>
      </c>
      <c r="R1718">
        <v>0.78792492813932702</v>
      </c>
      <c r="S1718" t="s">
        <v>5550</v>
      </c>
      <c r="T1718" t="s">
        <v>7662</v>
      </c>
      <c r="U1718" t="s">
        <v>7662</v>
      </c>
      <c r="V1718" t="s">
        <v>7662</v>
      </c>
      <c r="W1718">
        <v>5</v>
      </c>
      <c r="X1718" t="s">
        <v>9380</v>
      </c>
      <c r="Y1718">
        <v>0.73143819563940393</v>
      </c>
      <c r="Z1718" t="str">
        <f>HYPERLINK("Melting_Curves/meltCurve_sp_Q32MZ4_4_LRRF1_HUMAN_.pdf", "Melting_Curves/meltCurve_sp_Q32MZ4_4_LRRF1_HUMAN_.pdf")</f>
        <v>Melting_Curves/meltCurve_sp_Q32MZ4_4_LRRF1_HUMAN_.pdf</v>
      </c>
      <c r="AA1718" t="s">
        <v>13183</v>
      </c>
      <c r="AB1718" t="s">
        <v>16958</v>
      </c>
    </row>
    <row r="1719" spans="1:28" x14ac:dyDescent="0.25">
      <c r="A1719" t="s">
        <v>1723</v>
      </c>
      <c r="B1719">
        <v>0.98876768158843997</v>
      </c>
      <c r="C1719">
        <v>0.96351327211628102</v>
      </c>
      <c r="D1719">
        <v>0.92697997117446695</v>
      </c>
      <c r="E1719">
        <v>0.72603506916195304</v>
      </c>
      <c r="F1719">
        <v>0.42347160766645298</v>
      </c>
      <c r="G1719">
        <v>0.15274936432188099</v>
      </c>
      <c r="H1719">
        <v>0.12009663801696201</v>
      </c>
      <c r="I1719">
        <v>9.3362687876980197E-2</v>
      </c>
      <c r="J1719">
        <v>0.24019727200463101</v>
      </c>
      <c r="K1719">
        <v>0.12069417421671701</v>
      </c>
      <c r="L1719">
        <v>1363.0185109957299</v>
      </c>
      <c r="M1719">
        <v>26.500459489765401</v>
      </c>
      <c r="N1719">
        <v>52.036856259064699</v>
      </c>
      <c r="O1719">
        <v>51.1435768802437</v>
      </c>
      <c r="P1719">
        <v>-0.112412687450785</v>
      </c>
      <c r="Q1719">
        <v>0.13222271446615499</v>
      </c>
      <c r="R1719">
        <v>0.98612037967444699</v>
      </c>
      <c r="S1719" t="s">
        <v>5551</v>
      </c>
      <c r="T1719" t="s">
        <v>7662</v>
      </c>
      <c r="U1719" t="s">
        <v>7662</v>
      </c>
      <c r="V1719" t="s">
        <v>7662</v>
      </c>
      <c r="W1719">
        <v>12</v>
      </c>
      <c r="X1719" t="s">
        <v>9381</v>
      </c>
      <c r="Y1719">
        <v>0.46998131148577049</v>
      </c>
      <c r="Z1719" t="str">
        <f>HYPERLINK("Melting_Curves/meltCurve_sp_Q32P44_EMAL3_HUMAN_.pdf", "Melting_Curves/meltCurve_sp_Q32P44_EMAL3_HUMAN_.pdf")</f>
        <v>Melting_Curves/meltCurve_sp_Q32P44_EMAL3_HUMAN_.pdf</v>
      </c>
      <c r="AA1719" t="s">
        <v>13184</v>
      </c>
      <c r="AB1719" t="s">
        <v>16959</v>
      </c>
    </row>
    <row r="1720" spans="1:28" x14ac:dyDescent="0.25">
      <c r="A1720" t="s">
        <v>1724</v>
      </c>
      <c r="B1720">
        <v>0.98876768158843997</v>
      </c>
      <c r="C1720">
        <v>1.11820763591435</v>
      </c>
      <c r="D1720">
        <v>1.03904603631946</v>
      </c>
      <c r="E1720">
        <v>0.74393771590436797</v>
      </c>
      <c r="F1720">
        <v>0.358530461847059</v>
      </c>
      <c r="G1720">
        <v>2.1870949190237601E-2</v>
      </c>
      <c r="H1720">
        <v>0</v>
      </c>
      <c r="I1720">
        <v>0</v>
      </c>
      <c r="J1720">
        <v>0</v>
      </c>
      <c r="K1720">
        <v>0</v>
      </c>
      <c r="L1720">
        <v>1673.1900914770799</v>
      </c>
      <c r="M1720">
        <v>32.254479583210703</v>
      </c>
      <c r="N1720">
        <v>51.874657720630204</v>
      </c>
      <c r="O1720">
        <v>51.676485857991601</v>
      </c>
      <c r="P1720">
        <v>-0.156041198716344</v>
      </c>
      <c r="Q1720">
        <v>0</v>
      </c>
      <c r="R1720">
        <v>0.99094180071411997</v>
      </c>
      <c r="S1720" t="s">
        <v>5552</v>
      </c>
      <c r="T1720" t="s">
        <v>7662</v>
      </c>
      <c r="U1720" t="s">
        <v>7662</v>
      </c>
      <c r="V1720" t="s">
        <v>7662</v>
      </c>
      <c r="W1720">
        <v>2</v>
      </c>
      <c r="X1720" t="s">
        <v>9382</v>
      </c>
      <c r="Y1720">
        <v>0.4013417697127139</v>
      </c>
      <c r="Z1720" t="str">
        <f>HYPERLINK("Melting_Curves/meltCurve_sp_Q3B7J2_GFOD2_HUMAN_.pdf", "Melting_Curves/meltCurve_sp_Q3B7J2_GFOD2_HUMAN_.pdf")</f>
        <v>Melting_Curves/meltCurve_sp_Q3B7J2_GFOD2_HUMAN_.pdf</v>
      </c>
      <c r="AA1720" t="s">
        <v>13185</v>
      </c>
      <c r="AB1720" t="s">
        <v>16960</v>
      </c>
    </row>
    <row r="1721" spans="1:28" x14ac:dyDescent="0.25">
      <c r="A1721" t="s">
        <v>1725</v>
      </c>
      <c r="B1721">
        <v>0.98876768158843997</v>
      </c>
      <c r="C1721">
        <v>0.966771441628968</v>
      </c>
      <c r="D1721">
        <v>0.95550641382607204</v>
      </c>
      <c r="E1721">
        <v>0.94663719675952795</v>
      </c>
      <c r="F1721">
        <v>0.80035400469410101</v>
      </c>
      <c r="G1721">
        <v>0.44964696994810199</v>
      </c>
      <c r="H1721">
        <v>4.2773755998666202E-2</v>
      </c>
      <c r="I1721">
        <v>3.5971608470223897E-2</v>
      </c>
      <c r="J1721">
        <v>3.1876985405890602E-2</v>
      </c>
      <c r="K1721">
        <v>2.6408424359735502E-2</v>
      </c>
      <c r="L1721">
        <v>1471.54047001353</v>
      </c>
      <c r="M1721">
        <v>26.204004253861701</v>
      </c>
      <c r="N1721">
        <v>56.1570841415624</v>
      </c>
      <c r="O1721">
        <v>55.833088146335797</v>
      </c>
      <c r="P1721">
        <v>-0.117333185809919</v>
      </c>
      <c r="Q1721">
        <v>0</v>
      </c>
      <c r="R1721">
        <v>0.99378221550353796</v>
      </c>
      <c r="S1721" t="s">
        <v>5553</v>
      </c>
      <c r="T1721" t="s">
        <v>7662</v>
      </c>
      <c r="U1721" t="s">
        <v>7662</v>
      </c>
      <c r="V1721" t="s">
        <v>7662</v>
      </c>
      <c r="W1721">
        <v>30</v>
      </c>
      <c r="X1721" t="s">
        <v>9383</v>
      </c>
      <c r="Y1721">
        <v>0.54703690755393419</v>
      </c>
      <c r="Z1721" t="str">
        <f>HYPERLINK("Melting_Curves/meltCurve_sp_Q3LXA3_DHAK_HUMAN_.pdf", "Melting_Curves/meltCurve_sp_Q3LXA3_DHAK_HUMAN_.pdf")</f>
        <v>Melting_Curves/meltCurve_sp_Q3LXA3_DHAK_HUMAN_.pdf</v>
      </c>
      <c r="AA1721" t="s">
        <v>13186</v>
      </c>
      <c r="AB1721" t="s">
        <v>16961</v>
      </c>
    </row>
    <row r="1722" spans="1:28" x14ac:dyDescent="0.25">
      <c r="A1722" t="s">
        <v>1726</v>
      </c>
      <c r="B1722">
        <v>0.98876768158843997</v>
      </c>
      <c r="C1722">
        <v>1.06767475313108</v>
      </c>
      <c r="D1722">
        <v>0.87963460767346302</v>
      </c>
      <c r="E1722">
        <v>0.80325551110883497</v>
      </c>
      <c r="F1722">
        <v>0.86572504929362804</v>
      </c>
      <c r="G1722">
        <v>0.52017887225779502</v>
      </c>
      <c r="H1722">
        <v>0.28286432741867501</v>
      </c>
      <c r="I1722">
        <v>0.24366572280684301</v>
      </c>
      <c r="J1722">
        <v>0.17958047747248301</v>
      </c>
      <c r="K1722">
        <v>0.19498025465893101</v>
      </c>
      <c r="L1722">
        <v>895.79678934075105</v>
      </c>
      <c r="M1722">
        <v>15.8966750779948</v>
      </c>
      <c r="N1722">
        <v>57.402859284582803</v>
      </c>
      <c r="O1722">
        <v>55.482070077244899</v>
      </c>
      <c r="P1722">
        <v>-6.2585964746592407E-2</v>
      </c>
      <c r="Q1722">
        <v>0.12632807223283599</v>
      </c>
      <c r="R1722">
        <v>0.96760241432674499</v>
      </c>
      <c r="S1722" t="s">
        <v>5554</v>
      </c>
      <c r="T1722" t="s">
        <v>7662</v>
      </c>
      <c r="U1722" t="s">
        <v>7662</v>
      </c>
      <c r="V1722" t="s">
        <v>7662</v>
      </c>
      <c r="W1722">
        <v>3</v>
      </c>
      <c r="X1722" t="s">
        <v>9384</v>
      </c>
      <c r="Y1722">
        <v>0.61677209435803093</v>
      </c>
      <c r="Z1722" t="str">
        <f>HYPERLINK("Melting_Curves/meltCurve_sp_Q3MHD2_LSM12_HUMAN_.pdf", "Melting_Curves/meltCurve_sp_Q3MHD2_LSM12_HUMAN_.pdf")</f>
        <v>Melting_Curves/meltCurve_sp_Q3MHD2_LSM12_HUMAN_.pdf</v>
      </c>
      <c r="AA1722" t="s">
        <v>13187</v>
      </c>
      <c r="AB1722" t="s">
        <v>16962</v>
      </c>
    </row>
    <row r="1723" spans="1:28" x14ac:dyDescent="0.25">
      <c r="A1723" t="s">
        <v>1727</v>
      </c>
      <c r="B1723">
        <v>0.98876768158843997</v>
      </c>
      <c r="C1723">
        <v>0.97583249029107799</v>
      </c>
      <c r="D1723">
        <v>0.93748669363362702</v>
      </c>
      <c r="E1723">
        <v>0.81565886012699995</v>
      </c>
      <c r="F1723">
        <v>0.471147397167751</v>
      </c>
      <c r="G1723">
        <v>0.13927605335266099</v>
      </c>
      <c r="H1723">
        <v>8.0503776438926797E-2</v>
      </c>
      <c r="I1723">
        <v>5.9383668225057501E-2</v>
      </c>
      <c r="J1723">
        <v>6.5811478743930799E-2</v>
      </c>
      <c r="K1723">
        <v>4.5882475256408997E-2</v>
      </c>
      <c r="L1723">
        <v>1424.37188525436</v>
      </c>
      <c r="M1723">
        <v>27.120666377855201</v>
      </c>
      <c r="N1723">
        <v>52.734692482089997</v>
      </c>
      <c r="O1723">
        <v>52.236734781347501</v>
      </c>
      <c r="P1723">
        <v>-0.123007439443445</v>
      </c>
      <c r="Q1723">
        <v>5.2317465720602703E-2</v>
      </c>
      <c r="R1723">
        <v>0.99822330361116696</v>
      </c>
      <c r="S1723" t="s">
        <v>5555</v>
      </c>
      <c r="T1723" t="s">
        <v>7662</v>
      </c>
      <c r="U1723" t="s">
        <v>7662</v>
      </c>
      <c r="V1723" t="s">
        <v>7662</v>
      </c>
      <c r="W1723">
        <v>7</v>
      </c>
      <c r="X1723" t="s">
        <v>9385</v>
      </c>
      <c r="Y1723">
        <v>0.4552451317421371</v>
      </c>
      <c r="Z1723" t="str">
        <f>HYPERLINK("Melting_Curves/meltCurve_sp_Q3MIT2_PUS10_HUMAN_.pdf", "Melting_Curves/meltCurve_sp_Q3MIT2_PUS10_HUMAN_.pdf")</f>
        <v>Melting_Curves/meltCurve_sp_Q3MIT2_PUS10_HUMAN_.pdf</v>
      </c>
      <c r="AA1723" t="s">
        <v>13188</v>
      </c>
      <c r="AB1723" t="s">
        <v>16963</v>
      </c>
    </row>
    <row r="1724" spans="1:28" x14ac:dyDescent="0.25">
      <c r="A1724" t="s">
        <v>1728</v>
      </c>
      <c r="B1724">
        <v>0.98876768158843997</v>
      </c>
      <c r="C1724">
        <v>1.0847721193554301</v>
      </c>
      <c r="D1724">
        <v>0.868433947810064</v>
      </c>
      <c r="E1724">
        <v>0.70371257363352002</v>
      </c>
      <c r="F1724">
        <v>0.67547016517554803</v>
      </c>
      <c r="G1724">
        <v>0.19504634550438099</v>
      </c>
      <c r="H1724">
        <v>7.0683374317884504E-2</v>
      </c>
      <c r="I1724">
        <v>4.5690056098557398E-2</v>
      </c>
      <c r="J1724">
        <v>6.7016127356367694E-2</v>
      </c>
      <c r="K1724">
        <v>5.1463673388294703E-2</v>
      </c>
      <c r="L1724">
        <v>957.83290172096702</v>
      </c>
      <c r="M1724">
        <v>17.890262630120201</v>
      </c>
      <c r="N1724">
        <v>53.5935390188681</v>
      </c>
      <c r="O1724">
        <v>52.883848477923699</v>
      </c>
      <c r="P1724">
        <v>-8.3819500164349095E-2</v>
      </c>
      <c r="Q1724">
        <v>8.9641186946036299E-3</v>
      </c>
      <c r="R1724">
        <v>0.97248432022383302</v>
      </c>
      <c r="S1724" t="s">
        <v>5556</v>
      </c>
      <c r="T1724" t="s">
        <v>7662</v>
      </c>
      <c r="U1724" t="s">
        <v>7662</v>
      </c>
      <c r="V1724" t="s">
        <v>7662</v>
      </c>
      <c r="W1724">
        <v>4</v>
      </c>
      <c r="X1724" t="s">
        <v>9386</v>
      </c>
      <c r="Y1724">
        <v>0.47242480098567019</v>
      </c>
      <c r="Z1724" t="str">
        <f>HYPERLINK("Melting_Curves/meltCurve_sp_Q3ZCW2_LEGL_HUMAN_.pdf", "Melting_Curves/meltCurve_sp_Q3ZCW2_LEGL_HUMAN_.pdf")</f>
        <v>Melting_Curves/meltCurve_sp_Q3ZCW2_LEGL_HUMAN_.pdf</v>
      </c>
      <c r="AA1724" t="s">
        <v>13189</v>
      </c>
      <c r="AB1724" t="s">
        <v>16964</v>
      </c>
    </row>
    <row r="1725" spans="1:28" x14ac:dyDescent="0.25">
      <c r="A1725" t="s">
        <v>1729</v>
      </c>
      <c r="B1725">
        <v>0.98876768158843997</v>
      </c>
      <c r="C1725">
        <v>0.94464856716325996</v>
      </c>
      <c r="D1725">
        <v>0.96454111250385899</v>
      </c>
      <c r="E1725">
        <v>0.83559246334368398</v>
      </c>
      <c r="F1725">
        <v>0.65050246218702701</v>
      </c>
      <c r="G1725">
        <v>0.49928596409098602</v>
      </c>
      <c r="H1725">
        <v>0.38866036817528199</v>
      </c>
      <c r="I1725">
        <v>0.27793914113054502</v>
      </c>
      <c r="J1725">
        <v>7.2814083006369504E-2</v>
      </c>
      <c r="K1725">
        <v>9.1560066033601201E-2</v>
      </c>
      <c r="L1725">
        <v>631.67249753638896</v>
      </c>
      <c r="M1725">
        <v>11.078341631579301</v>
      </c>
      <c r="N1725">
        <v>57.018687259180197</v>
      </c>
      <c r="O1725">
        <v>55.255364427690999</v>
      </c>
      <c r="P1725">
        <v>-5.0139834430734199E-2</v>
      </c>
      <c r="Q1725">
        <v>0</v>
      </c>
      <c r="R1725">
        <v>0.98376653358032595</v>
      </c>
      <c r="S1725" t="s">
        <v>5557</v>
      </c>
      <c r="T1725" t="s">
        <v>7662</v>
      </c>
      <c r="U1725" t="s">
        <v>7662</v>
      </c>
      <c r="V1725" t="s">
        <v>7662</v>
      </c>
      <c r="W1725">
        <v>4</v>
      </c>
      <c r="X1725" t="s">
        <v>9387</v>
      </c>
      <c r="Y1725">
        <v>0.58381411428585417</v>
      </c>
      <c r="Z1725" t="str">
        <f>HYPERLINK("Melting_Curves/meltCurve_sp_Q49A26_5_GLYR1_HUMAN_.pdf", "Melting_Curves/meltCurve_sp_Q49A26_5_GLYR1_HUMAN_.pdf")</f>
        <v>Melting_Curves/meltCurve_sp_Q49A26_5_GLYR1_HUMAN_.pdf</v>
      </c>
      <c r="AA1725" t="s">
        <v>13190</v>
      </c>
      <c r="AB1725" t="s">
        <v>16965</v>
      </c>
    </row>
    <row r="1726" spans="1:28" x14ac:dyDescent="0.25">
      <c r="A1726" t="s">
        <v>1730</v>
      </c>
      <c r="B1726">
        <v>0.98876768158843997</v>
      </c>
      <c r="C1726">
        <v>0.99065330162838805</v>
      </c>
      <c r="D1726">
        <v>0.70333188777938205</v>
      </c>
      <c r="E1726">
        <v>0.55305928611558197</v>
      </c>
      <c r="F1726">
        <v>0.57106466299390801</v>
      </c>
      <c r="G1726">
        <v>0.42080156549009001</v>
      </c>
      <c r="H1726">
        <v>0.34620333983397999</v>
      </c>
      <c r="I1726">
        <v>0.357266557335913</v>
      </c>
      <c r="J1726">
        <v>0.50544242841497899</v>
      </c>
      <c r="K1726">
        <v>0.349636937525794</v>
      </c>
      <c r="L1726">
        <v>804.44734109764499</v>
      </c>
      <c r="M1726">
        <v>16.9823309744726</v>
      </c>
      <c r="N1726">
        <v>52.151573131689297</v>
      </c>
      <c r="O1726">
        <v>46.727441879316103</v>
      </c>
      <c r="P1726">
        <v>-5.5006137668391797E-2</v>
      </c>
      <c r="Q1726">
        <v>0.39463255689413401</v>
      </c>
      <c r="R1726">
        <v>0.92741617847143398</v>
      </c>
      <c r="S1726" t="s">
        <v>5558</v>
      </c>
      <c r="T1726" t="s">
        <v>7662</v>
      </c>
      <c r="U1726" t="s">
        <v>7662</v>
      </c>
      <c r="V1726" t="s">
        <v>7662</v>
      </c>
      <c r="W1726">
        <v>4</v>
      </c>
      <c r="X1726" t="s">
        <v>9388</v>
      </c>
      <c r="Y1726">
        <v>0.55577928170408697</v>
      </c>
      <c r="Z1726" t="str">
        <f>HYPERLINK("Melting_Curves/meltCurve_sp_Q49AH0_CDNF_HUMAN_.pdf", "Melting_Curves/meltCurve_sp_Q49AH0_CDNF_HUMAN_.pdf")</f>
        <v>Melting_Curves/meltCurve_sp_Q49AH0_CDNF_HUMAN_.pdf</v>
      </c>
      <c r="AA1726" t="s">
        <v>13191</v>
      </c>
      <c r="AB1726" t="s">
        <v>16966</v>
      </c>
    </row>
    <row r="1727" spans="1:28" x14ac:dyDescent="0.25">
      <c r="A1727" t="s">
        <v>1731</v>
      </c>
      <c r="B1727">
        <v>0.98876768158843997</v>
      </c>
      <c r="C1727">
        <v>0.97217848634360204</v>
      </c>
      <c r="D1727">
        <v>0.82972330660451699</v>
      </c>
      <c r="E1727">
        <v>0.68851535718708101</v>
      </c>
      <c r="F1727">
        <v>0.511895577338907</v>
      </c>
      <c r="G1727">
        <v>0.23162791113980899</v>
      </c>
      <c r="H1727">
        <v>9.2769926243135195E-2</v>
      </c>
      <c r="I1727">
        <v>0.113592011507124</v>
      </c>
      <c r="J1727">
        <v>4.5823511123803298E-2</v>
      </c>
      <c r="K1727">
        <v>4.5797660699363099E-2</v>
      </c>
      <c r="L1727">
        <v>729.05157978473801</v>
      </c>
      <c r="M1727">
        <v>13.8556764682476</v>
      </c>
      <c r="N1727">
        <v>52.6389084208841</v>
      </c>
      <c r="O1727">
        <v>51.557815628464802</v>
      </c>
      <c r="P1727">
        <v>-6.7006064171087398E-2</v>
      </c>
      <c r="Q1727">
        <v>2.8024903138632899E-3</v>
      </c>
      <c r="R1727">
        <v>0.99443163017036096</v>
      </c>
      <c r="S1727" t="s">
        <v>5559</v>
      </c>
      <c r="T1727" t="s">
        <v>7662</v>
      </c>
      <c r="U1727" t="s">
        <v>7662</v>
      </c>
      <c r="V1727" t="s">
        <v>7662</v>
      </c>
      <c r="W1727">
        <v>1</v>
      </c>
      <c r="X1727" t="s">
        <v>9389</v>
      </c>
      <c r="Y1727">
        <v>0.4465617403539241</v>
      </c>
      <c r="Z1727" t="str">
        <f>HYPERLINK("Melting_Curves/meltCurve_sp_Q49AR2_3_CE022_HUMAN_.pdf", "Melting_Curves/meltCurve_sp_Q49AR2_3_CE022_HUMAN_.pdf")</f>
        <v>Melting_Curves/meltCurve_sp_Q49AR2_3_CE022_HUMAN_.pdf</v>
      </c>
      <c r="AA1727" t="s">
        <v>13192</v>
      </c>
      <c r="AB1727" t="s">
        <v>16967</v>
      </c>
    </row>
    <row r="1728" spans="1:28" x14ac:dyDescent="0.25">
      <c r="A1728" t="s">
        <v>1732</v>
      </c>
      <c r="B1728">
        <v>0.98876768158843997</v>
      </c>
      <c r="C1728">
        <v>1.19883639920322</v>
      </c>
      <c r="D1728">
        <v>0.8259975831645</v>
      </c>
      <c r="E1728">
        <v>0.65947815569410195</v>
      </c>
      <c r="F1728">
        <v>0.81448469658724698</v>
      </c>
      <c r="G1728">
        <v>0.61732084917129004</v>
      </c>
      <c r="H1728">
        <v>0.50064828042753295</v>
      </c>
      <c r="I1728">
        <v>0.56350914760662196</v>
      </c>
      <c r="J1728">
        <v>0.76807299306133303</v>
      </c>
      <c r="K1728">
        <v>0.80233423072863097</v>
      </c>
      <c r="L1728">
        <v>11493.439901251701</v>
      </c>
      <c r="M1728">
        <v>250</v>
      </c>
      <c r="O1728">
        <v>45.970817619555802</v>
      </c>
      <c r="P1728">
        <v>-0.44169161064797302</v>
      </c>
      <c r="Q1728">
        <v>0.67512120895944105</v>
      </c>
      <c r="R1728">
        <v>0.66435829188335804</v>
      </c>
      <c r="S1728" t="s">
        <v>5560</v>
      </c>
      <c r="T1728" t="s">
        <v>7662</v>
      </c>
      <c r="U1728" t="s">
        <v>7662</v>
      </c>
      <c r="V1728" t="s">
        <v>7662</v>
      </c>
      <c r="W1728">
        <v>1</v>
      </c>
      <c r="X1728" t="s">
        <v>9390</v>
      </c>
      <c r="Y1728">
        <v>0.73983901451188894</v>
      </c>
      <c r="Z1728" t="str">
        <f>HYPERLINK("Melting_Curves/meltCurve_sp_Q49B96_COX19_HUMAN_.pdf", "Melting_Curves/meltCurve_sp_Q49B96_COX19_HUMAN_.pdf")</f>
        <v>Melting_Curves/meltCurve_sp_Q49B96_COX19_HUMAN_.pdf</v>
      </c>
      <c r="AA1728" t="s">
        <v>13193</v>
      </c>
      <c r="AB1728" t="s">
        <v>16968</v>
      </c>
    </row>
    <row r="1729" spans="1:28" x14ac:dyDescent="0.25">
      <c r="A1729" t="s">
        <v>1733</v>
      </c>
      <c r="B1729">
        <v>0.98876768158843997</v>
      </c>
      <c r="C1729">
        <v>0.89260477501614</v>
      </c>
      <c r="D1729">
        <v>0.96681349076313405</v>
      </c>
      <c r="E1729">
        <v>0.88454456393979697</v>
      </c>
      <c r="F1729">
        <v>0.50427498951750804</v>
      </c>
      <c r="G1729">
        <v>0.28652781536910599</v>
      </c>
      <c r="H1729">
        <v>0.12877728234575</v>
      </c>
      <c r="I1729">
        <v>7.4083215589176701E-2</v>
      </c>
      <c r="J1729">
        <v>7.4914675936817707E-2</v>
      </c>
      <c r="K1729">
        <v>5.3229012862509598E-2</v>
      </c>
      <c r="L1729">
        <v>1155.14947268332</v>
      </c>
      <c r="M1729">
        <v>21.6481234415918</v>
      </c>
      <c r="N1729">
        <v>53.6819333086952</v>
      </c>
      <c r="O1729">
        <v>52.911187084148999</v>
      </c>
      <c r="P1729">
        <v>-9.6065515012644404E-2</v>
      </c>
      <c r="Q1729">
        <v>6.0829545711868001E-2</v>
      </c>
      <c r="R1729">
        <v>0.98667281514859095</v>
      </c>
      <c r="S1729" t="s">
        <v>5561</v>
      </c>
      <c r="T1729" t="s">
        <v>7662</v>
      </c>
      <c r="U1729" t="s">
        <v>7662</v>
      </c>
      <c r="V1729" t="s">
        <v>7662</v>
      </c>
      <c r="W1729">
        <v>8</v>
      </c>
      <c r="X1729" t="s">
        <v>9391</v>
      </c>
      <c r="Y1729">
        <v>0.49032228411637652</v>
      </c>
      <c r="Z1729" t="str">
        <f>HYPERLINK("Melting_Curves/meltCurve_sp_Q4G0F5_VP26B_HUMAN_.pdf", "Melting_Curves/meltCurve_sp_Q4G0F5_VP26B_HUMAN_.pdf")</f>
        <v>Melting_Curves/meltCurve_sp_Q4G0F5_VP26B_HUMAN_.pdf</v>
      </c>
      <c r="AA1729" t="s">
        <v>13194</v>
      </c>
      <c r="AB1729" t="s">
        <v>16969</v>
      </c>
    </row>
    <row r="1730" spans="1:28" x14ac:dyDescent="0.25">
      <c r="A1730" t="s">
        <v>1734</v>
      </c>
      <c r="B1730">
        <v>0.98876768158843997</v>
      </c>
      <c r="C1730">
        <v>0.85866107599177699</v>
      </c>
      <c r="D1730">
        <v>0.98159649477369304</v>
      </c>
      <c r="E1730">
        <v>0.79992389917812701</v>
      </c>
      <c r="F1730">
        <v>0.44434847354455098</v>
      </c>
      <c r="G1730">
        <v>0.30415129959774101</v>
      </c>
      <c r="H1730">
        <v>0.17890256704757401</v>
      </c>
      <c r="I1730">
        <v>0.14114322304548699</v>
      </c>
      <c r="J1730">
        <v>0.16458519332410701</v>
      </c>
      <c r="K1730">
        <v>0.17195024741179801</v>
      </c>
      <c r="L1730">
        <v>1248.1254656467299</v>
      </c>
      <c r="M1730">
        <v>23.996029888010899</v>
      </c>
      <c r="N1730">
        <v>52.8724239634426</v>
      </c>
      <c r="O1730">
        <v>51.656633606358497</v>
      </c>
      <c r="P1730">
        <v>-9.7394806342154194E-2</v>
      </c>
      <c r="Q1730">
        <v>0.16135989949969701</v>
      </c>
      <c r="R1730">
        <v>0.97845827795087303</v>
      </c>
      <c r="S1730" t="s">
        <v>5562</v>
      </c>
      <c r="T1730" t="s">
        <v>7662</v>
      </c>
      <c r="U1730" t="s">
        <v>7662</v>
      </c>
      <c r="V1730" t="s">
        <v>7662</v>
      </c>
      <c r="W1730">
        <v>8</v>
      </c>
      <c r="X1730" t="s">
        <v>9392</v>
      </c>
      <c r="Y1730">
        <v>0.50548473777461855</v>
      </c>
      <c r="Z1730" t="str">
        <f>HYPERLINK("Melting_Curves/meltCurve_sp_Q4G0J3_LARP7_HUMAN_.pdf", "Melting_Curves/meltCurve_sp_Q4G0J3_LARP7_HUMAN_.pdf")</f>
        <v>Melting_Curves/meltCurve_sp_Q4G0J3_LARP7_HUMAN_.pdf</v>
      </c>
      <c r="AA1730" t="s">
        <v>13195</v>
      </c>
      <c r="AB1730" t="s">
        <v>16970</v>
      </c>
    </row>
    <row r="1731" spans="1:28" x14ac:dyDescent="0.25">
      <c r="A1731" t="s">
        <v>1735</v>
      </c>
      <c r="B1731">
        <v>0.98876768158843997</v>
      </c>
      <c r="C1731">
        <v>0.77017191610949498</v>
      </c>
      <c r="D1731">
        <v>0.94561195206436899</v>
      </c>
      <c r="E1731">
        <v>0.70949609045301099</v>
      </c>
      <c r="F1731">
        <v>0.24990781082284699</v>
      </c>
      <c r="G1731">
        <v>8.3420588221555098E-2</v>
      </c>
      <c r="H1731">
        <v>4.4339926489979697E-2</v>
      </c>
      <c r="I1731">
        <v>3.7707625345783098E-2</v>
      </c>
      <c r="J1731">
        <v>3.7792324445357503E-2</v>
      </c>
      <c r="K1731">
        <v>3.6680067155970303E-2</v>
      </c>
      <c r="L1731">
        <v>1687.4844432096299</v>
      </c>
      <c r="M1731">
        <v>33.000785248853198</v>
      </c>
      <c r="N1731">
        <v>51.259441793647298</v>
      </c>
      <c r="O1731">
        <v>50.948005152589097</v>
      </c>
      <c r="P1731">
        <v>-0.155684286351879</v>
      </c>
      <c r="Q1731">
        <v>3.8596426390124998E-2</v>
      </c>
      <c r="R1731">
        <v>0.96449638165878104</v>
      </c>
      <c r="S1731" t="s">
        <v>5563</v>
      </c>
      <c r="T1731" t="s">
        <v>7662</v>
      </c>
      <c r="U1731" t="s">
        <v>7662</v>
      </c>
      <c r="V1731" t="s">
        <v>7662</v>
      </c>
      <c r="W1731">
        <v>31</v>
      </c>
      <c r="X1731" t="s">
        <v>9393</v>
      </c>
      <c r="Y1731">
        <v>0.40043096330535399</v>
      </c>
      <c r="Z1731" t="str">
        <f>HYPERLINK("Melting_Curves/meltCurve_sp_Q4G0N4_NAKD1_HUMAN_.pdf", "Melting_Curves/meltCurve_sp_Q4G0N4_NAKD1_HUMAN_.pdf")</f>
        <v>Melting_Curves/meltCurve_sp_Q4G0N4_NAKD1_HUMAN_.pdf</v>
      </c>
      <c r="AA1731" t="s">
        <v>13196</v>
      </c>
      <c r="AB1731" t="s">
        <v>16971</v>
      </c>
    </row>
    <row r="1732" spans="1:28" x14ac:dyDescent="0.25">
      <c r="A1732" t="s">
        <v>1736</v>
      </c>
      <c r="B1732">
        <v>0.98876768158843997</v>
      </c>
      <c r="C1732">
        <v>0.97731084925117795</v>
      </c>
      <c r="D1732">
        <v>0.89592718972866103</v>
      </c>
      <c r="E1732">
        <v>0.70727321664237996</v>
      </c>
      <c r="F1732">
        <v>0.430308612020532</v>
      </c>
      <c r="G1732">
        <v>0.25826641039265702</v>
      </c>
      <c r="H1732">
        <v>0.16944463775440299</v>
      </c>
      <c r="I1732">
        <v>0.18859154653211899</v>
      </c>
      <c r="J1732">
        <v>0.17056800682829601</v>
      </c>
      <c r="K1732">
        <v>8.8110637492690505E-2</v>
      </c>
      <c r="L1732">
        <v>949.72008851297005</v>
      </c>
      <c r="M1732">
        <v>18.4495612486147</v>
      </c>
      <c r="N1732">
        <v>52.339379818197202</v>
      </c>
      <c r="O1732">
        <v>50.8832346618115</v>
      </c>
      <c r="P1732">
        <v>-7.8764396629667499E-2</v>
      </c>
      <c r="Q1732">
        <v>0.13112125716627501</v>
      </c>
      <c r="R1732">
        <v>0.99503423367328403</v>
      </c>
      <c r="S1732" t="s">
        <v>5564</v>
      </c>
      <c r="T1732" t="s">
        <v>7662</v>
      </c>
      <c r="U1732" t="s">
        <v>7662</v>
      </c>
      <c r="V1732" t="s">
        <v>7662</v>
      </c>
      <c r="W1732">
        <v>5</v>
      </c>
      <c r="X1732" t="s">
        <v>9394</v>
      </c>
      <c r="Y1732">
        <v>0.47744905156436018</v>
      </c>
      <c r="Z1732" t="str">
        <f>HYPERLINK("Melting_Curves/meltCurve_sp_Q4G0X4_KCD21_HUMAN_.pdf", "Melting_Curves/meltCurve_sp_Q4G0X4_KCD21_HUMAN_.pdf")</f>
        <v>Melting_Curves/meltCurve_sp_Q4G0X4_KCD21_HUMAN_.pdf</v>
      </c>
      <c r="AA1732" t="s">
        <v>13197</v>
      </c>
      <c r="AB1732" t="s">
        <v>16972</v>
      </c>
    </row>
    <row r="1733" spans="1:28" x14ac:dyDescent="0.25">
      <c r="A1733" t="s">
        <v>1737</v>
      </c>
      <c r="B1733">
        <v>0.98876768158843997</v>
      </c>
      <c r="C1733">
        <v>0.91949134945498401</v>
      </c>
      <c r="D1733">
        <v>0.52914524451647005</v>
      </c>
      <c r="E1733">
        <v>0.15806108167903599</v>
      </c>
      <c r="F1733">
        <v>9.2710403589160703E-2</v>
      </c>
      <c r="G1733">
        <v>5.7915122266557199E-2</v>
      </c>
      <c r="H1733">
        <v>3.6008322994618501E-2</v>
      </c>
      <c r="I1733">
        <v>3.1248124747332101E-2</v>
      </c>
      <c r="J1733">
        <v>3.2269919027945702E-2</v>
      </c>
      <c r="K1733">
        <v>3.2844951835338101E-2</v>
      </c>
      <c r="L1733">
        <v>1266.0466091825101</v>
      </c>
      <c r="M1733">
        <v>27.418207521531301</v>
      </c>
      <c r="N1733">
        <v>46.323980360949598</v>
      </c>
      <c r="O1733">
        <v>45.931861016252199</v>
      </c>
      <c r="P1733">
        <v>-0.142952679447749</v>
      </c>
      <c r="Q1733">
        <v>4.2093270823925E-2</v>
      </c>
      <c r="R1733">
        <v>0.99844180012474404</v>
      </c>
      <c r="S1733" t="s">
        <v>5565</v>
      </c>
      <c r="T1733" t="s">
        <v>7662</v>
      </c>
      <c r="U1733" t="s">
        <v>7662</v>
      </c>
      <c r="V1733" t="s">
        <v>7662</v>
      </c>
      <c r="W1733">
        <v>14</v>
      </c>
      <c r="X1733" t="s">
        <v>9395</v>
      </c>
      <c r="Y1733">
        <v>0.2463864159302093</v>
      </c>
      <c r="Z1733" t="str">
        <f>HYPERLINK("Melting_Curves/meltCurve_sp_Q4G176_ACSF3_HUMAN_.pdf", "Melting_Curves/meltCurve_sp_Q4G176_ACSF3_HUMAN_.pdf")</f>
        <v>Melting_Curves/meltCurve_sp_Q4G176_ACSF3_HUMAN_.pdf</v>
      </c>
      <c r="AA1733" t="s">
        <v>13198</v>
      </c>
      <c r="AB1733" t="s">
        <v>16973</v>
      </c>
    </row>
    <row r="1734" spans="1:28" x14ac:dyDescent="0.25">
      <c r="A1734" t="s">
        <v>1738</v>
      </c>
      <c r="B1734">
        <v>0.98876768158843997</v>
      </c>
      <c r="C1734">
        <v>1.0616996389981399</v>
      </c>
      <c r="D1734">
        <v>0.96849226872150096</v>
      </c>
      <c r="E1734">
        <v>0.94906416069408195</v>
      </c>
      <c r="F1734">
        <v>0.97062892558250302</v>
      </c>
      <c r="G1734">
        <v>0.80259683559778805</v>
      </c>
      <c r="H1734">
        <v>0.47430389056781203</v>
      </c>
      <c r="I1734">
        <v>0.55831809845570302</v>
      </c>
      <c r="J1734">
        <v>0.84578917982637103</v>
      </c>
      <c r="K1734">
        <v>0.92572068217075798</v>
      </c>
      <c r="L1734">
        <v>14212.120027062399</v>
      </c>
      <c r="M1734">
        <v>250</v>
      </c>
      <c r="O1734">
        <v>56.8448415085577</v>
      </c>
      <c r="P1734">
        <v>-0.32870949702146601</v>
      </c>
      <c r="Q1734">
        <v>0.70103296863608899</v>
      </c>
      <c r="R1734">
        <v>0.54948960765745902</v>
      </c>
      <c r="S1734" t="s">
        <v>5566</v>
      </c>
      <c r="T1734" t="s">
        <v>7662</v>
      </c>
      <c r="U1734" t="s">
        <v>7662</v>
      </c>
      <c r="V1734" t="s">
        <v>7662</v>
      </c>
      <c r="W1734">
        <v>1</v>
      </c>
      <c r="X1734" t="s">
        <v>9396</v>
      </c>
      <c r="Y1734">
        <v>0.86896746540326231</v>
      </c>
      <c r="Z1734" t="str">
        <f>HYPERLINK("Melting_Curves/meltCurve_sp_Q4KMP7_TB10B_HUMAN_.pdf", "Melting_Curves/meltCurve_sp_Q4KMP7_TB10B_HUMAN_.pdf")</f>
        <v>Melting_Curves/meltCurve_sp_Q4KMP7_TB10B_HUMAN_.pdf</v>
      </c>
      <c r="AA1734" t="s">
        <v>13199</v>
      </c>
      <c r="AB1734" t="s">
        <v>16974</v>
      </c>
    </row>
    <row r="1735" spans="1:28" x14ac:dyDescent="0.25">
      <c r="A1735" t="s">
        <v>1739</v>
      </c>
      <c r="B1735">
        <v>0.98876768158843997</v>
      </c>
      <c r="C1735">
        <v>1.0057045933936599</v>
      </c>
      <c r="D1735">
        <v>0.96802389052813098</v>
      </c>
      <c r="E1735">
        <v>0.84062589773574303</v>
      </c>
      <c r="F1735">
        <v>0.45571916883191599</v>
      </c>
      <c r="G1735">
        <v>0.20727842569713101</v>
      </c>
      <c r="H1735">
        <v>0.13294263161589201</v>
      </c>
      <c r="I1735">
        <v>9.7105642520944099E-2</v>
      </c>
      <c r="J1735">
        <v>0.118772558095512</v>
      </c>
      <c r="K1735">
        <v>9.3011856981956298E-2</v>
      </c>
      <c r="L1735">
        <v>1545.4543083885901</v>
      </c>
      <c r="M1735">
        <v>29.521503025978401</v>
      </c>
      <c r="N1735">
        <v>52.7909902777619</v>
      </c>
      <c r="O1735">
        <v>52.111674987207202</v>
      </c>
      <c r="P1735">
        <v>-0.12615439711510601</v>
      </c>
      <c r="Q1735">
        <v>0.109249802848237</v>
      </c>
      <c r="R1735">
        <v>0.998361842294895</v>
      </c>
      <c r="S1735" t="s">
        <v>5567</v>
      </c>
      <c r="T1735" t="s">
        <v>7662</v>
      </c>
      <c r="U1735" t="s">
        <v>7662</v>
      </c>
      <c r="V1735" t="s">
        <v>7662</v>
      </c>
      <c r="W1735">
        <v>1</v>
      </c>
      <c r="X1735" t="s">
        <v>9397</v>
      </c>
      <c r="Y1735">
        <v>0.48185204230363282</v>
      </c>
      <c r="Z1735" t="str">
        <f>HYPERLINK("Melting_Curves/meltCurve_sp_Q4KWH8_3_PLCH1_HUMAN_.pdf", "Melting_Curves/meltCurve_sp_Q4KWH8_3_PLCH1_HUMAN_.pdf")</f>
        <v>Melting_Curves/meltCurve_sp_Q4KWH8_3_PLCH1_HUMAN_.pdf</v>
      </c>
      <c r="AA1735" t="s">
        <v>13200</v>
      </c>
      <c r="AB1735" t="s">
        <v>16975</v>
      </c>
    </row>
    <row r="1736" spans="1:28" x14ac:dyDescent="0.25">
      <c r="A1736" t="s">
        <v>1740</v>
      </c>
      <c r="B1736">
        <v>0.98876768158843997</v>
      </c>
      <c r="C1736">
        <v>0.97437937795797402</v>
      </c>
      <c r="D1736">
        <v>0.94388645523592696</v>
      </c>
      <c r="E1736">
        <v>0.75346930339486096</v>
      </c>
      <c r="F1736">
        <v>0.65218015864103895</v>
      </c>
      <c r="G1736">
        <v>0.49149157940767702</v>
      </c>
      <c r="H1736">
        <v>0.437343340395142</v>
      </c>
      <c r="I1736">
        <v>0.51104618713566796</v>
      </c>
      <c r="J1736">
        <v>0.58736008590247302</v>
      </c>
      <c r="K1736">
        <v>0.69038768839136899</v>
      </c>
      <c r="L1736">
        <v>1336.06995823754</v>
      </c>
      <c r="M1736">
        <v>26.870668512809999</v>
      </c>
      <c r="O1736">
        <v>49.4493068719012</v>
      </c>
      <c r="P1736">
        <v>-6.1742848282286003E-2</v>
      </c>
      <c r="Q1736">
        <v>0.54551036548489895</v>
      </c>
      <c r="R1736">
        <v>0.88879413820710995</v>
      </c>
      <c r="S1736" t="s">
        <v>5568</v>
      </c>
      <c r="T1736" t="s">
        <v>7662</v>
      </c>
      <c r="U1736" t="s">
        <v>7662</v>
      </c>
      <c r="V1736" t="s">
        <v>7662</v>
      </c>
      <c r="W1736">
        <v>30</v>
      </c>
      <c r="X1736" t="s">
        <v>9398</v>
      </c>
      <c r="Y1736">
        <v>0.69629893530250975</v>
      </c>
      <c r="Z1736" t="str">
        <f>HYPERLINK("Melting_Curves/meltCurve_sp_Q4V328_GRAP1_HUMAN_.pdf", "Melting_Curves/meltCurve_sp_Q4V328_GRAP1_HUMAN_.pdf")</f>
        <v>Melting_Curves/meltCurve_sp_Q4V328_GRAP1_HUMAN_.pdf</v>
      </c>
      <c r="AA1736" t="s">
        <v>13201</v>
      </c>
      <c r="AB1736" t="s">
        <v>16976</v>
      </c>
    </row>
    <row r="1737" spans="1:28" x14ac:dyDescent="0.25">
      <c r="A1737" t="s">
        <v>1741</v>
      </c>
      <c r="B1737">
        <v>0.98876768158843997</v>
      </c>
      <c r="C1737">
        <v>0.93134626781298102</v>
      </c>
      <c r="D1737">
        <v>0.78431346097366905</v>
      </c>
      <c r="E1737">
        <v>0.52246530877167296</v>
      </c>
      <c r="F1737">
        <v>0.52611224769470599</v>
      </c>
      <c r="G1737">
        <v>0.197516718831905</v>
      </c>
      <c r="H1737">
        <v>0.10321416441989099</v>
      </c>
      <c r="I1737">
        <v>2.57834866715086E-2</v>
      </c>
      <c r="J1737">
        <v>0.29874513839320399</v>
      </c>
      <c r="K1737">
        <v>0</v>
      </c>
      <c r="L1737">
        <v>641.40924890464498</v>
      </c>
      <c r="M1737">
        <v>12.5953922552386</v>
      </c>
      <c r="N1737">
        <v>51.337556419692902</v>
      </c>
      <c r="O1737">
        <v>49.691604710742297</v>
      </c>
      <c r="P1737">
        <v>-6.0323630757219401E-2</v>
      </c>
      <c r="Q1737">
        <v>4.8229923997351501E-2</v>
      </c>
      <c r="R1737">
        <v>0.93556704692117998</v>
      </c>
      <c r="S1737" t="s">
        <v>5569</v>
      </c>
      <c r="T1737" t="s">
        <v>7662</v>
      </c>
      <c r="U1737" t="s">
        <v>7662</v>
      </c>
      <c r="V1737" t="s">
        <v>7662</v>
      </c>
      <c r="W1737">
        <v>2</v>
      </c>
      <c r="X1737" t="s">
        <v>9399</v>
      </c>
      <c r="Y1737">
        <v>0.42385186142456549</v>
      </c>
      <c r="Z1737" t="str">
        <f>HYPERLINK("Melting_Curves/meltCurve_sp_Q504Q3_2_PAN2_HUMAN_.pdf", "Melting_Curves/meltCurve_sp_Q504Q3_2_PAN2_HUMAN_.pdf")</f>
        <v>Melting_Curves/meltCurve_sp_Q504Q3_2_PAN2_HUMAN_.pdf</v>
      </c>
      <c r="AA1737" t="s">
        <v>13202</v>
      </c>
      <c r="AB1737" t="s">
        <v>16977</v>
      </c>
    </row>
    <row r="1738" spans="1:28" x14ac:dyDescent="0.25">
      <c r="A1738" t="s">
        <v>1742</v>
      </c>
      <c r="B1738">
        <v>0.98876768158843997</v>
      </c>
      <c r="C1738">
        <v>0.826751314392422</v>
      </c>
      <c r="D1738">
        <v>0.83997763820041205</v>
      </c>
      <c r="E1738">
        <v>0.52318952802274599</v>
      </c>
      <c r="F1738">
        <v>0.28892097067167499</v>
      </c>
      <c r="G1738">
        <v>0.15954671132074599</v>
      </c>
      <c r="H1738">
        <v>9.2453778481540599E-2</v>
      </c>
      <c r="I1738">
        <v>0.102357257666343</v>
      </c>
      <c r="J1738">
        <v>9.8790372437056406E-2</v>
      </c>
      <c r="K1738">
        <v>0.10242683610792</v>
      </c>
      <c r="L1738">
        <v>805.64667574881196</v>
      </c>
      <c r="M1738">
        <v>16.2635372129118</v>
      </c>
      <c r="N1738">
        <v>50.030277584414897</v>
      </c>
      <c r="O1738">
        <v>48.806205599159298</v>
      </c>
      <c r="P1738">
        <v>-7.7141079941377505E-2</v>
      </c>
      <c r="Q1738">
        <v>7.4079291570708597E-2</v>
      </c>
      <c r="R1738">
        <v>0.98695764691950905</v>
      </c>
      <c r="S1738" t="s">
        <v>5570</v>
      </c>
      <c r="T1738" t="s">
        <v>7662</v>
      </c>
      <c r="U1738" t="s">
        <v>7662</v>
      </c>
      <c r="V1738" t="s">
        <v>7662</v>
      </c>
      <c r="W1738">
        <v>2</v>
      </c>
      <c r="X1738" t="s">
        <v>9400</v>
      </c>
      <c r="Y1738">
        <v>0.38772819582044082</v>
      </c>
      <c r="Z1738" t="str">
        <f>HYPERLINK("Melting_Curves/meltCurve_sp_Q52LJ0_2_FA98B_HUMAN_.pdf", "Melting_Curves/meltCurve_sp_Q52LJ0_2_FA98B_HUMAN_.pdf")</f>
        <v>Melting_Curves/meltCurve_sp_Q52LJ0_2_FA98B_HUMAN_.pdf</v>
      </c>
      <c r="AA1738" t="s">
        <v>13203</v>
      </c>
      <c r="AB1738" t="s">
        <v>16978</v>
      </c>
    </row>
    <row r="1739" spans="1:28" x14ac:dyDescent="0.25">
      <c r="A1739" t="s">
        <v>1743</v>
      </c>
      <c r="B1739">
        <v>0.98876768158843997</v>
      </c>
      <c r="C1739">
        <v>0.95448299222057298</v>
      </c>
      <c r="D1739">
        <v>0.77742122453582496</v>
      </c>
      <c r="E1739">
        <v>0.80990765229638495</v>
      </c>
      <c r="F1739">
        <v>0.44551335265745501</v>
      </c>
      <c r="G1739">
        <v>0.318787309243109</v>
      </c>
      <c r="H1739">
        <v>8.6778507999546603E-2</v>
      </c>
      <c r="I1739">
        <v>0.12292088537224601</v>
      </c>
      <c r="J1739">
        <v>4.6819976728699197E-2</v>
      </c>
      <c r="K1739">
        <v>8.49610998029076E-2</v>
      </c>
      <c r="L1739">
        <v>711.70264396367099</v>
      </c>
      <c r="M1739">
        <v>13.4390664551744</v>
      </c>
      <c r="N1739">
        <v>53.044249510262098</v>
      </c>
      <c r="O1739">
        <v>51.826402963939799</v>
      </c>
      <c r="P1739">
        <v>-6.4134695834515504E-2</v>
      </c>
      <c r="Q1739">
        <v>1.0837628124928E-2</v>
      </c>
      <c r="R1739">
        <v>0.97231652796842205</v>
      </c>
      <c r="S1739" t="s">
        <v>5571</v>
      </c>
      <c r="T1739" t="s">
        <v>7662</v>
      </c>
      <c r="U1739" t="s">
        <v>7662</v>
      </c>
      <c r="V1739" t="s">
        <v>7662</v>
      </c>
      <c r="W1739">
        <v>2</v>
      </c>
      <c r="X1739" t="s">
        <v>9401</v>
      </c>
      <c r="Y1739">
        <v>0.46276312344462273</v>
      </c>
      <c r="Z1739" t="str">
        <f>HYPERLINK("Melting_Curves/meltCurve_sp_Q52LW3_RHG29_HUMAN_.pdf", "Melting_Curves/meltCurve_sp_Q52LW3_RHG29_HUMAN_.pdf")</f>
        <v>Melting_Curves/meltCurve_sp_Q52LW3_RHG29_HUMAN_.pdf</v>
      </c>
      <c r="AA1739" t="s">
        <v>13204</v>
      </c>
      <c r="AB1739" t="s">
        <v>16979</v>
      </c>
    </row>
    <row r="1740" spans="1:28" x14ac:dyDescent="0.25">
      <c r="A1740" t="s">
        <v>1744</v>
      </c>
      <c r="B1740">
        <v>0.98876768158843997</v>
      </c>
      <c r="C1740">
        <v>0.92737191800484298</v>
      </c>
      <c r="D1740">
        <v>0.87879820529091601</v>
      </c>
      <c r="E1740">
        <v>0.82146516482894505</v>
      </c>
      <c r="F1740">
        <v>0.75052765326404502</v>
      </c>
      <c r="G1740">
        <v>0.56380956893881695</v>
      </c>
      <c r="H1740">
        <v>0.40202314575936798</v>
      </c>
      <c r="I1740">
        <v>0.48634608946293301</v>
      </c>
      <c r="J1740">
        <v>0.47727173047472099</v>
      </c>
      <c r="K1740">
        <v>0.31081237582864002</v>
      </c>
      <c r="L1740">
        <v>517.10524325547101</v>
      </c>
      <c r="M1740">
        <v>9.3813575499327406</v>
      </c>
      <c r="N1740">
        <v>60.484178655325103</v>
      </c>
      <c r="O1740">
        <v>52.789924403310998</v>
      </c>
      <c r="P1740">
        <v>-3.1901376779025797E-2</v>
      </c>
      <c r="Q1740">
        <v>0.28239499991681399</v>
      </c>
      <c r="R1740">
        <v>0.95401727101729705</v>
      </c>
      <c r="S1740" t="s">
        <v>5572</v>
      </c>
      <c r="T1740" t="s">
        <v>7662</v>
      </c>
      <c r="U1740" t="s">
        <v>7662</v>
      </c>
      <c r="V1740" t="s">
        <v>7662</v>
      </c>
      <c r="W1740">
        <v>8</v>
      </c>
      <c r="X1740" t="s">
        <v>9402</v>
      </c>
      <c r="Y1740">
        <v>0.66259798173703011</v>
      </c>
      <c r="Z1740" t="str">
        <f>HYPERLINK("Melting_Curves/meltCurve_sp_Q53FA7_QORX_HUMAN_.pdf", "Melting_Curves/meltCurve_sp_Q53FA7_QORX_HUMAN_.pdf")</f>
        <v>Melting_Curves/meltCurve_sp_Q53FA7_QORX_HUMAN_.pdf</v>
      </c>
      <c r="AA1740" t="s">
        <v>13205</v>
      </c>
      <c r="AB1740" t="s">
        <v>16980</v>
      </c>
    </row>
    <row r="1741" spans="1:28" x14ac:dyDescent="0.25">
      <c r="A1741" t="s">
        <v>1745</v>
      </c>
      <c r="B1741">
        <v>0.98876768158843997</v>
      </c>
      <c r="C1741">
        <v>0.97807784833498101</v>
      </c>
      <c r="D1741">
        <v>0.69764973913375306</v>
      </c>
      <c r="E1741">
        <v>0.31540497536816697</v>
      </c>
      <c r="F1741">
        <v>0.12758045055341499</v>
      </c>
      <c r="G1741">
        <v>7.5805667639106997E-2</v>
      </c>
      <c r="H1741">
        <v>4.8127099782780902E-2</v>
      </c>
      <c r="I1741">
        <v>4.2759411339324802E-2</v>
      </c>
      <c r="J1741">
        <v>4.2858346574007299E-2</v>
      </c>
      <c r="K1741">
        <v>3.3321207782230799E-2</v>
      </c>
      <c r="L1741">
        <v>1090.2187959871301</v>
      </c>
      <c r="M1741">
        <v>22.7972283489168</v>
      </c>
      <c r="N1741">
        <v>48.004188604131599</v>
      </c>
      <c r="O1741">
        <v>47.459012541312703</v>
      </c>
      <c r="P1741">
        <v>-0.1151256386217</v>
      </c>
      <c r="Q1741">
        <v>4.1349568040019199E-2</v>
      </c>
      <c r="R1741">
        <v>0.99788634087024897</v>
      </c>
      <c r="S1741" t="s">
        <v>5573</v>
      </c>
      <c r="T1741" t="s">
        <v>7662</v>
      </c>
      <c r="U1741" t="s">
        <v>7662</v>
      </c>
      <c r="V1741" t="s">
        <v>7662</v>
      </c>
      <c r="W1741">
        <v>25</v>
      </c>
      <c r="X1741" t="s">
        <v>9403</v>
      </c>
      <c r="Y1741">
        <v>0.30164589177644002</v>
      </c>
      <c r="Z1741" t="str">
        <f>HYPERLINK("Melting_Curves/meltCurve_sp_Q53FZ2_ACSM3_HUMAN_.pdf", "Melting_Curves/meltCurve_sp_Q53FZ2_ACSM3_HUMAN_.pdf")</f>
        <v>Melting_Curves/meltCurve_sp_Q53FZ2_ACSM3_HUMAN_.pdf</v>
      </c>
      <c r="AA1741" t="s">
        <v>13206</v>
      </c>
      <c r="AB1741" t="s">
        <v>16981</v>
      </c>
    </row>
    <row r="1742" spans="1:28" x14ac:dyDescent="0.25">
      <c r="A1742" t="s">
        <v>1746</v>
      </c>
      <c r="B1742">
        <v>0.98876768158843997</v>
      </c>
      <c r="C1742">
        <v>0.89562489006552504</v>
      </c>
      <c r="D1742">
        <v>1.07203006428721</v>
      </c>
      <c r="E1742">
        <v>0.83760531573603003</v>
      </c>
      <c r="F1742">
        <v>0.32784914634365198</v>
      </c>
      <c r="G1742">
        <v>0.12484334308475301</v>
      </c>
      <c r="H1742">
        <v>4.3055864459117403E-2</v>
      </c>
      <c r="I1742">
        <v>4.1807545290639E-2</v>
      </c>
      <c r="J1742">
        <v>0</v>
      </c>
      <c r="K1742">
        <v>5.49687877800593E-2</v>
      </c>
      <c r="L1742">
        <v>2089.30811197818</v>
      </c>
      <c r="M1742">
        <v>40.232271560109702</v>
      </c>
      <c r="N1742">
        <v>52.054657541415203</v>
      </c>
      <c r="O1742">
        <v>51.803343542530499</v>
      </c>
      <c r="P1742">
        <v>-0.18532066122848501</v>
      </c>
      <c r="Q1742">
        <v>4.55214297755148E-2</v>
      </c>
      <c r="R1742">
        <v>0.98792845101750804</v>
      </c>
      <c r="S1742" t="s">
        <v>5574</v>
      </c>
      <c r="T1742" t="s">
        <v>7662</v>
      </c>
      <c r="U1742" t="s">
        <v>7662</v>
      </c>
      <c r="V1742" t="s">
        <v>7662</v>
      </c>
      <c r="W1742">
        <v>2</v>
      </c>
      <c r="X1742" t="s">
        <v>9404</v>
      </c>
      <c r="Y1742">
        <v>0.42850738959720169</v>
      </c>
      <c r="Z1742" t="str">
        <f>HYPERLINK("Melting_Curves/meltCurve_sp_Q53GS9_3_SNUT2_HUMAN_.pdf", "Melting_Curves/meltCurve_sp_Q53GS9_3_SNUT2_HUMAN_.pdf")</f>
        <v>Melting_Curves/meltCurve_sp_Q53GS9_3_SNUT2_HUMAN_.pdf</v>
      </c>
      <c r="AA1742" t="s">
        <v>13207</v>
      </c>
      <c r="AB1742" t="s">
        <v>16982</v>
      </c>
    </row>
    <row r="1743" spans="1:28" x14ac:dyDescent="0.25">
      <c r="A1743" t="s">
        <v>1747</v>
      </c>
      <c r="B1743">
        <v>0.98876768158843997</v>
      </c>
      <c r="C1743">
        <v>0.96610562919334997</v>
      </c>
      <c r="D1743">
        <v>0.85829770190159305</v>
      </c>
      <c r="E1743">
        <v>0.70685740198262903</v>
      </c>
      <c r="F1743">
        <v>0.68919579389825802</v>
      </c>
      <c r="G1743">
        <v>0.49296995084415202</v>
      </c>
      <c r="H1743">
        <v>0.34750974425579101</v>
      </c>
      <c r="I1743">
        <v>0.34334266717617101</v>
      </c>
      <c r="J1743">
        <v>0.31103479903132702</v>
      </c>
      <c r="K1743">
        <v>0.30383794025446598</v>
      </c>
      <c r="L1743">
        <v>564.781445602595</v>
      </c>
      <c r="M1743">
        <v>10.582340135149799</v>
      </c>
      <c r="N1743">
        <v>56.652415487937802</v>
      </c>
      <c r="O1743">
        <v>51.570098009324298</v>
      </c>
      <c r="P1743">
        <v>-3.9559892970783703E-2</v>
      </c>
      <c r="Q1743">
        <v>0.22916514786249501</v>
      </c>
      <c r="R1743">
        <v>0.98764798524967901</v>
      </c>
      <c r="S1743" t="s">
        <v>5575</v>
      </c>
      <c r="T1743" t="s">
        <v>7662</v>
      </c>
      <c r="U1743" t="s">
        <v>7662</v>
      </c>
      <c r="V1743" t="s">
        <v>7662</v>
      </c>
      <c r="W1743">
        <v>17</v>
      </c>
      <c r="X1743" t="s">
        <v>9405</v>
      </c>
      <c r="Y1743">
        <v>0.59676408255399604</v>
      </c>
      <c r="Z1743" t="str">
        <f>HYPERLINK("Melting_Curves/meltCurve_sp_Q53H82_LACB2_HUMAN_.pdf", "Melting_Curves/meltCurve_sp_Q53H82_LACB2_HUMAN_.pdf")</f>
        <v>Melting_Curves/meltCurve_sp_Q53H82_LACB2_HUMAN_.pdf</v>
      </c>
      <c r="AA1743" t="s">
        <v>13208</v>
      </c>
      <c r="AB1743" t="s">
        <v>16983</v>
      </c>
    </row>
    <row r="1744" spans="1:28" x14ac:dyDescent="0.25">
      <c r="A1744" t="s">
        <v>1748</v>
      </c>
      <c r="B1744">
        <v>0.98876768158843997</v>
      </c>
      <c r="C1744">
        <v>1.0147888492536701</v>
      </c>
      <c r="D1744">
        <v>0.85266679250618405</v>
      </c>
      <c r="E1744">
        <v>0.71630163184839502</v>
      </c>
      <c r="F1744">
        <v>0.59674126128396099</v>
      </c>
      <c r="G1744">
        <v>0.159853313966761</v>
      </c>
      <c r="H1744">
        <v>8.2116944582774604E-2</v>
      </c>
      <c r="I1744">
        <v>6.75214947939351E-2</v>
      </c>
      <c r="J1744">
        <v>0.105110428156252</v>
      </c>
      <c r="K1744">
        <v>4.4471790938005601E-2</v>
      </c>
      <c r="L1744">
        <v>944.84549986096999</v>
      </c>
      <c r="M1744">
        <v>17.8837452761239</v>
      </c>
      <c r="N1744">
        <v>53.0186159548036</v>
      </c>
      <c r="O1744">
        <v>52.185329703700504</v>
      </c>
      <c r="P1744">
        <v>-8.3073764143444404E-2</v>
      </c>
      <c r="Q1744">
        <v>3.0401680252875402E-2</v>
      </c>
      <c r="R1744">
        <v>0.98192649019464096</v>
      </c>
      <c r="S1744" t="s">
        <v>5576</v>
      </c>
      <c r="T1744" t="s">
        <v>7662</v>
      </c>
      <c r="U1744" t="s">
        <v>7662</v>
      </c>
      <c r="V1744" t="s">
        <v>7662</v>
      </c>
      <c r="W1744">
        <v>2</v>
      </c>
      <c r="X1744" t="s">
        <v>9406</v>
      </c>
      <c r="Y1744">
        <v>0.46124497650774959</v>
      </c>
      <c r="Z1744" t="str">
        <f>HYPERLINK("Melting_Curves/meltCurve_sp_Q53HC9_TSSC1_HUMAN_.pdf", "Melting_Curves/meltCurve_sp_Q53HC9_TSSC1_HUMAN_.pdf")</f>
        <v>Melting_Curves/meltCurve_sp_Q53HC9_TSSC1_HUMAN_.pdf</v>
      </c>
      <c r="AA1744" t="s">
        <v>13209</v>
      </c>
      <c r="AB1744" t="s">
        <v>16984</v>
      </c>
    </row>
    <row r="1745" spans="1:28" x14ac:dyDescent="0.25">
      <c r="A1745" t="s">
        <v>1749</v>
      </c>
      <c r="B1745">
        <v>0.98876768158843997</v>
      </c>
      <c r="C1745">
        <v>0.925185218362226</v>
      </c>
      <c r="D1745">
        <v>0.95858274936561405</v>
      </c>
      <c r="E1745">
        <v>0.62760432295957502</v>
      </c>
      <c r="F1745">
        <v>0.298506820858083</v>
      </c>
      <c r="G1745">
        <v>0.17121723039867501</v>
      </c>
      <c r="H1745">
        <v>0.12830564109842299</v>
      </c>
      <c r="I1745">
        <v>0.139090501047968</v>
      </c>
      <c r="J1745">
        <v>0.141412231845499</v>
      </c>
      <c r="K1745">
        <v>0.171183584102266</v>
      </c>
      <c r="L1745">
        <v>1523.76952319354</v>
      </c>
      <c r="M1745">
        <v>30.229013799976901</v>
      </c>
      <c r="N1745">
        <v>50.978033815540101</v>
      </c>
      <c r="O1745">
        <v>50.188466675575903</v>
      </c>
      <c r="P1745">
        <v>-0.12896874856134199</v>
      </c>
      <c r="Q1745">
        <v>0.14351130266501899</v>
      </c>
      <c r="R1745">
        <v>0.99506144141541097</v>
      </c>
      <c r="S1745" t="s">
        <v>5577</v>
      </c>
      <c r="T1745" t="s">
        <v>7662</v>
      </c>
      <c r="U1745" t="s">
        <v>7662</v>
      </c>
      <c r="V1745" t="s">
        <v>7662</v>
      </c>
      <c r="W1745">
        <v>8</v>
      </c>
      <c r="X1745" t="s">
        <v>9407</v>
      </c>
      <c r="Y1745">
        <v>0.44589377545350217</v>
      </c>
      <c r="Z1745" t="str">
        <f>HYPERLINK("Melting_Curves/meltCurve_sp_Q53LP3_SWAHC_HUMAN_.pdf", "Melting_Curves/meltCurve_sp_Q53LP3_SWAHC_HUMAN_.pdf")</f>
        <v>Melting_Curves/meltCurve_sp_Q53LP3_SWAHC_HUMAN_.pdf</v>
      </c>
      <c r="AA1745" t="s">
        <v>13210</v>
      </c>
      <c r="AB1745" t="s">
        <v>16985</v>
      </c>
    </row>
    <row r="1746" spans="1:28" x14ac:dyDescent="0.25">
      <c r="A1746" t="s">
        <v>1750</v>
      </c>
      <c r="B1746">
        <v>0.98876768158843997</v>
      </c>
      <c r="C1746">
        <v>1.05696470181434</v>
      </c>
      <c r="D1746">
        <v>0.94864706218551198</v>
      </c>
      <c r="E1746">
        <v>0.86185367572471605</v>
      </c>
      <c r="F1746">
        <v>1.0389674138264999</v>
      </c>
      <c r="G1746">
        <v>0.773844456153711</v>
      </c>
      <c r="H1746">
        <v>0.62639840419533699</v>
      </c>
      <c r="I1746">
        <v>0.66137023515973603</v>
      </c>
      <c r="J1746">
        <v>0.79322855718447804</v>
      </c>
      <c r="K1746">
        <v>0.94454869080741699</v>
      </c>
      <c r="L1746">
        <v>14103.998937361501</v>
      </c>
      <c r="M1746">
        <v>250</v>
      </c>
      <c r="O1746">
        <v>56.412369799803798</v>
      </c>
      <c r="P1746">
        <v>-0.26990254133548403</v>
      </c>
      <c r="Q1746">
        <v>0.75638646064267401</v>
      </c>
      <c r="R1746">
        <v>0.56949176261242995</v>
      </c>
      <c r="S1746" t="s">
        <v>5578</v>
      </c>
      <c r="T1746" t="s">
        <v>7662</v>
      </c>
      <c r="U1746" t="s">
        <v>7662</v>
      </c>
      <c r="V1746" t="s">
        <v>7662</v>
      </c>
      <c r="W1746">
        <v>3</v>
      </c>
      <c r="X1746" t="s">
        <v>9408</v>
      </c>
      <c r="Y1746">
        <v>0.88971587484288994</v>
      </c>
      <c r="Z1746" t="str">
        <f>HYPERLINK("Melting_Curves/meltCurve_sp_Q53S33_BOLA3_HUMAN_.pdf", "Melting_Curves/meltCurve_sp_Q53S33_BOLA3_HUMAN_.pdf")</f>
        <v>Melting_Curves/meltCurve_sp_Q53S33_BOLA3_HUMAN_.pdf</v>
      </c>
      <c r="AA1746" t="s">
        <v>13211</v>
      </c>
      <c r="AB1746" t="s">
        <v>16986</v>
      </c>
    </row>
    <row r="1747" spans="1:28" x14ac:dyDescent="0.25">
      <c r="A1747" t="s">
        <v>1751</v>
      </c>
      <c r="B1747">
        <v>0.98876768158843997</v>
      </c>
      <c r="C1747">
        <v>1.18210788786468</v>
      </c>
      <c r="D1747">
        <v>0.96172541137191603</v>
      </c>
      <c r="E1747">
        <v>0.66042689631662099</v>
      </c>
      <c r="F1747">
        <v>0.39354002562422702</v>
      </c>
      <c r="G1747">
        <v>0.169969791698136</v>
      </c>
      <c r="H1747">
        <v>0.10328279445590299</v>
      </c>
      <c r="I1747">
        <v>8.4484883696262406E-2</v>
      </c>
      <c r="J1747">
        <v>0.110651006945076</v>
      </c>
      <c r="K1747">
        <v>5.7111096324854699E-2</v>
      </c>
      <c r="L1747">
        <v>1257.16718551842</v>
      </c>
      <c r="M1747">
        <v>24.477468841520899</v>
      </c>
      <c r="N1747">
        <v>51.752500412939803</v>
      </c>
      <c r="O1747">
        <v>51.021057318597599</v>
      </c>
      <c r="P1747">
        <v>-0.10978341757521901</v>
      </c>
      <c r="Q1747">
        <v>8.4679193193301402E-2</v>
      </c>
      <c r="R1747">
        <v>0.97763569772956604</v>
      </c>
      <c r="S1747" t="s">
        <v>5579</v>
      </c>
      <c r="T1747" t="s">
        <v>7662</v>
      </c>
      <c r="U1747" t="s">
        <v>7662</v>
      </c>
      <c r="V1747" t="s">
        <v>7662</v>
      </c>
      <c r="W1747">
        <v>15</v>
      </c>
      <c r="X1747" t="s">
        <v>9409</v>
      </c>
      <c r="Y1747">
        <v>0.43993619048937499</v>
      </c>
      <c r="Z1747" t="str">
        <f>HYPERLINK("Melting_Curves/meltCurve_sp_Q58FF8_H90B2_HUMAN_.pdf", "Melting_Curves/meltCurve_sp_Q58FF8_H90B2_HUMAN_.pdf")</f>
        <v>Melting_Curves/meltCurve_sp_Q58FF8_H90B2_HUMAN_.pdf</v>
      </c>
      <c r="AA1747" t="s">
        <v>13212</v>
      </c>
      <c r="AB1747" t="s">
        <v>16987</v>
      </c>
    </row>
    <row r="1748" spans="1:28" x14ac:dyDescent="0.25">
      <c r="A1748" t="s">
        <v>1752</v>
      </c>
      <c r="B1748">
        <v>0.98876768158843997</v>
      </c>
      <c r="C1748">
        <v>1.0003266765133301</v>
      </c>
      <c r="D1748">
        <v>1.2245322622607899</v>
      </c>
      <c r="E1748">
        <v>0.93009096385839096</v>
      </c>
      <c r="F1748">
        <v>0.26574967288871199</v>
      </c>
      <c r="G1748">
        <v>0.215089325241235</v>
      </c>
      <c r="H1748">
        <v>9.6794492161346696E-2</v>
      </c>
      <c r="I1748">
        <v>0.12843238600523699</v>
      </c>
      <c r="J1748">
        <v>0.15581126367729201</v>
      </c>
      <c r="K1748">
        <v>0.114818903904275</v>
      </c>
      <c r="L1748">
        <v>3697.0023458437199</v>
      </c>
      <c r="M1748">
        <v>71.522279716321194</v>
      </c>
      <c r="N1748">
        <v>51.9323019019226</v>
      </c>
      <c r="O1748">
        <v>51.649853446261403</v>
      </c>
      <c r="P1748">
        <v>-0.29711330090600002</v>
      </c>
      <c r="Q1748">
        <v>0.14175804714597001</v>
      </c>
      <c r="R1748">
        <v>0.96899875789418599</v>
      </c>
      <c r="S1748" t="s">
        <v>5580</v>
      </c>
      <c r="T1748" t="s">
        <v>7662</v>
      </c>
      <c r="U1748" t="s">
        <v>7662</v>
      </c>
      <c r="V1748" t="s">
        <v>7662</v>
      </c>
      <c r="W1748">
        <v>4</v>
      </c>
      <c r="X1748" t="s">
        <v>9410</v>
      </c>
      <c r="Y1748">
        <v>0.4771462218391983</v>
      </c>
      <c r="Z1748" t="str">
        <f>HYPERLINK("Melting_Curves/meltCurve_sp_Q58FG1_HS904_HUMAN_.pdf", "Melting_Curves/meltCurve_sp_Q58FG1_HS904_HUMAN_.pdf")</f>
        <v>Melting_Curves/meltCurve_sp_Q58FG1_HS904_HUMAN_.pdf</v>
      </c>
      <c r="AA1748" t="s">
        <v>13213</v>
      </c>
      <c r="AB1748" t="s">
        <v>16988</v>
      </c>
    </row>
    <row r="1749" spans="1:28" x14ac:dyDescent="0.25">
      <c r="A1749" t="s">
        <v>1753</v>
      </c>
      <c r="B1749">
        <v>0.98876768158843997</v>
      </c>
      <c r="C1749">
        <v>1.00279908353723</v>
      </c>
      <c r="D1749">
        <v>1.06115226890411</v>
      </c>
      <c r="E1749">
        <v>0.91254493681004201</v>
      </c>
      <c r="F1749">
        <v>0.76019949174538304</v>
      </c>
      <c r="G1749">
        <v>0.49160334778501402</v>
      </c>
      <c r="H1749">
        <v>0.156875264137289</v>
      </c>
      <c r="I1749">
        <v>0.13935833055570801</v>
      </c>
      <c r="J1749">
        <v>0.15949364995802101</v>
      </c>
      <c r="K1749">
        <v>0.13661613973497899</v>
      </c>
      <c r="L1749">
        <v>1257.2681780764401</v>
      </c>
      <c r="M1749">
        <v>22.5889128307711</v>
      </c>
      <c r="N1749">
        <v>56.286500716635999</v>
      </c>
      <c r="O1749">
        <v>55.227962313324397</v>
      </c>
      <c r="P1749">
        <v>-9.0867308219015397E-2</v>
      </c>
      <c r="Q1749">
        <v>0.111367001346505</v>
      </c>
      <c r="R1749">
        <v>0.99057110192832198</v>
      </c>
      <c r="S1749" t="s">
        <v>5581</v>
      </c>
      <c r="T1749" t="s">
        <v>7662</v>
      </c>
      <c r="U1749" t="s">
        <v>7662</v>
      </c>
      <c r="V1749" t="s">
        <v>7662</v>
      </c>
      <c r="W1749">
        <v>5</v>
      </c>
      <c r="X1749" t="s">
        <v>9411</v>
      </c>
      <c r="Y1749">
        <v>0.58485987597183298</v>
      </c>
      <c r="Z1749" t="str">
        <f>HYPERLINK("Melting_Curves/meltCurve_sp_Q58WW2_4_DCAF6_HUMAN_.pdf", "Melting_Curves/meltCurve_sp_Q58WW2_4_DCAF6_HUMAN_.pdf")</f>
        <v>Melting_Curves/meltCurve_sp_Q58WW2_4_DCAF6_HUMAN_.pdf</v>
      </c>
      <c r="AA1749" t="s">
        <v>13214</v>
      </c>
      <c r="AB1749" t="s">
        <v>16989</v>
      </c>
    </row>
    <row r="1750" spans="1:28" x14ac:dyDescent="0.25">
      <c r="A1750" t="s">
        <v>1754</v>
      </c>
      <c r="B1750">
        <v>0.98876768158843997</v>
      </c>
      <c r="C1750">
        <v>0.97817579989025605</v>
      </c>
      <c r="D1750">
        <v>0.78542347413708202</v>
      </c>
      <c r="E1750">
        <v>0.46981532801796499</v>
      </c>
      <c r="F1750">
        <v>0.39277880834489898</v>
      </c>
      <c r="G1750">
        <v>0.298401947844805</v>
      </c>
      <c r="H1750">
        <v>0.230099654663912</v>
      </c>
      <c r="I1750">
        <v>0.25093706579622099</v>
      </c>
      <c r="J1750">
        <v>0.45830108137838999</v>
      </c>
      <c r="K1750">
        <v>0.33073416959740098</v>
      </c>
      <c r="L1750">
        <v>1196.56142494643</v>
      </c>
      <c r="M1750">
        <v>25.160398997533299</v>
      </c>
      <c r="N1750">
        <v>49.522607958309301</v>
      </c>
      <c r="O1750">
        <v>47.2599473426258</v>
      </c>
      <c r="P1750">
        <v>-9.1067736241165695E-2</v>
      </c>
      <c r="Q1750">
        <v>0.315781744723442</v>
      </c>
      <c r="R1750">
        <v>0.95459381255916198</v>
      </c>
      <c r="S1750" t="s">
        <v>5582</v>
      </c>
      <c r="T1750" t="s">
        <v>7662</v>
      </c>
      <c r="U1750" t="s">
        <v>7662</v>
      </c>
      <c r="V1750" t="s">
        <v>7662</v>
      </c>
      <c r="W1750">
        <v>2</v>
      </c>
      <c r="X1750" t="s">
        <v>9412</v>
      </c>
      <c r="Y1750">
        <v>0.49412268264481207</v>
      </c>
      <c r="Z1750" t="str">
        <f>HYPERLINK("Melting_Curves/meltCurve_sp_Q5BKU9_OXLD1_HUMAN_.pdf", "Melting_Curves/meltCurve_sp_Q5BKU9_OXLD1_HUMAN_.pdf")</f>
        <v>Melting_Curves/meltCurve_sp_Q5BKU9_OXLD1_HUMAN_.pdf</v>
      </c>
      <c r="AA1750" t="s">
        <v>13215</v>
      </c>
      <c r="AB1750" t="s">
        <v>16990</v>
      </c>
    </row>
    <row r="1751" spans="1:28" x14ac:dyDescent="0.25">
      <c r="A1751" t="s">
        <v>1755</v>
      </c>
      <c r="B1751">
        <v>0.98876768158843997</v>
      </c>
      <c r="C1751">
        <v>1.0725148059779299</v>
      </c>
      <c r="D1751">
        <v>0.86124337787207605</v>
      </c>
      <c r="E1751">
        <v>0.74048896602789005</v>
      </c>
      <c r="F1751">
        <v>0.68477114427783103</v>
      </c>
      <c r="G1751">
        <v>0.33252530346578801</v>
      </c>
      <c r="H1751">
        <v>0.16364778120350301</v>
      </c>
      <c r="I1751">
        <v>0.13673957735084299</v>
      </c>
      <c r="J1751">
        <v>0.162608741536695</v>
      </c>
      <c r="K1751">
        <v>0.13786227136402701</v>
      </c>
      <c r="L1751">
        <v>851.31653306494798</v>
      </c>
      <c r="M1751">
        <v>15.8353536506797</v>
      </c>
      <c r="N1751">
        <v>54.459344337723699</v>
      </c>
      <c r="O1751">
        <v>52.925056843899</v>
      </c>
      <c r="P1751">
        <v>-6.7928836078267801E-2</v>
      </c>
      <c r="Q1751">
        <v>9.1944782978851697E-2</v>
      </c>
      <c r="R1751">
        <v>0.97752897602373801</v>
      </c>
      <c r="S1751" t="s">
        <v>5583</v>
      </c>
      <c r="T1751" t="s">
        <v>7662</v>
      </c>
      <c r="U1751" t="s">
        <v>7662</v>
      </c>
      <c r="V1751" t="s">
        <v>7662</v>
      </c>
      <c r="W1751">
        <v>3</v>
      </c>
      <c r="X1751" t="s">
        <v>9413</v>
      </c>
      <c r="Y1751">
        <v>0.5260232709733661</v>
      </c>
      <c r="Z1751" t="str">
        <f>HYPERLINK("Melting_Curves/meltCurve_sp_Q5EBL8_PDZ11_HUMAN_.pdf", "Melting_Curves/meltCurve_sp_Q5EBL8_PDZ11_HUMAN_.pdf")</f>
        <v>Melting_Curves/meltCurve_sp_Q5EBL8_PDZ11_HUMAN_.pdf</v>
      </c>
      <c r="AA1751" t="s">
        <v>13216</v>
      </c>
      <c r="AB1751" t="s">
        <v>16991</v>
      </c>
    </row>
    <row r="1752" spans="1:28" x14ac:dyDescent="0.25">
      <c r="A1752" t="s">
        <v>1756</v>
      </c>
      <c r="B1752">
        <v>0.98876768158843997</v>
      </c>
      <c r="C1752">
        <v>0.92336874868630603</v>
      </c>
      <c r="D1752">
        <v>0.907007224625761</v>
      </c>
      <c r="E1752">
        <v>0.67091843707119003</v>
      </c>
      <c r="F1752">
        <v>0.31136250279219302</v>
      </c>
      <c r="G1752">
        <v>0.13817991876515301</v>
      </c>
      <c r="H1752">
        <v>8.2631639176992094E-2</v>
      </c>
      <c r="I1752">
        <v>6.5620499080210795E-2</v>
      </c>
      <c r="J1752">
        <v>9.3173232958757998E-2</v>
      </c>
      <c r="K1752">
        <v>7.3597814529415301E-2</v>
      </c>
      <c r="L1752">
        <v>1221.11948870541</v>
      </c>
      <c r="M1752">
        <v>23.9622243503185</v>
      </c>
      <c r="N1752">
        <v>51.281907218597802</v>
      </c>
      <c r="O1752">
        <v>50.609268117992599</v>
      </c>
      <c r="P1752">
        <v>-0.110109971396842</v>
      </c>
      <c r="Q1752">
        <v>6.9786791600590495E-2</v>
      </c>
      <c r="R1752">
        <v>0.994886065014432</v>
      </c>
      <c r="S1752" t="s">
        <v>5584</v>
      </c>
      <c r="T1752" t="s">
        <v>7662</v>
      </c>
      <c r="U1752" t="s">
        <v>7662</v>
      </c>
      <c r="V1752" t="s">
        <v>7662</v>
      </c>
      <c r="W1752">
        <v>3</v>
      </c>
      <c r="X1752" t="s">
        <v>9414</v>
      </c>
      <c r="Y1752">
        <v>0.41875936090899513</v>
      </c>
      <c r="Z1752" t="str">
        <f>HYPERLINK("Melting_Curves/meltCurve_sp_Q5EBM0_CMPK2_HUMAN_.pdf", "Melting_Curves/meltCurve_sp_Q5EBM0_CMPK2_HUMAN_.pdf")</f>
        <v>Melting_Curves/meltCurve_sp_Q5EBM0_CMPK2_HUMAN_.pdf</v>
      </c>
      <c r="AA1752" t="s">
        <v>13217</v>
      </c>
      <c r="AB1752" t="s">
        <v>16992</v>
      </c>
    </row>
    <row r="1753" spans="1:28" x14ac:dyDescent="0.25">
      <c r="A1753" t="s">
        <v>1757</v>
      </c>
      <c r="B1753">
        <v>0.98876768158843997</v>
      </c>
      <c r="C1753">
        <v>1.0273249104961999</v>
      </c>
      <c r="D1753">
        <v>0.97878658519053496</v>
      </c>
      <c r="E1753">
        <v>0.75998901349486403</v>
      </c>
      <c r="F1753">
        <v>0.29796491734154001</v>
      </c>
      <c r="G1753">
        <v>0.105787324228184</v>
      </c>
      <c r="H1753">
        <v>6.7152271183813603E-2</v>
      </c>
      <c r="I1753">
        <v>6.3763437240946796E-2</v>
      </c>
      <c r="J1753">
        <v>8.9835034054746396E-2</v>
      </c>
      <c r="K1753">
        <v>9.0095150991114106E-2</v>
      </c>
      <c r="L1753">
        <v>1931.80290463598</v>
      </c>
      <c r="M1753">
        <v>37.600616802439603</v>
      </c>
      <c r="N1753">
        <v>51.6099634069354</v>
      </c>
      <c r="O1753">
        <v>51.232218672437902</v>
      </c>
      <c r="P1753">
        <v>-0.16915465213172901</v>
      </c>
      <c r="Q1753">
        <v>7.80847976790075E-2</v>
      </c>
      <c r="R1753">
        <v>0.99898742099829696</v>
      </c>
      <c r="S1753" t="s">
        <v>5585</v>
      </c>
      <c r="T1753" t="s">
        <v>7662</v>
      </c>
      <c r="U1753" t="s">
        <v>7662</v>
      </c>
      <c r="V1753" t="s">
        <v>7662</v>
      </c>
      <c r="W1753">
        <v>6</v>
      </c>
      <c r="X1753" t="s">
        <v>9415</v>
      </c>
      <c r="Y1753">
        <v>0.43140987806749409</v>
      </c>
      <c r="Z1753" t="str">
        <f>HYPERLINK("Melting_Curves/meltCurve_sp_Q5GLZ8_6_HERC4_HUMAN_.pdf", "Melting_Curves/meltCurve_sp_Q5GLZ8_6_HERC4_HUMAN_.pdf")</f>
        <v>Melting_Curves/meltCurve_sp_Q5GLZ8_6_HERC4_HUMAN_.pdf</v>
      </c>
      <c r="AA1753" t="s">
        <v>13218</v>
      </c>
      <c r="AB1753" t="s">
        <v>16993</v>
      </c>
    </row>
    <row r="1754" spans="1:28" x14ac:dyDescent="0.25">
      <c r="A1754" t="s">
        <v>1758</v>
      </c>
      <c r="B1754">
        <v>0.98876768158843997</v>
      </c>
      <c r="C1754">
        <v>1.0082488560392699</v>
      </c>
      <c r="D1754">
        <v>0.86723994225936396</v>
      </c>
      <c r="E1754">
        <v>0.70040163663988897</v>
      </c>
      <c r="F1754">
        <v>0.58438439483315596</v>
      </c>
      <c r="G1754">
        <v>0.34330345195240802</v>
      </c>
      <c r="H1754">
        <v>0.226432111610608</v>
      </c>
      <c r="I1754">
        <v>0.21318029477113301</v>
      </c>
      <c r="J1754">
        <v>0.23384231578350501</v>
      </c>
      <c r="K1754">
        <v>0.25806737677125802</v>
      </c>
      <c r="L1754">
        <v>819.97310092784198</v>
      </c>
      <c r="M1754">
        <v>15.802658201008899</v>
      </c>
      <c r="N1754">
        <v>53.6285829561835</v>
      </c>
      <c r="O1754">
        <v>51.078700656259997</v>
      </c>
      <c r="P1754">
        <v>-6.1834910112246302E-2</v>
      </c>
      <c r="Q1754">
        <v>0.200593560723796</v>
      </c>
      <c r="R1754">
        <v>0.989313439757317</v>
      </c>
      <c r="S1754" t="s">
        <v>5586</v>
      </c>
      <c r="T1754" t="s">
        <v>7662</v>
      </c>
      <c r="U1754" t="s">
        <v>7662</v>
      </c>
      <c r="V1754" t="s">
        <v>7662</v>
      </c>
      <c r="W1754">
        <v>5</v>
      </c>
      <c r="X1754" t="s">
        <v>9416</v>
      </c>
      <c r="Y1754">
        <v>0.53391180918269499</v>
      </c>
      <c r="Z1754" t="str">
        <f>HYPERLINK("Melting_Curves/meltCurve_sp_Q5HYK7_3_SH319_HUMAN_.pdf", "Melting_Curves/meltCurve_sp_Q5HYK7_3_SH319_HUMAN_.pdf")</f>
        <v>Melting_Curves/meltCurve_sp_Q5HYK7_3_SH319_HUMAN_.pdf</v>
      </c>
      <c r="AA1754" t="s">
        <v>13219</v>
      </c>
      <c r="AB1754" t="s">
        <v>16994</v>
      </c>
    </row>
    <row r="1755" spans="1:28" x14ac:dyDescent="0.25">
      <c r="A1755" t="s">
        <v>1759</v>
      </c>
      <c r="B1755">
        <v>0.98876768158843997</v>
      </c>
      <c r="C1755">
        <v>1.2236401280131299</v>
      </c>
      <c r="D1755">
        <v>1.22111229816695</v>
      </c>
      <c r="E1755">
        <v>1.4678029020313399</v>
      </c>
      <c r="F1755">
        <v>1.22307917440365</v>
      </c>
      <c r="G1755">
        <v>1.77987797019534</v>
      </c>
      <c r="H1755">
        <v>2.14520775556085</v>
      </c>
      <c r="I1755">
        <v>3.4139236779164501</v>
      </c>
      <c r="J1755">
        <v>4.0940543977345598</v>
      </c>
      <c r="K1755">
        <v>3.9633803907872598</v>
      </c>
      <c r="L1755">
        <v>1044.1626593087401</v>
      </c>
      <c r="M1755">
        <v>23.114952795596601</v>
      </c>
      <c r="O1755">
        <v>44.838572657765297</v>
      </c>
      <c r="P1755">
        <v>6.4440528581018397E-2</v>
      </c>
      <c r="Q1755">
        <v>1.5</v>
      </c>
      <c r="R1755">
        <v>-0.29214297972862802</v>
      </c>
      <c r="S1755" t="s">
        <v>5587</v>
      </c>
      <c r="T1755" t="s">
        <v>7662</v>
      </c>
      <c r="U1755" t="s">
        <v>7662</v>
      </c>
      <c r="V1755" t="s">
        <v>7662</v>
      </c>
      <c r="W1755">
        <v>2</v>
      </c>
      <c r="X1755" t="s">
        <v>9417</v>
      </c>
      <c r="Y1755">
        <v>1.407884975724379</v>
      </c>
      <c r="Z1755" t="str">
        <f>HYPERLINK("Melting_Curves/meltCurve_sp_Q5JR59_4_MTUS2_HUMAN_.pdf", "Melting_Curves/meltCurve_sp_Q5JR59_4_MTUS2_HUMAN_.pdf")</f>
        <v>Melting_Curves/meltCurve_sp_Q5JR59_4_MTUS2_HUMAN_.pdf</v>
      </c>
      <c r="AA1755" t="s">
        <v>13220</v>
      </c>
      <c r="AB1755" t="s">
        <v>16995</v>
      </c>
    </row>
    <row r="1756" spans="1:28" x14ac:dyDescent="0.25">
      <c r="A1756" t="s">
        <v>1760</v>
      </c>
      <c r="B1756">
        <v>0.98876768158843997</v>
      </c>
      <c r="C1756">
        <v>0.89080349938235903</v>
      </c>
      <c r="D1756">
        <v>0.96352984648498397</v>
      </c>
      <c r="E1756">
        <v>0.776689611016807</v>
      </c>
      <c r="F1756">
        <v>0.45562057611537699</v>
      </c>
      <c r="G1756">
        <v>0.20897446744585199</v>
      </c>
      <c r="H1756">
        <v>8.8651595346301404E-2</v>
      </c>
      <c r="I1756">
        <v>6.1818809433765901E-2</v>
      </c>
      <c r="J1756">
        <v>7.1280269713174402E-2</v>
      </c>
      <c r="K1756">
        <v>5.9337560954955598E-2</v>
      </c>
      <c r="L1756">
        <v>1142.79272167508</v>
      </c>
      <c r="M1756">
        <v>21.7886632174108</v>
      </c>
      <c r="N1756">
        <v>52.7237705169888</v>
      </c>
      <c r="O1756">
        <v>52.013159690496799</v>
      </c>
      <c r="P1756">
        <v>-9.9107142196167494E-2</v>
      </c>
      <c r="Q1756">
        <v>5.3681169511915601E-2</v>
      </c>
      <c r="R1756">
        <v>0.99219286073686996</v>
      </c>
      <c r="S1756" t="s">
        <v>5588</v>
      </c>
      <c r="T1756" t="s">
        <v>7662</v>
      </c>
      <c r="U1756" t="s">
        <v>7662</v>
      </c>
      <c r="V1756" t="s">
        <v>7662</v>
      </c>
      <c r="W1756">
        <v>32</v>
      </c>
      <c r="X1756" t="s">
        <v>9418</v>
      </c>
      <c r="Y1756">
        <v>0.4575812127439593</v>
      </c>
      <c r="Z1756" t="str">
        <f>HYPERLINK("Melting_Curves/meltCurve_sp_Q5JRX3_PREP_HUMAN_.pdf", "Melting_Curves/meltCurve_sp_Q5JRX3_PREP_HUMAN_.pdf")</f>
        <v>Melting_Curves/meltCurve_sp_Q5JRX3_PREP_HUMAN_.pdf</v>
      </c>
      <c r="AA1756" t="s">
        <v>13221</v>
      </c>
      <c r="AB1756" t="s">
        <v>16996</v>
      </c>
    </row>
    <row r="1757" spans="1:28" x14ac:dyDescent="0.25">
      <c r="A1757" t="s">
        <v>1761</v>
      </c>
      <c r="B1757">
        <v>0.98876768158843997</v>
      </c>
      <c r="C1757">
        <v>0.944701651712478</v>
      </c>
      <c r="D1757">
        <v>0.92299650988440796</v>
      </c>
      <c r="E1757">
        <v>0.83226719703721896</v>
      </c>
      <c r="F1757">
        <v>0.75853144448766496</v>
      </c>
      <c r="G1757">
        <v>0.53127083500365202</v>
      </c>
      <c r="H1757">
        <v>0.406097028943122</v>
      </c>
      <c r="I1757">
        <v>0.50608240413523597</v>
      </c>
      <c r="J1757">
        <v>0.46358310089576499</v>
      </c>
      <c r="K1757">
        <v>0.56678145458149198</v>
      </c>
      <c r="L1757">
        <v>1041.3986181774401</v>
      </c>
      <c r="M1757">
        <v>19.930640793139698</v>
      </c>
      <c r="N1757">
        <v>61.418119001186803</v>
      </c>
      <c r="O1757">
        <v>51.733653729738101</v>
      </c>
      <c r="P1757">
        <v>-5.0617431644230299E-2</v>
      </c>
      <c r="Q1757">
        <v>0.47446992272107902</v>
      </c>
      <c r="R1757">
        <v>0.93923281143168902</v>
      </c>
      <c r="S1757" t="s">
        <v>5589</v>
      </c>
      <c r="T1757" t="s">
        <v>7662</v>
      </c>
      <c r="U1757" t="s">
        <v>7662</v>
      </c>
      <c r="V1757" t="s">
        <v>7662</v>
      </c>
      <c r="W1757">
        <v>3</v>
      </c>
      <c r="X1757" t="s">
        <v>9419</v>
      </c>
      <c r="Y1757">
        <v>0.69639036461387671</v>
      </c>
      <c r="Z1757" t="str">
        <f>HYPERLINK("Melting_Curves/meltCurve_sp_Q5JS37_NHLC3_HUMAN_.pdf", "Melting_Curves/meltCurve_sp_Q5JS37_NHLC3_HUMAN_.pdf")</f>
        <v>Melting_Curves/meltCurve_sp_Q5JS37_NHLC3_HUMAN_.pdf</v>
      </c>
      <c r="AA1757" t="s">
        <v>13222</v>
      </c>
      <c r="AB1757" t="s">
        <v>16997</v>
      </c>
    </row>
    <row r="1758" spans="1:28" x14ac:dyDescent="0.25">
      <c r="A1758" t="s">
        <v>1762</v>
      </c>
      <c r="B1758">
        <v>0.98876768158843997</v>
      </c>
      <c r="C1758">
        <v>1.0060018672590201</v>
      </c>
      <c r="D1758">
        <v>0.87981422029699097</v>
      </c>
      <c r="E1758">
        <v>0.71984061810567002</v>
      </c>
      <c r="F1758">
        <v>0.75142285601249303</v>
      </c>
      <c r="G1758">
        <v>0.53596992451635295</v>
      </c>
      <c r="H1758">
        <v>0.38239713224421901</v>
      </c>
      <c r="I1758">
        <v>0.41635821574356402</v>
      </c>
      <c r="J1758">
        <v>0.52429407993472599</v>
      </c>
      <c r="K1758">
        <v>0.57591583617380604</v>
      </c>
      <c r="L1758">
        <v>802.60584451093303</v>
      </c>
      <c r="M1758">
        <v>15.8131812237069</v>
      </c>
      <c r="N1758">
        <v>61.351706732170101</v>
      </c>
      <c r="O1758">
        <v>49.964594501475197</v>
      </c>
      <c r="P1758">
        <v>-4.21416456806398E-2</v>
      </c>
      <c r="Q1758">
        <v>0.46742726991484901</v>
      </c>
      <c r="R1758">
        <v>0.89825483725589705</v>
      </c>
      <c r="S1758" t="s">
        <v>5590</v>
      </c>
      <c r="T1758" t="s">
        <v>7662</v>
      </c>
      <c r="U1758" t="s">
        <v>7662</v>
      </c>
      <c r="V1758" t="s">
        <v>7662</v>
      </c>
      <c r="W1758">
        <v>13</v>
      </c>
      <c r="X1758" t="s">
        <v>9420</v>
      </c>
      <c r="Y1758">
        <v>0.66969534303252165</v>
      </c>
      <c r="Z1758" t="str">
        <f>HYPERLINK("Melting_Curves/meltCurve_sp_Q5JSH3_2_WDR44_HUMAN_.pdf", "Melting_Curves/meltCurve_sp_Q5JSH3_2_WDR44_HUMAN_.pdf")</f>
        <v>Melting_Curves/meltCurve_sp_Q5JSH3_2_WDR44_HUMAN_.pdf</v>
      </c>
      <c r="AA1758" t="s">
        <v>13223</v>
      </c>
      <c r="AB1758" t="s">
        <v>16998</v>
      </c>
    </row>
    <row r="1759" spans="1:28" x14ac:dyDescent="0.25">
      <c r="A1759" t="s">
        <v>1763</v>
      </c>
      <c r="B1759">
        <v>0.98876768158843997</v>
      </c>
      <c r="C1759">
        <v>1.05090082206283</v>
      </c>
      <c r="D1759">
        <v>0.87935558825285798</v>
      </c>
      <c r="E1759">
        <v>0.71611253214971504</v>
      </c>
      <c r="F1759">
        <v>0.77874016840096405</v>
      </c>
      <c r="G1759">
        <v>0.519671679065276</v>
      </c>
      <c r="H1759">
        <v>0.42345434853955</v>
      </c>
      <c r="I1759">
        <v>0.60334299393844104</v>
      </c>
      <c r="J1759">
        <v>0.69379757287263299</v>
      </c>
      <c r="K1759">
        <v>0.62169319695762404</v>
      </c>
      <c r="L1759">
        <v>986.068704556336</v>
      </c>
      <c r="M1759">
        <v>20.078444293166299</v>
      </c>
      <c r="O1759">
        <v>48.631446333580499</v>
      </c>
      <c r="P1759">
        <v>-4.3307110008900002E-2</v>
      </c>
      <c r="Q1759">
        <v>0.58044166143027398</v>
      </c>
      <c r="R1759">
        <v>0.80311027927649004</v>
      </c>
      <c r="S1759" t="s">
        <v>5591</v>
      </c>
      <c r="T1759" t="s">
        <v>7662</v>
      </c>
      <c r="U1759" t="s">
        <v>7662</v>
      </c>
      <c r="V1759" t="s">
        <v>7662</v>
      </c>
      <c r="W1759">
        <v>4</v>
      </c>
      <c r="X1759" t="s">
        <v>9421</v>
      </c>
      <c r="Y1759">
        <v>0.71368382169601097</v>
      </c>
      <c r="Z1759" t="str">
        <f>HYPERLINK("Melting_Curves/meltCurve_sp_Q5JTD0_4_TJAP1_HUMAN_.pdf", "Melting_Curves/meltCurve_sp_Q5JTD0_4_TJAP1_HUMAN_.pdf")</f>
        <v>Melting_Curves/meltCurve_sp_Q5JTD0_4_TJAP1_HUMAN_.pdf</v>
      </c>
      <c r="AA1759" t="s">
        <v>13224</v>
      </c>
      <c r="AB1759" t="s">
        <v>16999</v>
      </c>
    </row>
    <row r="1760" spans="1:28" x14ac:dyDescent="0.25">
      <c r="A1760" t="s">
        <v>1764</v>
      </c>
      <c r="B1760">
        <v>0.98876768158843997</v>
      </c>
      <c r="C1760">
        <v>1.0764985576586099</v>
      </c>
      <c r="D1760">
        <v>0.89493145120723205</v>
      </c>
      <c r="E1760">
        <v>0.81152253590571399</v>
      </c>
      <c r="F1760">
        <v>0.90077858980852699</v>
      </c>
      <c r="G1760">
        <v>0.64807340581614903</v>
      </c>
      <c r="H1760">
        <v>0.49986183977217002</v>
      </c>
      <c r="I1760">
        <v>0.59371842564732402</v>
      </c>
      <c r="J1760">
        <v>0.71709641821090297</v>
      </c>
      <c r="K1760">
        <v>0.70906720923895605</v>
      </c>
      <c r="L1760">
        <v>929.813855459411</v>
      </c>
      <c r="M1760">
        <v>17.964388909742901</v>
      </c>
      <c r="O1760">
        <v>51.1301369956985</v>
      </c>
      <c r="P1760">
        <v>-3.28653702780752E-2</v>
      </c>
      <c r="Q1760">
        <v>0.62585371853478799</v>
      </c>
      <c r="R1760">
        <v>0.76357094644710999</v>
      </c>
      <c r="S1760" t="s">
        <v>5592</v>
      </c>
      <c r="T1760" t="s">
        <v>7662</v>
      </c>
      <c r="U1760" t="s">
        <v>7662</v>
      </c>
      <c r="V1760" t="s">
        <v>7662</v>
      </c>
      <c r="W1760">
        <v>8</v>
      </c>
      <c r="X1760" t="s">
        <v>9422</v>
      </c>
      <c r="Y1760">
        <v>0.77877080604974602</v>
      </c>
      <c r="Z1760" t="str">
        <f>HYPERLINK("Melting_Curves/meltCurve_sp_Q5JTJ3_3_COA6_HUMAN_.pdf", "Melting_Curves/meltCurve_sp_Q5JTJ3_3_COA6_HUMAN_.pdf")</f>
        <v>Melting_Curves/meltCurve_sp_Q5JTJ3_3_COA6_HUMAN_.pdf</v>
      </c>
      <c r="AA1760" t="s">
        <v>13225</v>
      </c>
      <c r="AB1760" t="s">
        <v>17000</v>
      </c>
    </row>
    <row r="1761" spans="1:28" x14ac:dyDescent="0.25">
      <c r="A1761" t="s">
        <v>1765</v>
      </c>
      <c r="B1761">
        <v>0.98876768158843997</v>
      </c>
      <c r="C1761">
        <v>0.94012130071405398</v>
      </c>
      <c r="D1761">
        <v>0.93601246831863705</v>
      </c>
      <c r="E1761">
        <v>0.63078206166776696</v>
      </c>
      <c r="F1761">
        <v>0.47862335083728602</v>
      </c>
      <c r="G1761">
        <v>0.441700088223626</v>
      </c>
      <c r="H1761">
        <v>0.39967496207129499</v>
      </c>
      <c r="I1761">
        <v>0.43246783958812002</v>
      </c>
      <c r="J1761">
        <v>0.73630469737132198</v>
      </c>
      <c r="K1761">
        <v>0.494270733542852</v>
      </c>
      <c r="L1761">
        <v>1813.28511508514</v>
      </c>
      <c r="M1761">
        <v>37.411368923245597</v>
      </c>
      <c r="N1761">
        <v>55.400161642423498</v>
      </c>
      <c r="O1761">
        <v>48.3309630675652</v>
      </c>
      <c r="P1761">
        <v>-9.7655759598265501E-2</v>
      </c>
      <c r="Q1761">
        <v>0.49536367457331099</v>
      </c>
      <c r="R1761">
        <v>0.84038763693817198</v>
      </c>
      <c r="S1761" t="s">
        <v>5593</v>
      </c>
      <c r="T1761" t="s">
        <v>7662</v>
      </c>
      <c r="U1761" t="s">
        <v>7662</v>
      </c>
      <c r="V1761" t="s">
        <v>7662</v>
      </c>
      <c r="W1761">
        <v>3</v>
      </c>
      <c r="X1761" t="s">
        <v>9423</v>
      </c>
      <c r="Y1761">
        <v>0.63976002493933692</v>
      </c>
      <c r="Z1761" t="str">
        <f>HYPERLINK("Melting_Curves/meltCurve_sp_Q5JTV8_2_TOIP1_HUMAN_.pdf", "Melting_Curves/meltCurve_sp_Q5JTV8_2_TOIP1_HUMAN_.pdf")</f>
        <v>Melting_Curves/meltCurve_sp_Q5JTV8_2_TOIP1_HUMAN_.pdf</v>
      </c>
      <c r="AA1761" t="s">
        <v>13226</v>
      </c>
      <c r="AB1761" t="s">
        <v>17001</v>
      </c>
    </row>
    <row r="1762" spans="1:28" x14ac:dyDescent="0.25">
      <c r="A1762" t="s">
        <v>1766</v>
      </c>
      <c r="B1762">
        <v>0.98876768158843997</v>
      </c>
      <c r="C1762">
        <v>0.73705982342611198</v>
      </c>
      <c r="D1762">
        <v>0.473521704633034</v>
      </c>
      <c r="E1762">
        <v>0.238930741711049</v>
      </c>
      <c r="F1762">
        <v>0.163243805443374</v>
      </c>
      <c r="G1762">
        <v>8.4458169126464797E-2</v>
      </c>
      <c r="H1762">
        <v>5.67671804288577E-2</v>
      </c>
      <c r="I1762">
        <v>5.9227787087865198E-2</v>
      </c>
      <c r="J1762">
        <v>6.7256029658669406E-2</v>
      </c>
      <c r="K1762">
        <v>6.0233683755499999E-2</v>
      </c>
      <c r="L1762">
        <v>801.26593660684603</v>
      </c>
      <c r="M1762">
        <v>17.596749432927801</v>
      </c>
      <c r="N1762">
        <v>45.879588973842203</v>
      </c>
      <c r="O1762">
        <v>44.958999131632901</v>
      </c>
      <c r="P1762">
        <v>-9.1794810261429702E-2</v>
      </c>
      <c r="Q1762">
        <v>6.1921675098245303E-2</v>
      </c>
      <c r="R1762">
        <v>0.99349770045425201</v>
      </c>
      <c r="S1762" t="s">
        <v>5594</v>
      </c>
      <c r="T1762" t="s">
        <v>7662</v>
      </c>
      <c r="U1762" t="s">
        <v>7662</v>
      </c>
      <c r="V1762" t="s">
        <v>7662</v>
      </c>
      <c r="W1762">
        <v>8</v>
      </c>
      <c r="X1762" t="s">
        <v>9424</v>
      </c>
      <c r="Y1762">
        <v>0.2551495831441602</v>
      </c>
      <c r="Z1762" t="str">
        <f>HYPERLINK("Melting_Curves/meltCurve_sp_Q5JTZ9_SYAM_HUMAN_.pdf", "Melting_Curves/meltCurve_sp_Q5JTZ9_SYAM_HUMAN_.pdf")</f>
        <v>Melting_Curves/meltCurve_sp_Q5JTZ9_SYAM_HUMAN_.pdf</v>
      </c>
      <c r="AA1762" t="s">
        <v>13227</v>
      </c>
      <c r="AB1762" t="s">
        <v>17002</v>
      </c>
    </row>
    <row r="1763" spans="1:28" x14ac:dyDescent="0.25">
      <c r="A1763" t="s">
        <v>1767</v>
      </c>
      <c r="B1763">
        <v>0.98876768158843997</v>
      </c>
      <c r="C1763">
        <v>1.01233979617675</v>
      </c>
      <c r="D1763">
        <v>0.87255277447999902</v>
      </c>
      <c r="E1763">
        <v>0.57413858190063405</v>
      </c>
      <c r="F1763">
        <v>0.155967316583671</v>
      </c>
      <c r="G1763">
        <v>8.2673658075166398E-2</v>
      </c>
      <c r="H1763">
        <v>3.6004450128429399E-2</v>
      </c>
      <c r="I1763">
        <v>2.3884054016107801E-2</v>
      </c>
      <c r="J1763">
        <v>3.6591550127959699E-2</v>
      </c>
      <c r="K1763">
        <v>2.6272777157656399E-2</v>
      </c>
      <c r="L1763">
        <v>1411.8692734649701</v>
      </c>
      <c r="M1763">
        <v>28.152939733585701</v>
      </c>
      <c r="N1763">
        <v>50.252322632968301</v>
      </c>
      <c r="O1763">
        <v>49.898986319756503</v>
      </c>
      <c r="P1763">
        <v>-0.137120878372612</v>
      </c>
      <c r="Q1763">
        <v>2.78619478281899E-2</v>
      </c>
      <c r="R1763">
        <v>0.99514110946886802</v>
      </c>
      <c r="S1763" t="s">
        <v>5595</v>
      </c>
      <c r="T1763" t="s">
        <v>7662</v>
      </c>
      <c r="U1763" t="s">
        <v>7662</v>
      </c>
      <c r="V1763" t="s">
        <v>7662</v>
      </c>
      <c r="W1763">
        <v>5</v>
      </c>
      <c r="X1763" t="s">
        <v>9425</v>
      </c>
      <c r="Y1763">
        <v>0.36362051515991189</v>
      </c>
      <c r="Z1763" t="str">
        <f>HYPERLINK("Melting_Curves/meltCurve_sp_Q5JVF3_3_PCID2_HUMAN_.pdf", "Melting_Curves/meltCurve_sp_Q5JVF3_3_PCID2_HUMAN_.pdf")</f>
        <v>Melting_Curves/meltCurve_sp_Q5JVF3_3_PCID2_HUMAN_.pdf</v>
      </c>
      <c r="AA1763" t="s">
        <v>13228</v>
      </c>
      <c r="AB1763" t="s">
        <v>17003</v>
      </c>
    </row>
    <row r="1764" spans="1:28" x14ac:dyDescent="0.25">
      <c r="A1764" t="s">
        <v>1768</v>
      </c>
      <c r="B1764">
        <v>0.98876768158843997</v>
      </c>
      <c r="C1764">
        <v>1.0802640816028299</v>
      </c>
      <c r="D1764">
        <v>0.90746060296555198</v>
      </c>
      <c r="E1764">
        <v>0.78249849572989205</v>
      </c>
      <c r="F1764">
        <v>0.78584517523381803</v>
      </c>
      <c r="G1764">
        <v>0.52641455093105205</v>
      </c>
      <c r="H1764">
        <v>0.42069791319526501</v>
      </c>
      <c r="I1764">
        <v>0.41125984523728298</v>
      </c>
      <c r="J1764">
        <v>0.46877719815458602</v>
      </c>
      <c r="K1764">
        <v>0.62605434500089596</v>
      </c>
      <c r="L1764">
        <v>1008.76164543252</v>
      </c>
      <c r="M1764">
        <v>19.3769092850549</v>
      </c>
      <c r="N1764">
        <v>61.234772332253499</v>
      </c>
      <c r="O1764">
        <v>51.515020818095003</v>
      </c>
      <c r="P1764">
        <v>-4.9598160838613202E-2</v>
      </c>
      <c r="Q1764">
        <v>0.47257720525373798</v>
      </c>
      <c r="R1764">
        <v>0.89111361434015302</v>
      </c>
      <c r="S1764" t="s">
        <v>5596</v>
      </c>
      <c r="T1764" t="s">
        <v>7662</v>
      </c>
      <c r="U1764" t="s">
        <v>7662</v>
      </c>
      <c r="V1764" t="s">
        <v>7662</v>
      </c>
      <c r="W1764">
        <v>1</v>
      </c>
      <c r="X1764" t="s">
        <v>9426</v>
      </c>
      <c r="Y1764">
        <v>0.69231958641164582</v>
      </c>
      <c r="Z1764" t="str">
        <f>HYPERLINK("Melting_Curves/meltCurve_sp_Q5JVS0_HABP4_HUMAN_.pdf", "Melting_Curves/meltCurve_sp_Q5JVS0_HABP4_HUMAN_.pdf")</f>
        <v>Melting_Curves/meltCurve_sp_Q5JVS0_HABP4_HUMAN_.pdf</v>
      </c>
      <c r="AA1764" t="s">
        <v>13229</v>
      </c>
      <c r="AB1764" t="s">
        <v>17004</v>
      </c>
    </row>
    <row r="1765" spans="1:28" x14ac:dyDescent="0.25">
      <c r="A1765" t="s">
        <v>1769</v>
      </c>
      <c r="B1765">
        <v>0.98876768158843997</v>
      </c>
      <c r="C1765">
        <v>0.98696301178143697</v>
      </c>
      <c r="D1765">
        <v>0.944820064107049</v>
      </c>
      <c r="E1765">
        <v>0.50295107055413202</v>
      </c>
      <c r="F1765">
        <v>0.25585547852556101</v>
      </c>
      <c r="G1765">
        <v>0.140143906373524</v>
      </c>
      <c r="H1765">
        <v>5.6992318438711997E-2</v>
      </c>
      <c r="I1765">
        <v>6.2688690671295094E-2</v>
      </c>
      <c r="J1765">
        <v>4.2284597131903003E-2</v>
      </c>
      <c r="K1765">
        <v>2.6464518391834099E-2</v>
      </c>
      <c r="L1765">
        <v>1238.6020069446299</v>
      </c>
      <c r="M1765">
        <v>24.744281583580801</v>
      </c>
      <c r="N1765">
        <v>50.282208470420301</v>
      </c>
      <c r="O1765">
        <v>49.732592384581999</v>
      </c>
      <c r="P1765">
        <v>-0.11783892330435999</v>
      </c>
      <c r="Q1765">
        <v>5.2653344937638902E-2</v>
      </c>
      <c r="R1765">
        <v>0.99645525082328901</v>
      </c>
      <c r="S1765" t="s">
        <v>5597</v>
      </c>
      <c r="T1765" t="s">
        <v>7662</v>
      </c>
      <c r="U1765" t="s">
        <v>7662</v>
      </c>
      <c r="V1765" t="s">
        <v>7662</v>
      </c>
      <c r="W1765">
        <v>5</v>
      </c>
      <c r="X1765" t="s">
        <v>9427</v>
      </c>
      <c r="Y1765">
        <v>0.37885546973212442</v>
      </c>
      <c r="Z1765" t="str">
        <f>HYPERLINK("Melting_Curves/meltCurve_sp_Q5MIZ7_3_P4R3B_HUMAN_.pdf", "Melting_Curves/meltCurve_sp_Q5MIZ7_3_P4R3B_HUMAN_.pdf")</f>
        <v>Melting_Curves/meltCurve_sp_Q5MIZ7_3_P4R3B_HUMAN_.pdf</v>
      </c>
      <c r="AA1765" t="s">
        <v>13230</v>
      </c>
      <c r="AB1765" t="s">
        <v>17005</v>
      </c>
    </row>
    <row r="1766" spans="1:28" x14ac:dyDescent="0.25">
      <c r="A1766" t="s">
        <v>1770</v>
      </c>
      <c r="B1766">
        <v>0.98876768158843997</v>
      </c>
      <c r="C1766">
        <v>0.83186214483323095</v>
      </c>
      <c r="D1766">
        <v>0.89226303769212001</v>
      </c>
      <c r="E1766">
        <v>0.72111143765856001</v>
      </c>
      <c r="F1766">
        <v>0.55838349701422396</v>
      </c>
      <c r="G1766">
        <v>0.38563944574672998</v>
      </c>
      <c r="H1766">
        <v>0.25266738562313101</v>
      </c>
      <c r="I1766">
        <v>0.217635332270497</v>
      </c>
      <c r="J1766">
        <v>0.234998545749983</v>
      </c>
      <c r="K1766">
        <v>0.12551367922092899</v>
      </c>
      <c r="L1766">
        <v>539.41090501490498</v>
      </c>
      <c r="M1766">
        <v>10.0722085904316</v>
      </c>
      <c r="N1766">
        <v>54.381283666860703</v>
      </c>
      <c r="O1766">
        <v>51.571850821831902</v>
      </c>
      <c r="P1766">
        <v>-4.53808215238483E-2</v>
      </c>
      <c r="Q1766">
        <v>7.1001732487965902E-2</v>
      </c>
      <c r="R1766">
        <v>0.98145119351726795</v>
      </c>
      <c r="S1766" t="s">
        <v>5598</v>
      </c>
      <c r="T1766" t="s">
        <v>7662</v>
      </c>
      <c r="U1766" t="s">
        <v>7662</v>
      </c>
      <c r="V1766" t="s">
        <v>7662</v>
      </c>
      <c r="W1766">
        <v>2</v>
      </c>
      <c r="X1766" t="s">
        <v>9428</v>
      </c>
      <c r="Y1766">
        <v>0.52032194840257506</v>
      </c>
      <c r="Z1766" t="str">
        <f>HYPERLINK("Melting_Curves/meltCurve_sp_Q5MNZ6_WIPI3_HUMAN_.pdf", "Melting_Curves/meltCurve_sp_Q5MNZ6_WIPI3_HUMAN_.pdf")</f>
        <v>Melting_Curves/meltCurve_sp_Q5MNZ6_WIPI3_HUMAN_.pdf</v>
      </c>
      <c r="AA1766" t="s">
        <v>13231</v>
      </c>
      <c r="AB1766" t="s">
        <v>17006</v>
      </c>
    </row>
    <row r="1767" spans="1:28" x14ac:dyDescent="0.25">
      <c r="A1767" t="s">
        <v>1771</v>
      </c>
      <c r="B1767">
        <v>0.98876768158843997</v>
      </c>
      <c r="C1767">
        <v>1.02474759658104</v>
      </c>
      <c r="D1767">
        <v>0.83796819020149005</v>
      </c>
      <c r="E1767">
        <v>0.51648740931988202</v>
      </c>
      <c r="F1767">
        <v>0.26761648996699799</v>
      </c>
      <c r="G1767">
        <v>0.16167575729963199</v>
      </c>
      <c r="H1767">
        <v>0.120296775729005</v>
      </c>
      <c r="I1767">
        <v>0.112019295824202</v>
      </c>
      <c r="J1767">
        <v>0.13450971123192501</v>
      </c>
      <c r="K1767">
        <v>0.11083294842256</v>
      </c>
      <c r="L1767">
        <v>1120.2861165025599</v>
      </c>
      <c r="M1767">
        <v>22.645842324757002</v>
      </c>
      <c r="N1767">
        <v>50.046462904441</v>
      </c>
      <c r="O1767">
        <v>49.088916250433201</v>
      </c>
      <c r="P1767">
        <v>-0.10208956098295099</v>
      </c>
      <c r="Q1767">
        <v>0.11482790011533001</v>
      </c>
      <c r="R1767">
        <v>0.996943887976803</v>
      </c>
      <c r="S1767" t="s">
        <v>5599</v>
      </c>
      <c r="T1767" t="s">
        <v>7662</v>
      </c>
      <c r="U1767" t="s">
        <v>7662</v>
      </c>
      <c r="V1767" t="s">
        <v>7662</v>
      </c>
      <c r="W1767">
        <v>6</v>
      </c>
      <c r="X1767" t="s">
        <v>9429</v>
      </c>
      <c r="Y1767">
        <v>0.40386570936396993</v>
      </c>
      <c r="Z1767" t="str">
        <f>HYPERLINK("Melting_Curves/meltCurve_sp_Q5QJ74_TBCEL_HUMAN_.pdf", "Melting_Curves/meltCurve_sp_Q5QJ74_TBCEL_HUMAN_.pdf")</f>
        <v>Melting_Curves/meltCurve_sp_Q5QJ74_TBCEL_HUMAN_.pdf</v>
      </c>
      <c r="AA1767" t="s">
        <v>13232</v>
      </c>
      <c r="AB1767" t="s">
        <v>17007</v>
      </c>
    </row>
    <row r="1768" spans="1:28" x14ac:dyDescent="0.25">
      <c r="A1768" t="s">
        <v>1772</v>
      </c>
      <c r="B1768">
        <v>0.98876768158843997</v>
      </c>
      <c r="C1768">
        <v>0.79876329875144103</v>
      </c>
      <c r="D1768">
        <v>0.91735807352512899</v>
      </c>
      <c r="E1768">
        <v>0.49462083825122599</v>
      </c>
      <c r="F1768">
        <v>0.13698555067117499</v>
      </c>
      <c r="G1768">
        <v>6.0199505351185699E-2</v>
      </c>
      <c r="H1768">
        <v>3.0936670615723399E-2</v>
      </c>
      <c r="I1768">
        <v>2.3865247717153901E-2</v>
      </c>
      <c r="J1768">
        <v>2.32656441079819E-2</v>
      </c>
      <c r="K1768">
        <v>2.0735855654117299E-2</v>
      </c>
      <c r="L1768">
        <v>1305.8337811480901</v>
      </c>
      <c r="M1768">
        <v>26.2733995813151</v>
      </c>
      <c r="N1768">
        <v>49.7725408355995</v>
      </c>
      <c r="O1768">
        <v>49.416509963275701</v>
      </c>
      <c r="P1768">
        <v>-0.13048178556722001</v>
      </c>
      <c r="Q1768">
        <v>1.8340854214051901E-2</v>
      </c>
      <c r="R1768">
        <v>0.97492737080747105</v>
      </c>
      <c r="S1768" t="s">
        <v>5600</v>
      </c>
      <c r="T1768" t="s">
        <v>7662</v>
      </c>
      <c r="U1768" t="s">
        <v>7662</v>
      </c>
      <c r="V1768" t="s">
        <v>7662</v>
      </c>
      <c r="W1768">
        <v>18</v>
      </c>
      <c r="X1768" t="s">
        <v>9430</v>
      </c>
      <c r="Y1768">
        <v>0.34371132317160502</v>
      </c>
      <c r="Z1768" t="str">
        <f>HYPERLINK("Melting_Curves/meltCurve_sp_Q5R3I4_TTC38_HUMAN_.pdf", "Melting_Curves/meltCurve_sp_Q5R3I4_TTC38_HUMAN_.pdf")</f>
        <v>Melting_Curves/meltCurve_sp_Q5R3I4_TTC38_HUMAN_.pdf</v>
      </c>
      <c r="AA1768" t="s">
        <v>13233</v>
      </c>
      <c r="AB1768" t="s">
        <v>17008</v>
      </c>
    </row>
    <row r="1769" spans="1:28" x14ac:dyDescent="0.25">
      <c r="A1769" t="s">
        <v>1773</v>
      </c>
      <c r="B1769">
        <v>0.98876768158843997</v>
      </c>
      <c r="C1769">
        <v>1.0148185945979</v>
      </c>
      <c r="D1769">
        <v>0.73209154330467896</v>
      </c>
      <c r="E1769">
        <v>0.65806878390844803</v>
      </c>
      <c r="F1769">
        <v>0.62074458260044196</v>
      </c>
      <c r="G1769">
        <v>0.45689369301939697</v>
      </c>
      <c r="H1769">
        <v>0.42183335328396299</v>
      </c>
      <c r="I1769">
        <v>0.438601087440674</v>
      </c>
      <c r="J1769">
        <v>0.91887051540928699</v>
      </c>
      <c r="K1769">
        <v>0.65861839010189505</v>
      </c>
      <c r="L1769">
        <v>11468.7645984681</v>
      </c>
      <c r="M1769">
        <v>250</v>
      </c>
      <c r="O1769">
        <v>45.872121111924002</v>
      </c>
      <c r="P1769">
        <v>-0.55012590143398798</v>
      </c>
      <c r="Q1769">
        <v>0.59623291489836505</v>
      </c>
      <c r="R1769">
        <v>0.57895529711645899</v>
      </c>
      <c r="S1769" t="s">
        <v>5601</v>
      </c>
      <c r="T1769" t="s">
        <v>7662</v>
      </c>
      <c r="U1769" t="s">
        <v>7662</v>
      </c>
      <c r="V1769" t="s">
        <v>7662</v>
      </c>
      <c r="W1769">
        <v>2</v>
      </c>
      <c r="X1769" t="s">
        <v>9431</v>
      </c>
      <c r="Y1769">
        <v>0.67533726227503232</v>
      </c>
      <c r="Z1769" t="str">
        <f>HYPERLINK("Melting_Curves/meltCurve_sp_Q5RHP9_CA173_HUMAN_.pdf", "Melting_Curves/meltCurve_sp_Q5RHP9_CA173_HUMAN_.pdf")</f>
        <v>Melting_Curves/meltCurve_sp_Q5RHP9_CA173_HUMAN_.pdf</v>
      </c>
      <c r="AA1769" t="s">
        <v>13234</v>
      </c>
      <c r="AB1769" t="s">
        <v>17009</v>
      </c>
    </row>
    <row r="1770" spans="1:28" x14ac:dyDescent="0.25">
      <c r="A1770" t="s">
        <v>1774</v>
      </c>
      <c r="B1770">
        <v>0.98876768158843997</v>
      </c>
      <c r="C1770">
        <v>1.01913748230127</v>
      </c>
      <c r="D1770">
        <v>1.0899671029675999</v>
      </c>
      <c r="E1770">
        <v>0.98637709108703897</v>
      </c>
      <c r="F1770">
        <v>0.67464295980667099</v>
      </c>
      <c r="G1770">
        <v>0.37367866180367698</v>
      </c>
      <c r="H1770">
        <v>0.16361411302967199</v>
      </c>
      <c r="I1770">
        <v>0.107232320563559</v>
      </c>
      <c r="J1770">
        <v>8.9999060637865502E-2</v>
      </c>
      <c r="K1770">
        <v>9.7644254562480104E-2</v>
      </c>
      <c r="L1770">
        <v>1367.23305468745</v>
      </c>
      <c r="M1770">
        <v>24.937796638386001</v>
      </c>
      <c r="N1770">
        <v>55.270079981163597</v>
      </c>
      <c r="O1770">
        <v>54.476841775930801</v>
      </c>
      <c r="P1770">
        <v>-0.104048396515801</v>
      </c>
      <c r="Q1770">
        <v>9.0833851957102807E-2</v>
      </c>
      <c r="R1770">
        <v>0.98947500391498999</v>
      </c>
      <c r="S1770" t="s">
        <v>5602</v>
      </c>
      <c r="T1770" t="s">
        <v>7662</v>
      </c>
      <c r="U1770" t="s">
        <v>7662</v>
      </c>
      <c r="V1770" t="s">
        <v>7662</v>
      </c>
      <c r="W1770">
        <v>2</v>
      </c>
      <c r="X1770" t="s">
        <v>9432</v>
      </c>
      <c r="Y1770">
        <v>0.54858846010199014</v>
      </c>
      <c r="Z1770" t="str">
        <f>HYPERLINK("Melting_Curves/meltCurve_sp_Q5RKV6_EXOS6_HUMAN_.pdf", "Melting_Curves/meltCurve_sp_Q5RKV6_EXOS6_HUMAN_.pdf")</f>
        <v>Melting_Curves/meltCurve_sp_Q5RKV6_EXOS6_HUMAN_.pdf</v>
      </c>
      <c r="AA1770" t="s">
        <v>13235</v>
      </c>
      <c r="AB1770" t="s">
        <v>17010</v>
      </c>
    </row>
    <row r="1771" spans="1:28" x14ac:dyDescent="0.25">
      <c r="A1771" t="s">
        <v>1775</v>
      </c>
      <c r="B1771">
        <v>0.98876768158843997</v>
      </c>
      <c r="C1771">
        <v>0.903214960123497</v>
      </c>
      <c r="D1771">
        <v>0.78424253947019495</v>
      </c>
      <c r="E1771">
        <v>0.454284529943078</v>
      </c>
      <c r="F1771">
        <v>7.9901097254074002E-2</v>
      </c>
      <c r="G1771">
        <v>0.21330502779863</v>
      </c>
      <c r="H1771">
        <v>0.152433679631574</v>
      </c>
      <c r="I1771">
        <v>8.8867719964961595E-2</v>
      </c>
      <c r="J1771">
        <v>0</v>
      </c>
      <c r="K1771">
        <v>8.0331338736328806E-2</v>
      </c>
      <c r="L1771">
        <v>1037.55019366749</v>
      </c>
      <c r="M1771">
        <v>21.394040207421298</v>
      </c>
      <c r="N1771">
        <v>48.894912571043299</v>
      </c>
      <c r="O1771">
        <v>48.0794080634087</v>
      </c>
      <c r="P1771">
        <v>-0.10236114192416</v>
      </c>
      <c r="Q1771">
        <v>7.9867141677583103E-2</v>
      </c>
      <c r="R1771">
        <v>0.967957469563409</v>
      </c>
      <c r="S1771" t="s">
        <v>5603</v>
      </c>
      <c r="T1771" t="s">
        <v>7662</v>
      </c>
      <c r="U1771" t="s">
        <v>7662</v>
      </c>
      <c r="V1771" t="s">
        <v>7662</v>
      </c>
      <c r="W1771">
        <v>2</v>
      </c>
      <c r="X1771" t="s">
        <v>9433</v>
      </c>
      <c r="Y1771">
        <v>0.35175138141356088</v>
      </c>
      <c r="Z1771" t="str">
        <f>HYPERLINK("Melting_Curves/meltCurve_sp_Q5SRE5_2_NU188_HUMAN_.pdf", "Melting_Curves/meltCurve_sp_Q5SRE5_2_NU188_HUMAN_.pdf")</f>
        <v>Melting_Curves/meltCurve_sp_Q5SRE5_2_NU188_HUMAN_.pdf</v>
      </c>
      <c r="AA1771" t="s">
        <v>13236</v>
      </c>
      <c r="AB1771" t="s">
        <v>17011</v>
      </c>
    </row>
    <row r="1772" spans="1:28" x14ac:dyDescent="0.25">
      <c r="A1772" t="s">
        <v>1776</v>
      </c>
      <c r="B1772">
        <v>0.98876768158843997</v>
      </c>
      <c r="C1772">
        <v>1.0401302966253501</v>
      </c>
      <c r="D1772">
        <v>0.76237374472404695</v>
      </c>
      <c r="E1772">
        <v>0.37020301830875602</v>
      </c>
      <c r="F1772">
        <v>0.13971255883640701</v>
      </c>
      <c r="G1772">
        <v>9.9613123938555606E-2</v>
      </c>
      <c r="H1772">
        <v>6.0823063458739099E-2</v>
      </c>
      <c r="I1772">
        <v>4.4263340134279301E-2</v>
      </c>
      <c r="J1772">
        <v>5.41440792953818E-2</v>
      </c>
      <c r="K1772">
        <v>3.78055803369758E-2</v>
      </c>
      <c r="L1772">
        <v>1186.0459698470099</v>
      </c>
      <c r="M1772">
        <v>24.4819766549797</v>
      </c>
      <c r="N1772">
        <v>48.660818769013602</v>
      </c>
      <c r="O1772">
        <v>48.125924200090402</v>
      </c>
      <c r="P1772">
        <v>-0.120655039944633</v>
      </c>
      <c r="Q1772">
        <v>5.1293990667888097E-2</v>
      </c>
      <c r="R1772">
        <v>0.99420166761371698</v>
      </c>
      <c r="S1772" t="s">
        <v>5604</v>
      </c>
      <c r="T1772" t="s">
        <v>7662</v>
      </c>
      <c r="U1772" t="s">
        <v>7662</v>
      </c>
      <c r="V1772" t="s">
        <v>7662</v>
      </c>
      <c r="W1772">
        <v>10</v>
      </c>
      <c r="X1772" t="s">
        <v>9434</v>
      </c>
      <c r="Y1772">
        <v>0.32713787000226707</v>
      </c>
      <c r="Z1772" t="str">
        <f>HYPERLINK("Melting_Curves/meltCurve_sp_Q5SRE7_2_PHYD1_HUMAN_.pdf", "Melting_Curves/meltCurve_sp_Q5SRE7_2_PHYD1_HUMAN_.pdf")</f>
        <v>Melting_Curves/meltCurve_sp_Q5SRE7_2_PHYD1_HUMAN_.pdf</v>
      </c>
      <c r="AA1772" t="s">
        <v>13237</v>
      </c>
      <c r="AB1772" t="s">
        <v>17012</v>
      </c>
    </row>
    <row r="1773" spans="1:28" x14ac:dyDescent="0.25">
      <c r="A1773" t="s">
        <v>1777</v>
      </c>
      <c r="B1773">
        <v>0.98876768158843997</v>
      </c>
      <c r="C1773">
        <v>1.06790313260929</v>
      </c>
      <c r="D1773">
        <v>0.90820782430957003</v>
      </c>
      <c r="E1773">
        <v>0.76987136795197697</v>
      </c>
      <c r="F1773">
        <v>0.68888339435254098</v>
      </c>
      <c r="G1773">
        <v>0.60674750331941396</v>
      </c>
      <c r="H1773">
        <v>0.43018119220100198</v>
      </c>
      <c r="I1773">
        <v>0.51000694265561497</v>
      </c>
      <c r="J1773">
        <v>0.52784782093948002</v>
      </c>
      <c r="K1773">
        <v>0.67559171376398697</v>
      </c>
      <c r="L1773">
        <v>1041.49122689763</v>
      </c>
      <c r="M1773">
        <v>20.727320266387501</v>
      </c>
      <c r="O1773">
        <v>49.786572450854798</v>
      </c>
      <c r="P1773">
        <v>-4.7687466730318297E-2</v>
      </c>
      <c r="Q1773">
        <v>0.54183591453492796</v>
      </c>
      <c r="R1773">
        <v>0.89324699104357896</v>
      </c>
      <c r="S1773" t="s">
        <v>5605</v>
      </c>
      <c r="T1773" t="s">
        <v>7662</v>
      </c>
      <c r="U1773" t="s">
        <v>7662</v>
      </c>
      <c r="V1773" t="s">
        <v>7662</v>
      </c>
      <c r="W1773">
        <v>4</v>
      </c>
      <c r="X1773" t="s">
        <v>9435</v>
      </c>
      <c r="Y1773">
        <v>0.70427993442964487</v>
      </c>
      <c r="Z1773" t="str">
        <f>HYPERLINK("Melting_Curves/meltCurve_sp_Q5SSJ5_HP1B3_HUMAN_.pdf", "Melting_Curves/meltCurve_sp_Q5SSJ5_HP1B3_HUMAN_.pdf")</f>
        <v>Melting_Curves/meltCurve_sp_Q5SSJ5_HP1B3_HUMAN_.pdf</v>
      </c>
      <c r="AA1773" t="s">
        <v>13238</v>
      </c>
      <c r="AB1773" t="s">
        <v>17013</v>
      </c>
    </row>
    <row r="1774" spans="1:28" x14ac:dyDescent="0.25">
      <c r="A1774" t="s">
        <v>1778</v>
      </c>
      <c r="B1774">
        <v>0.98876768158843997</v>
      </c>
      <c r="C1774">
        <v>0.839624743715638</v>
      </c>
      <c r="D1774">
        <v>0.94687160570880502</v>
      </c>
      <c r="E1774">
        <v>0.599434594533512</v>
      </c>
      <c r="F1774">
        <v>0.15468606545028199</v>
      </c>
      <c r="G1774">
        <v>0.101700488897751</v>
      </c>
      <c r="H1774">
        <v>5.2557186886028298E-2</v>
      </c>
      <c r="I1774">
        <v>5.0237429367066398E-2</v>
      </c>
      <c r="J1774">
        <v>6.4908295354684106E-2</v>
      </c>
      <c r="K1774">
        <v>4.84877389749594E-2</v>
      </c>
      <c r="L1774">
        <v>1923.9215180905101</v>
      </c>
      <c r="M1774">
        <v>38.231418213702199</v>
      </c>
      <c r="N1774">
        <v>50.485998509879202</v>
      </c>
      <c r="O1774">
        <v>50.1859569641273</v>
      </c>
      <c r="P1774">
        <v>-0.17939567069560799</v>
      </c>
      <c r="Q1774">
        <v>5.8039539502696698E-2</v>
      </c>
      <c r="R1774">
        <v>0.98123404987312401</v>
      </c>
      <c r="S1774" t="s">
        <v>5606</v>
      </c>
      <c r="T1774" t="s">
        <v>7662</v>
      </c>
      <c r="U1774" t="s">
        <v>7662</v>
      </c>
      <c r="V1774" t="s">
        <v>7662</v>
      </c>
      <c r="W1774">
        <v>11</v>
      </c>
      <c r="X1774" t="s">
        <v>9436</v>
      </c>
      <c r="Y1774">
        <v>0.38575991353689693</v>
      </c>
      <c r="Z1774" t="str">
        <f>HYPERLINK("Melting_Curves/meltCurve_sp_Q5ST30_SYVM_HUMAN_.pdf", "Melting_Curves/meltCurve_sp_Q5ST30_SYVM_HUMAN_.pdf")</f>
        <v>Melting_Curves/meltCurve_sp_Q5ST30_SYVM_HUMAN_.pdf</v>
      </c>
      <c r="AA1774" t="s">
        <v>13239</v>
      </c>
      <c r="AB1774" t="s">
        <v>17014</v>
      </c>
    </row>
    <row r="1775" spans="1:28" x14ac:dyDescent="0.25">
      <c r="A1775" t="s">
        <v>1779</v>
      </c>
      <c r="B1775">
        <v>0.98876768158843997</v>
      </c>
      <c r="C1775">
        <v>0.95839696414085296</v>
      </c>
      <c r="D1775">
        <v>0.79668176009632097</v>
      </c>
      <c r="E1775">
        <v>0.70286669134261803</v>
      </c>
      <c r="F1775">
        <v>0.76049982358221901</v>
      </c>
      <c r="G1775">
        <v>0.46800984267360901</v>
      </c>
      <c r="H1775">
        <v>0.35464863434716498</v>
      </c>
      <c r="I1775">
        <v>0.33700548513095202</v>
      </c>
      <c r="J1775">
        <v>0.55742350796316198</v>
      </c>
      <c r="K1775">
        <v>0.54063735597082796</v>
      </c>
      <c r="L1775">
        <v>659.14261769078905</v>
      </c>
      <c r="M1775">
        <v>13.1722479169576</v>
      </c>
      <c r="N1775">
        <v>58.807177809146602</v>
      </c>
      <c r="O1775">
        <v>48.929092579269799</v>
      </c>
      <c r="P1775">
        <v>-3.8380347204285598E-2</v>
      </c>
      <c r="Q1775">
        <v>0.42983143422301601</v>
      </c>
      <c r="R1775">
        <v>0.832299866240789</v>
      </c>
      <c r="S1775" t="s">
        <v>5607</v>
      </c>
      <c r="T1775" t="s">
        <v>7662</v>
      </c>
      <c r="U1775" t="s">
        <v>7662</v>
      </c>
      <c r="V1775" t="s">
        <v>7662</v>
      </c>
      <c r="W1775">
        <v>3</v>
      </c>
      <c r="X1775" t="s">
        <v>9437</v>
      </c>
      <c r="Y1775">
        <v>0.63760942955026367</v>
      </c>
      <c r="Z1775" t="str">
        <f>HYPERLINK("Melting_Curves/meltCurve_sp_Q5SW79_2_CE170_HUMAN_.pdf", "Melting_Curves/meltCurve_sp_Q5SW79_2_CE170_HUMAN_.pdf")</f>
        <v>Melting_Curves/meltCurve_sp_Q5SW79_2_CE170_HUMAN_.pdf</v>
      </c>
      <c r="AA1775" t="s">
        <v>13240</v>
      </c>
      <c r="AB1775" t="s">
        <v>17015</v>
      </c>
    </row>
    <row r="1776" spans="1:28" x14ac:dyDescent="0.25">
      <c r="A1776" t="s">
        <v>1780</v>
      </c>
      <c r="B1776">
        <v>0.98876768158843997</v>
      </c>
      <c r="C1776">
        <v>1.04189240288088</v>
      </c>
      <c r="D1776">
        <v>0.93508801882209303</v>
      </c>
      <c r="E1776">
        <v>0.84449076200360995</v>
      </c>
      <c r="F1776">
        <v>0.70958799144912099</v>
      </c>
      <c r="G1776">
        <v>0.52762671547266105</v>
      </c>
      <c r="H1776">
        <v>0.32934251813649901</v>
      </c>
      <c r="I1776">
        <v>0.33945951328253299</v>
      </c>
      <c r="J1776">
        <v>0.301843472763899</v>
      </c>
      <c r="K1776">
        <v>0.43675377949739103</v>
      </c>
      <c r="L1776">
        <v>1019.37507999609</v>
      </c>
      <c r="M1776">
        <v>19.052107479377199</v>
      </c>
      <c r="N1776">
        <v>56.783326692729098</v>
      </c>
      <c r="O1776">
        <v>52.925562277178301</v>
      </c>
      <c r="P1776">
        <v>-5.9976708324585903E-2</v>
      </c>
      <c r="Q1776">
        <v>0.33357990572934199</v>
      </c>
      <c r="R1776">
        <v>0.97259121516224101</v>
      </c>
      <c r="S1776" t="s">
        <v>5608</v>
      </c>
      <c r="T1776" t="s">
        <v>7662</v>
      </c>
      <c r="U1776" t="s">
        <v>7662</v>
      </c>
      <c r="V1776" t="s">
        <v>7662</v>
      </c>
      <c r="W1776">
        <v>3</v>
      </c>
      <c r="X1776" t="s">
        <v>9438</v>
      </c>
      <c r="Y1776">
        <v>0.6434429903150326</v>
      </c>
      <c r="Z1776" t="str">
        <f>HYPERLINK("Melting_Curves/meltCurve_sp_Q5SXM8_DNLZ_HUMAN_.pdf", "Melting_Curves/meltCurve_sp_Q5SXM8_DNLZ_HUMAN_.pdf")</f>
        <v>Melting_Curves/meltCurve_sp_Q5SXM8_DNLZ_HUMAN_.pdf</v>
      </c>
      <c r="AA1776" t="s">
        <v>13241</v>
      </c>
      <c r="AB1776" t="s">
        <v>17016</v>
      </c>
    </row>
    <row r="1777" spans="1:28" x14ac:dyDescent="0.25">
      <c r="A1777" t="s">
        <v>1781</v>
      </c>
      <c r="B1777">
        <v>0.98876768158843997</v>
      </c>
      <c r="C1777">
        <v>1.0833472989172299</v>
      </c>
      <c r="D1777">
        <v>0.88137275406684201</v>
      </c>
      <c r="E1777">
        <v>0.67118093036926096</v>
      </c>
      <c r="F1777">
        <v>0.70905964149443101</v>
      </c>
      <c r="G1777">
        <v>0.521797226578538</v>
      </c>
      <c r="H1777">
        <v>0.42356942812714499</v>
      </c>
      <c r="I1777">
        <v>0.382520484535671</v>
      </c>
      <c r="J1777">
        <v>0.55993550803648395</v>
      </c>
      <c r="K1777">
        <v>0.53349721505417302</v>
      </c>
      <c r="L1777">
        <v>909.60281628339305</v>
      </c>
      <c r="M1777">
        <v>18.211509888805701</v>
      </c>
      <c r="N1777">
        <v>59.914091093296001</v>
      </c>
      <c r="O1777">
        <v>49.356034791027596</v>
      </c>
      <c r="P1777">
        <v>-4.8354143250890498E-2</v>
      </c>
      <c r="Q1777">
        <v>0.475835534802589</v>
      </c>
      <c r="R1777">
        <v>0.90087130788602998</v>
      </c>
      <c r="S1777" t="s">
        <v>5609</v>
      </c>
      <c r="T1777" t="s">
        <v>7662</v>
      </c>
      <c r="U1777" t="s">
        <v>7662</v>
      </c>
      <c r="V1777" t="s">
        <v>7662</v>
      </c>
      <c r="W1777">
        <v>5</v>
      </c>
      <c r="X1777" t="s">
        <v>9439</v>
      </c>
      <c r="Y1777">
        <v>0.65837189618127634</v>
      </c>
      <c r="Z1777" t="str">
        <f>HYPERLINK("Melting_Curves/meltCurve_sp_Q5SYE7_2_NHSL1_HUMAN_.pdf", "Melting_Curves/meltCurve_sp_Q5SYE7_2_NHSL1_HUMAN_.pdf")</f>
        <v>Melting_Curves/meltCurve_sp_Q5SYE7_2_NHSL1_HUMAN_.pdf</v>
      </c>
      <c r="AA1777" t="s">
        <v>13242</v>
      </c>
      <c r="AB1777" t="s">
        <v>17017</v>
      </c>
    </row>
    <row r="1778" spans="1:28" x14ac:dyDescent="0.25">
      <c r="A1778" t="s">
        <v>1782</v>
      </c>
      <c r="B1778">
        <v>0.98876768158843997</v>
      </c>
      <c r="C1778">
        <v>0.96172399732789005</v>
      </c>
      <c r="D1778">
        <v>0.88463119460778294</v>
      </c>
      <c r="E1778">
        <v>0.73162550677514904</v>
      </c>
      <c r="F1778">
        <v>0.47097689213819099</v>
      </c>
      <c r="G1778">
        <v>0.30160490474427398</v>
      </c>
      <c r="H1778">
        <v>0.23803645036363499</v>
      </c>
      <c r="I1778">
        <v>0.25751538310861399</v>
      </c>
      <c r="J1778">
        <v>0.286937504633755</v>
      </c>
      <c r="K1778">
        <v>0.30404548981088397</v>
      </c>
      <c r="L1778">
        <v>1111.3393823665999</v>
      </c>
      <c r="M1778">
        <v>21.854952304109801</v>
      </c>
      <c r="N1778">
        <v>52.616848816467801</v>
      </c>
      <c r="O1778">
        <v>50.430688501122503</v>
      </c>
      <c r="P1778">
        <v>-8.0184455345561303E-2</v>
      </c>
      <c r="Q1778">
        <v>0.25990877309650201</v>
      </c>
      <c r="R1778">
        <v>0.99004571700143296</v>
      </c>
      <c r="S1778" t="s">
        <v>5610</v>
      </c>
      <c r="T1778" t="s">
        <v>7662</v>
      </c>
      <c r="U1778" t="s">
        <v>7662</v>
      </c>
      <c r="V1778" t="s">
        <v>7662</v>
      </c>
      <c r="W1778">
        <v>6</v>
      </c>
      <c r="X1778" t="s">
        <v>9440</v>
      </c>
      <c r="Y1778">
        <v>0.53627078644388926</v>
      </c>
      <c r="Z1778" t="str">
        <f>HYPERLINK("Melting_Curves/meltCurve_sp_Q5T0N5_3_FBP1L_HUMAN_.pdf", "Melting_Curves/meltCurve_sp_Q5T0N5_3_FBP1L_HUMAN_.pdf")</f>
        <v>Melting_Curves/meltCurve_sp_Q5T0N5_3_FBP1L_HUMAN_.pdf</v>
      </c>
      <c r="AA1778" t="s">
        <v>13243</v>
      </c>
      <c r="AB1778" t="s">
        <v>17018</v>
      </c>
    </row>
    <row r="1779" spans="1:28" x14ac:dyDescent="0.25">
      <c r="A1779" t="s">
        <v>1783</v>
      </c>
      <c r="B1779">
        <v>0.98876768158843997</v>
      </c>
      <c r="C1779">
        <v>1.0453092464921101</v>
      </c>
      <c r="D1779">
        <v>0.96751497115634699</v>
      </c>
      <c r="E1779">
        <v>0.65232316752834496</v>
      </c>
      <c r="F1779">
        <v>0.24798108266639199</v>
      </c>
      <c r="G1779">
        <v>0.14277095173784499</v>
      </c>
      <c r="H1779">
        <v>5.0148523145534599E-2</v>
      </c>
      <c r="I1779">
        <v>6.3148147671773999E-2</v>
      </c>
      <c r="J1779">
        <v>7.0529319772441396E-2</v>
      </c>
      <c r="K1779">
        <v>7.5990685502385302E-2</v>
      </c>
      <c r="L1779">
        <v>1650.7648534070699</v>
      </c>
      <c r="M1779">
        <v>32.5190142086118</v>
      </c>
      <c r="N1779">
        <v>51.0084444013332</v>
      </c>
      <c r="O1779">
        <v>50.572252835348202</v>
      </c>
      <c r="P1779">
        <v>-0.149116655135205</v>
      </c>
      <c r="Q1779">
        <v>7.2403662325568094E-2</v>
      </c>
      <c r="R1779">
        <v>0.996805249809671</v>
      </c>
      <c r="S1779" t="s">
        <v>5611</v>
      </c>
      <c r="T1779" t="s">
        <v>7662</v>
      </c>
      <c r="U1779" t="s">
        <v>7662</v>
      </c>
      <c r="V1779" t="s">
        <v>7662</v>
      </c>
      <c r="W1779">
        <v>4</v>
      </c>
      <c r="X1779" t="s">
        <v>9441</v>
      </c>
      <c r="Y1779">
        <v>0.4101364505023477</v>
      </c>
      <c r="Z1779" t="str">
        <f>HYPERLINK("Melting_Curves/meltCurve_sp_Q5T160_SYRM_HUMAN_.pdf", "Melting_Curves/meltCurve_sp_Q5T160_SYRM_HUMAN_.pdf")</f>
        <v>Melting_Curves/meltCurve_sp_Q5T160_SYRM_HUMAN_.pdf</v>
      </c>
      <c r="AA1779" t="s">
        <v>13244</v>
      </c>
      <c r="AB1779" t="s">
        <v>17019</v>
      </c>
    </row>
    <row r="1780" spans="1:28" x14ac:dyDescent="0.25">
      <c r="A1780" t="s">
        <v>1784</v>
      </c>
      <c r="B1780">
        <v>0.98876768158843997</v>
      </c>
      <c r="C1780">
        <v>0.95141725615716199</v>
      </c>
      <c r="D1780">
        <v>1.0165818527691499</v>
      </c>
      <c r="E1780">
        <v>0.72650020676824201</v>
      </c>
      <c r="F1780">
        <v>0.460619143189403</v>
      </c>
      <c r="G1780">
        <v>0.32302446285754299</v>
      </c>
      <c r="H1780">
        <v>0.21828957988269401</v>
      </c>
      <c r="I1780">
        <v>0.228492996897325</v>
      </c>
      <c r="J1780">
        <v>0.27945106823704702</v>
      </c>
      <c r="K1780">
        <v>0.33174751876580599</v>
      </c>
      <c r="L1780">
        <v>1504.04770493757</v>
      </c>
      <c r="M1780">
        <v>29.473764481916501</v>
      </c>
      <c r="N1780">
        <v>52.399257128338597</v>
      </c>
      <c r="O1780">
        <v>50.796867473978502</v>
      </c>
      <c r="P1780">
        <v>-0.106105608783763</v>
      </c>
      <c r="Q1780">
        <v>0.26852983516948098</v>
      </c>
      <c r="R1780">
        <v>0.98593175349958395</v>
      </c>
      <c r="S1780" t="s">
        <v>5612</v>
      </c>
      <c r="T1780" t="s">
        <v>7662</v>
      </c>
      <c r="U1780" t="s">
        <v>7662</v>
      </c>
      <c r="V1780" t="s">
        <v>7662</v>
      </c>
      <c r="W1780">
        <v>9</v>
      </c>
      <c r="X1780" t="s">
        <v>9442</v>
      </c>
      <c r="Y1780">
        <v>0.54223550247293484</v>
      </c>
      <c r="Z1780" t="str">
        <f>HYPERLINK("Melting_Curves/meltCurve_sp_Q5T1M5_FKB15_HUMAN_.pdf", "Melting_Curves/meltCurve_sp_Q5T1M5_FKB15_HUMAN_.pdf")</f>
        <v>Melting_Curves/meltCurve_sp_Q5T1M5_FKB15_HUMAN_.pdf</v>
      </c>
      <c r="AA1780" t="s">
        <v>13245</v>
      </c>
      <c r="AB1780" t="s">
        <v>17020</v>
      </c>
    </row>
    <row r="1781" spans="1:28" x14ac:dyDescent="0.25">
      <c r="A1781" t="s">
        <v>1785</v>
      </c>
      <c r="B1781">
        <v>0.98876768158843997</v>
      </c>
      <c r="C1781">
        <v>0.91979729669392196</v>
      </c>
      <c r="D1781">
        <v>0.89160282011506797</v>
      </c>
      <c r="E1781">
        <v>0.70582784122045705</v>
      </c>
      <c r="F1781">
        <v>0.59506380372449497</v>
      </c>
      <c r="G1781">
        <v>0.37690223546148499</v>
      </c>
      <c r="H1781">
        <v>0.26175069810839302</v>
      </c>
      <c r="I1781">
        <v>0.15254761303527201</v>
      </c>
      <c r="J1781">
        <v>0.11075486968262099</v>
      </c>
      <c r="K1781">
        <v>8.4845167653251896E-2</v>
      </c>
      <c r="L1781">
        <v>583.35919875566003</v>
      </c>
      <c r="M1781">
        <v>10.704506510293299</v>
      </c>
      <c r="N1781">
        <v>54.496598925948902</v>
      </c>
      <c r="O1781">
        <v>52.697971925546703</v>
      </c>
      <c r="P1781">
        <v>-5.0801362393847901E-2</v>
      </c>
      <c r="Q1781">
        <v>0</v>
      </c>
      <c r="R1781">
        <v>0.99775212521918299</v>
      </c>
      <c r="S1781" t="s">
        <v>5613</v>
      </c>
      <c r="T1781" t="s">
        <v>7662</v>
      </c>
      <c r="U1781" t="s">
        <v>7662</v>
      </c>
      <c r="V1781" t="s">
        <v>7662</v>
      </c>
      <c r="W1781">
        <v>2</v>
      </c>
      <c r="X1781" t="s">
        <v>9443</v>
      </c>
      <c r="Y1781">
        <v>0.51021122345722558</v>
      </c>
      <c r="Z1781" t="str">
        <f>HYPERLINK("Melting_Curves/meltCurve_sp_Q5T2E6_CJ076_HUMAN_.pdf", "Melting_Curves/meltCurve_sp_Q5T2E6_CJ076_HUMAN_.pdf")</f>
        <v>Melting_Curves/meltCurve_sp_Q5T2E6_CJ076_HUMAN_.pdf</v>
      </c>
      <c r="AA1781" t="s">
        <v>13246</v>
      </c>
      <c r="AB1781" t="s">
        <v>17021</v>
      </c>
    </row>
    <row r="1782" spans="1:28" x14ac:dyDescent="0.25">
      <c r="A1782" t="s">
        <v>1786</v>
      </c>
      <c r="B1782">
        <v>0.98876768158843997</v>
      </c>
      <c r="C1782">
        <v>1.0273862657488599</v>
      </c>
      <c r="D1782">
        <v>0.85001010385338505</v>
      </c>
      <c r="E1782">
        <v>0.76687410979306703</v>
      </c>
      <c r="F1782">
        <v>0.75429775130905097</v>
      </c>
      <c r="G1782">
        <v>0.48609852079452398</v>
      </c>
      <c r="H1782">
        <v>0.346701733793433</v>
      </c>
      <c r="I1782">
        <v>0.35890435045861602</v>
      </c>
      <c r="J1782">
        <v>0.36985744575401203</v>
      </c>
      <c r="K1782">
        <v>0.45459009637387299</v>
      </c>
      <c r="L1782">
        <v>784.94922380249795</v>
      </c>
      <c r="M1782">
        <v>14.9202781764492</v>
      </c>
      <c r="N1782">
        <v>57.235812411489199</v>
      </c>
      <c r="O1782">
        <v>51.691621646886396</v>
      </c>
      <c r="P1782">
        <v>-4.6887203023618498E-2</v>
      </c>
      <c r="Q1782">
        <v>0.350300168387155</v>
      </c>
      <c r="R1782">
        <v>0.94564924923780502</v>
      </c>
      <c r="S1782" t="s">
        <v>5614</v>
      </c>
      <c r="T1782" t="s">
        <v>7662</v>
      </c>
      <c r="U1782" t="s">
        <v>7662</v>
      </c>
      <c r="V1782" t="s">
        <v>7662</v>
      </c>
      <c r="W1782">
        <v>12</v>
      </c>
      <c r="X1782" t="s">
        <v>9444</v>
      </c>
      <c r="Y1782">
        <v>0.63769407085794216</v>
      </c>
      <c r="Z1782" t="str">
        <f>HYPERLINK("Melting_Curves/meltCurve_sp_Q5T2W1_NHRF3_HUMAN_.pdf", "Melting_Curves/meltCurve_sp_Q5T2W1_NHRF3_HUMAN_.pdf")</f>
        <v>Melting_Curves/meltCurve_sp_Q5T2W1_NHRF3_HUMAN_.pdf</v>
      </c>
      <c r="AA1782" t="s">
        <v>13247</v>
      </c>
      <c r="AB1782" t="s">
        <v>17022</v>
      </c>
    </row>
    <row r="1783" spans="1:28" x14ac:dyDescent="0.25">
      <c r="A1783" t="s">
        <v>1787</v>
      </c>
      <c r="B1783">
        <v>0.98876768158843997</v>
      </c>
      <c r="C1783">
        <v>1.1078714954147999</v>
      </c>
      <c r="D1783">
        <v>0.82111780511441901</v>
      </c>
      <c r="E1783">
        <v>0.59971591447708394</v>
      </c>
      <c r="F1783">
        <v>0.32725965105345001</v>
      </c>
      <c r="G1783">
        <v>8.2697816781222802E-2</v>
      </c>
      <c r="H1783">
        <v>4.4347085610210703E-2</v>
      </c>
      <c r="I1783">
        <v>3.9158163431910697E-2</v>
      </c>
      <c r="J1783">
        <v>4.22545108132193E-2</v>
      </c>
      <c r="K1783">
        <v>2.9136271619608699E-2</v>
      </c>
      <c r="L1783">
        <v>1040.0124649699501</v>
      </c>
      <c r="M1783">
        <v>20.4916817586974</v>
      </c>
      <c r="N1783">
        <v>50.859950013417198</v>
      </c>
      <c r="O1783">
        <v>50.276961473276799</v>
      </c>
      <c r="P1783">
        <v>-9.9746413223915503E-2</v>
      </c>
      <c r="Q1783">
        <v>2.1105179409079598E-2</v>
      </c>
      <c r="R1783">
        <v>0.98564782747784097</v>
      </c>
      <c r="S1783" t="s">
        <v>5615</v>
      </c>
      <c r="T1783" t="s">
        <v>7662</v>
      </c>
      <c r="U1783" t="s">
        <v>7662</v>
      </c>
      <c r="V1783" t="s">
        <v>7662</v>
      </c>
      <c r="W1783">
        <v>10</v>
      </c>
      <c r="X1783" t="s">
        <v>9445</v>
      </c>
      <c r="Y1783">
        <v>0.38495518012416707</v>
      </c>
      <c r="Z1783" t="str">
        <f>HYPERLINK("Melting_Curves/meltCurve_sp_Q5T440_CAF17_HUMAN_.pdf", "Melting_Curves/meltCurve_sp_Q5T440_CAF17_HUMAN_.pdf")</f>
        <v>Melting_Curves/meltCurve_sp_Q5T440_CAF17_HUMAN_.pdf</v>
      </c>
      <c r="AA1783" t="s">
        <v>13248</v>
      </c>
      <c r="AB1783" t="s">
        <v>17023</v>
      </c>
    </row>
    <row r="1784" spans="1:28" x14ac:dyDescent="0.25">
      <c r="A1784" t="s">
        <v>1788</v>
      </c>
      <c r="B1784">
        <v>0.98876768158843997</v>
      </c>
      <c r="C1784">
        <v>0.97228550688644799</v>
      </c>
      <c r="D1784">
        <v>0.74211300863728902</v>
      </c>
      <c r="E1784">
        <v>0.680460429683165</v>
      </c>
      <c r="F1784">
        <v>0.71175950071301797</v>
      </c>
      <c r="G1784">
        <v>0.44017280952128501</v>
      </c>
      <c r="H1784">
        <v>0.49092464385154</v>
      </c>
      <c r="I1784">
        <v>0.53130025298529304</v>
      </c>
      <c r="J1784">
        <v>0.84681398183438705</v>
      </c>
      <c r="K1784">
        <v>1.0001397592454799</v>
      </c>
      <c r="L1784">
        <v>2301.8142756406501</v>
      </c>
      <c r="M1784">
        <v>51.3186834949719</v>
      </c>
      <c r="O1784">
        <v>44.785402014658899</v>
      </c>
      <c r="P1784">
        <v>-9.4157353993491594E-2</v>
      </c>
      <c r="Q1784">
        <v>0.67131891134999699</v>
      </c>
      <c r="R1784">
        <v>0.376085227505705</v>
      </c>
      <c r="S1784" t="s">
        <v>5616</v>
      </c>
      <c r="T1784" t="s">
        <v>7662</v>
      </c>
      <c r="U1784" t="s">
        <v>7662</v>
      </c>
      <c r="V1784" t="s">
        <v>7662</v>
      </c>
      <c r="W1784">
        <v>1</v>
      </c>
      <c r="X1784" t="s">
        <v>9446</v>
      </c>
      <c r="Y1784">
        <v>0.72512392760750222</v>
      </c>
      <c r="Z1784" t="str">
        <f>HYPERLINK("Melting_Curves/meltCurve_sp_Q5T4F4_6_ZFY27_HUMAN_.pdf", "Melting_Curves/meltCurve_sp_Q5T4F4_6_ZFY27_HUMAN_.pdf")</f>
        <v>Melting_Curves/meltCurve_sp_Q5T4F4_6_ZFY27_HUMAN_.pdf</v>
      </c>
      <c r="AA1784" t="s">
        <v>13249</v>
      </c>
      <c r="AB1784" t="s">
        <v>17024</v>
      </c>
    </row>
    <row r="1785" spans="1:28" x14ac:dyDescent="0.25">
      <c r="A1785" t="s">
        <v>1789</v>
      </c>
      <c r="B1785">
        <v>0.98876768158843997</v>
      </c>
      <c r="C1785">
        <v>0.96913307831550599</v>
      </c>
      <c r="D1785">
        <v>1.07231583489942</v>
      </c>
      <c r="E1785">
        <v>0.67747276118203903</v>
      </c>
      <c r="F1785">
        <v>0.22771493970673701</v>
      </c>
      <c r="G1785">
        <v>0.125675859830053</v>
      </c>
      <c r="H1785">
        <v>8.0041864259777801E-2</v>
      </c>
      <c r="I1785">
        <v>7.0889516559536306E-2</v>
      </c>
      <c r="J1785">
        <v>7.2992854410770705E-2</v>
      </c>
      <c r="K1785">
        <v>7.8636228752434797E-2</v>
      </c>
      <c r="L1785">
        <v>2120.6241283682598</v>
      </c>
      <c r="M1785">
        <v>41.754349135784501</v>
      </c>
      <c r="N1785">
        <v>51.013351865033897</v>
      </c>
      <c r="O1785">
        <v>50.672032637514299</v>
      </c>
      <c r="P1785">
        <v>-0.18866071737588599</v>
      </c>
      <c r="Q1785">
        <v>8.4186127530423094E-2</v>
      </c>
      <c r="R1785">
        <v>0.99436534051192005</v>
      </c>
      <c r="S1785" t="s">
        <v>5617</v>
      </c>
      <c r="T1785" t="s">
        <v>7662</v>
      </c>
      <c r="U1785" t="s">
        <v>7662</v>
      </c>
      <c r="V1785" t="s">
        <v>7662</v>
      </c>
      <c r="W1785">
        <v>17</v>
      </c>
      <c r="X1785" t="s">
        <v>9447</v>
      </c>
      <c r="Y1785">
        <v>0.4164646570687367</v>
      </c>
      <c r="Z1785" t="str">
        <f>HYPERLINK("Melting_Curves/meltCurve_sp_Q5T4S7_3_UBR4_HUMAN_.pdf", "Melting_Curves/meltCurve_sp_Q5T4S7_3_UBR4_HUMAN_.pdf")</f>
        <v>Melting_Curves/meltCurve_sp_Q5T4S7_3_UBR4_HUMAN_.pdf</v>
      </c>
      <c r="AA1785" t="s">
        <v>13250</v>
      </c>
      <c r="AB1785" t="s">
        <v>17025</v>
      </c>
    </row>
    <row r="1786" spans="1:28" x14ac:dyDescent="0.25">
      <c r="A1786" t="s">
        <v>1790</v>
      </c>
      <c r="B1786">
        <v>0.98876768158843997</v>
      </c>
      <c r="C1786">
        <v>1.0838807548467</v>
      </c>
      <c r="D1786">
        <v>0.89234064582600303</v>
      </c>
      <c r="E1786">
        <v>0.74542713535470095</v>
      </c>
      <c r="F1786">
        <v>0.78122854960340105</v>
      </c>
      <c r="G1786">
        <v>0.53623702074522295</v>
      </c>
      <c r="H1786">
        <v>0.45426493700736997</v>
      </c>
      <c r="I1786">
        <v>0.54246470243771905</v>
      </c>
      <c r="J1786">
        <v>0.67458753730955301</v>
      </c>
      <c r="K1786">
        <v>0.71910590199703195</v>
      </c>
      <c r="L1786">
        <v>1060.64167869998</v>
      </c>
      <c r="M1786">
        <v>21.398119693819101</v>
      </c>
      <c r="O1786">
        <v>49.140226760414102</v>
      </c>
      <c r="P1786">
        <v>-4.4368743069857899E-2</v>
      </c>
      <c r="Q1786">
        <v>0.59244339743907604</v>
      </c>
      <c r="R1786">
        <v>0.79376426484532403</v>
      </c>
      <c r="S1786" t="s">
        <v>5618</v>
      </c>
      <c r="T1786" t="s">
        <v>7662</v>
      </c>
      <c r="U1786" t="s">
        <v>7662</v>
      </c>
      <c r="V1786" t="s">
        <v>7662</v>
      </c>
      <c r="W1786">
        <v>26</v>
      </c>
      <c r="X1786" t="s">
        <v>9448</v>
      </c>
      <c r="Y1786">
        <v>0.72738161692687198</v>
      </c>
      <c r="Z1786" t="str">
        <f>HYPERLINK("Melting_Curves/meltCurve_sp_Q5T5P2_SKT_HUMAN_.pdf", "Melting_Curves/meltCurve_sp_Q5T5P2_SKT_HUMAN_.pdf")</f>
        <v>Melting_Curves/meltCurve_sp_Q5T5P2_SKT_HUMAN_.pdf</v>
      </c>
      <c r="AA1786" t="s">
        <v>13251</v>
      </c>
      <c r="AB1786" t="s">
        <v>17026</v>
      </c>
    </row>
    <row r="1787" spans="1:28" x14ac:dyDescent="0.25">
      <c r="A1787" t="s">
        <v>1791</v>
      </c>
      <c r="B1787">
        <v>0.98876768158843997</v>
      </c>
      <c r="C1787">
        <v>1.04420582708595</v>
      </c>
      <c r="D1787">
        <v>0.83257217581773602</v>
      </c>
      <c r="E1787">
        <v>1.11733289641524</v>
      </c>
      <c r="F1787">
        <v>1.13098609939734</v>
      </c>
      <c r="G1787">
        <v>0.74891370794102996</v>
      </c>
      <c r="H1787">
        <v>0.526683418268592</v>
      </c>
      <c r="I1787">
        <v>1.0000859398667601</v>
      </c>
      <c r="J1787">
        <v>1.2792566938738701</v>
      </c>
      <c r="K1787">
        <v>1.2330411992641701</v>
      </c>
      <c r="L1787">
        <v>15000</v>
      </c>
      <c r="M1787">
        <v>230.09909593855201</v>
      </c>
      <c r="O1787">
        <v>65.184379999455203</v>
      </c>
      <c r="P1787">
        <v>0.22623336589870599</v>
      </c>
      <c r="Q1787">
        <v>1.25635705520453</v>
      </c>
      <c r="R1787">
        <v>0.27162107102782901</v>
      </c>
      <c r="S1787" t="s">
        <v>5619</v>
      </c>
      <c r="T1787" t="s">
        <v>7662</v>
      </c>
      <c r="U1787" t="s">
        <v>7662</v>
      </c>
      <c r="V1787" t="s">
        <v>7662</v>
      </c>
      <c r="W1787">
        <v>1</v>
      </c>
      <c r="X1787" t="s">
        <v>9449</v>
      </c>
      <c r="Y1787">
        <v>1.0410739030845371</v>
      </c>
      <c r="Z1787" t="str">
        <f>HYPERLINK("Melting_Curves/meltCurve_sp_Q5T5U3_3_RHG21_HUMAN_.pdf", "Melting_Curves/meltCurve_sp_Q5T5U3_3_RHG21_HUMAN_.pdf")</f>
        <v>Melting_Curves/meltCurve_sp_Q5T5U3_3_RHG21_HUMAN_.pdf</v>
      </c>
      <c r="AA1787" t="s">
        <v>13252</v>
      </c>
      <c r="AB1787" t="s">
        <v>17027</v>
      </c>
    </row>
    <row r="1788" spans="1:28" x14ac:dyDescent="0.25">
      <c r="A1788" t="s">
        <v>1792</v>
      </c>
      <c r="B1788">
        <v>0.98876768158843997</v>
      </c>
      <c r="C1788">
        <v>1.0821678640204699</v>
      </c>
      <c r="D1788">
        <v>0.90451111273123896</v>
      </c>
      <c r="E1788">
        <v>0.65421616278301897</v>
      </c>
      <c r="F1788">
        <v>0.76197251610848304</v>
      </c>
      <c r="G1788">
        <v>0.51224413089114296</v>
      </c>
      <c r="H1788">
        <v>0.40373108898947202</v>
      </c>
      <c r="I1788">
        <v>0.48545699444374502</v>
      </c>
      <c r="J1788">
        <v>0.59247780463280597</v>
      </c>
      <c r="K1788">
        <v>0.68341116829205795</v>
      </c>
      <c r="L1788">
        <v>1085.53705568279</v>
      </c>
      <c r="M1788">
        <v>22.125716445501698</v>
      </c>
      <c r="O1788">
        <v>48.666749305793502</v>
      </c>
      <c r="P1788">
        <v>-5.1617980538101203E-2</v>
      </c>
      <c r="Q1788">
        <v>0.54586356916268097</v>
      </c>
      <c r="R1788">
        <v>0.81346357402396596</v>
      </c>
      <c r="S1788" t="s">
        <v>5620</v>
      </c>
      <c r="T1788" t="s">
        <v>7662</v>
      </c>
      <c r="U1788" t="s">
        <v>7662</v>
      </c>
      <c r="V1788" t="s">
        <v>7662</v>
      </c>
      <c r="W1788">
        <v>4</v>
      </c>
      <c r="X1788" t="s">
        <v>9450</v>
      </c>
      <c r="Y1788">
        <v>0.68822072630715636</v>
      </c>
      <c r="Z1788" t="str">
        <f>HYPERLINK("Melting_Curves/meltCurve_sp_Q5T6F2_UBAP2_HUMAN_.pdf", "Melting_Curves/meltCurve_sp_Q5T6F2_UBAP2_HUMAN_.pdf")</f>
        <v>Melting_Curves/meltCurve_sp_Q5T6F2_UBAP2_HUMAN_.pdf</v>
      </c>
      <c r="AA1788" t="s">
        <v>13253</v>
      </c>
      <c r="AB1788" t="s">
        <v>17028</v>
      </c>
    </row>
    <row r="1789" spans="1:28" x14ac:dyDescent="0.25">
      <c r="A1789" t="s">
        <v>1793</v>
      </c>
      <c r="B1789">
        <v>0.98876768158843997</v>
      </c>
      <c r="C1789">
        <v>1.3294574770993699</v>
      </c>
      <c r="D1789">
        <v>0.73409616855051496</v>
      </c>
      <c r="E1789">
        <v>0.37051501620018101</v>
      </c>
      <c r="F1789">
        <v>0.168591129477277</v>
      </c>
      <c r="G1789">
        <v>9.6101942819886002E-2</v>
      </c>
      <c r="H1789">
        <v>5.8757318696979102E-2</v>
      </c>
      <c r="I1789">
        <v>5.4878564925595098E-2</v>
      </c>
      <c r="J1789">
        <v>4.9927317629213597E-2</v>
      </c>
      <c r="K1789">
        <v>5.6431499010506397E-2</v>
      </c>
      <c r="L1789">
        <v>1357.2874900509</v>
      </c>
      <c r="M1789">
        <v>27.963439637229602</v>
      </c>
      <c r="N1789">
        <v>48.778533858204803</v>
      </c>
      <c r="O1789">
        <v>48.291755713401997</v>
      </c>
      <c r="P1789">
        <v>-0.13543847047028401</v>
      </c>
      <c r="Q1789">
        <v>6.44208825248372E-2</v>
      </c>
      <c r="R1789">
        <v>0.92988989372012898</v>
      </c>
      <c r="S1789" t="s">
        <v>5621</v>
      </c>
      <c r="T1789" t="s">
        <v>7662</v>
      </c>
      <c r="U1789" t="s">
        <v>7662</v>
      </c>
      <c r="V1789" t="s">
        <v>7662</v>
      </c>
      <c r="W1789">
        <v>4</v>
      </c>
      <c r="X1789" t="s">
        <v>9451</v>
      </c>
      <c r="Y1789">
        <v>0.33723532872436229</v>
      </c>
      <c r="Z1789" t="str">
        <f>HYPERLINK("Melting_Curves/meltCurve_sp_Q5T6J7_GNTK_HUMAN_.pdf", "Melting_Curves/meltCurve_sp_Q5T6J7_GNTK_HUMAN_.pdf")</f>
        <v>Melting_Curves/meltCurve_sp_Q5T6J7_GNTK_HUMAN_.pdf</v>
      </c>
      <c r="AA1789" t="s">
        <v>13254</v>
      </c>
      <c r="AB1789" t="s">
        <v>17029</v>
      </c>
    </row>
    <row r="1790" spans="1:28" x14ac:dyDescent="0.25">
      <c r="A1790" t="s">
        <v>1794</v>
      </c>
      <c r="B1790">
        <v>0.98876768158843997</v>
      </c>
      <c r="C1790">
        <v>1.1264346649394399</v>
      </c>
      <c r="D1790">
        <v>0.90765895118481199</v>
      </c>
      <c r="E1790">
        <v>0.72031668338992205</v>
      </c>
      <c r="F1790">
        <v>0.156424994521011</v>
      </c>
      <c r="G1790">
        <v>8.4360276870355494E-2</v>
      </c>
      <c r="H1790">
        <v>4.3800706717530502E-2</v>
      </c>
      <c r="I1790">
        <v>3.8005155234520499E-2</v>
      </c>
      <c r="J1790">
        <v>4.1267468005725998E-2</v>
      </c>
      <c r="K1790">
        <v>3.8715018856719297E-2</v>
      </c>
      <c r="L1790">
        <v>2457.7636194232</v>
      </c>
      <c r="M1790">
        <v>48.3105816146576</v>
      </c>
      <c r="N1790">
        <v>50.977450845295202</v>
      </c>
      <c r="O1790">
        <v>50.787286690467702</v>
      </c>
      <c r="P1790">
        <v>-0.226728282629063</v>
      </c>
      <c r="Q1790">
        <v>4.6593716868976801E-2</v>
      </c>
      <c r="R1790">
        <v>0.98688276707379896</v>
      </c>
      <c r="S1790" t="s">
        <v>5622</v>
      </c>
      <c r="T1790" t="s">
        <v>7662</v>
      </c>
      <c r="U1790" t="s">
        <v>7662</v>
      </c>
      <c r="V1790" t="s">
        <v>7662</v>
      </c>
      <c r="W1790">
        <v>14</v>
      </c>
      <c r="X1790" t="s">
        <v>9452</v>
      </c>
      <c r="Y1790">
        <v>0.39447162464813179</v>
      </c>
      <c r="Z1790" t="str">
        <f>HYPERLINK("Melting_Curves/meltCurve_sp_Q5T6V5_CI064_HUMAN_.pdf", "Melting_Curves/meltCurve_sp_Q5T6V5_CI064_HUMAN_.pdf")</f>
        <v>Melting_Curves/meltCurve_sp_Q5T6V5_CI064_HUMAN_.pdf</v>
      </c>
      <c r="AA1790" t="s">
        <v>13255</v>
      </c>
      <c r="AB1790" t="s">
        <v>17030</v>
      </c>
    </row>
    <row r="1791" spans="1:28" x14ac:dyDescent="0.25">
      <c r="A1791" t="s">
        <v>1795</v>
      </c>
      <c r="B1791">
        <v>0.98876768158843997</v>
      </c>
      <c r="C1791">
        <v>0.99571789084941098</v>
      </c>
      <c r="D1791">
        <v>0.89101707825188903</v>
      </c>
      <c r="E1791">
        <v>0.67855939286523803</v>
      </c>
      <c r="F1791">
        <v>0.68705562142869503</v>
      </c>
      <c r="G1791">
        <v>0.43259098688236902</v>
      </c>
      <c r="H1791">
        <v>0.38130109863709499</v>
      </c>
      <c r="I1791">
        <v>0.34162033709383599</v>
      </c>
      <c r="J1791">
        <v>0.42934789046982702</v>
      </c>
      <c r="K1791">
        <v>0.49799419483380197</v>
      </c>
      <c r="L1791">
        <v>849.23466736604098</v>
      </c>
      <c r="M1791">
        <v>16.7966656329146</v>
      </c>
      <c r="N1791">
        <v>55.870324737440001</v>
      </c>
      <c r="O1791">
        <v>49.859376295121201</v>
      </c>
      <c r="P1791">
        <v>-5.0644536803219599E-2</v>
      </c>
      <c r="Q1791">
        <v>0.39870415625845901</v>
      </c>
      <c r="R1791">
        <v>0.94454001259961096</v>
      </c>
      <c r="S1791" t="s">
        <v>5623</v>
      </c>
      <c r="T1791" t="s">
        <v>7662</v>
      </c>
      <c r="U1791" t="s">
        <v>7662</v>
      </c>
      <c r="V1791" t="s">
        <v>7662</v>
      </c>
      <c r="W1791">
        <v>3</v>
      </c>
      <c r="X1791" t="s">
        <v>9453</v>
      </c>
      <c r="Y1791">
        <v>0.62190670606423126</v>
      </c>
      <c r="Z1791" t="str">
        <f>HYPERLINK("Melting_Curves/meltCurve_sp_Q5T7V8_GORAB_HUMAN_.pdf", "Melting_Curves/meltCurve_sp_Q5T7V8_GORAB_HUMAN_.pdf")</f>
        <v>Melting_Curves/meltCurve_sp_Q5T7V8_GORAB_HUMAN_.pdf</v>
      </c>
      <c r="AA1791" t="s">
        <v>13256</v>
      </c>
      <c r="AB1791" t="s">
        <v>17031</v>
      </c>
    </row>
    <row r="1792" spans="1:28" x14ac:dyDescent="0.25">
      <c r="A1792" t="s">
        <v>1796</v>
      </c>
      <c r="B1792">
        <v>0.98876768158843997</v>
      </c>
      <c r="C1792">
        <v>1.1024921421687499</v>
      </c>
      <c r="D1792">
        <v>0.92094946329998695</v>
      </c>
      <c r="E1792">
        <v>0.69998478216696502</v>
      </c>
      <c r="F1792">
        <v>0.89420362415803101</v>
      </c>
      <c r="G1792">
        <v>0.47664412487018998</v>
      </c>
      <c r="H1792">
        <v>0.38229968280923499</v>
      </c>
      <c r="I1792">
        <v>0.37994819381925199</v>
      </c>
      <c r="J1792">
        <v>0.52740112701792097</v>
      </c>
      <c r="K1792">
        <v>0.59476793452980103</v>
      </c>
      <c r="L1792">
        <v>970.49196194275203</v>
      </c>
      <c r="M1792">
        <v>18.554317692848802</v>
      </c>
      <c r="N1792">
        <v>60.321031538536303</v>
      </c>
      <c r="O1792">
        <v>51.709224567765403</v>
      </c>
      <c r="P1792">
        <v>-4.8665487422244302E-2</v>
      </c>
      <c r="Q1792">
        <v>0.457518293753509</v>
      </c>
      <c r="R1792">
        <v>0.80641208004015097</v>
      </c>
      <c r="S1792" t="s">
        <v>5624</v>
      </c>
      <c r="T1792" t="s">
        <v>7662</v>
      </c>
      <c r="U1792" t="s">
        <v>7662</v>
      </c>
      <c r="V1792" t="s">
        <v>7662</v>
      </c>
      <c r="W1792">
        <v>9</v>
      </c>
      <c r="X1792" t="s">
        <v>9454</v>
      </c>
      <c r="Y1792">
        <v>0.68857334136389048</v>
      </c>
      <c r="Z1792" t="str">
        <f>HYPERLINK("Melting_Curves/meltCurve_sp_Q5T8D3_2_ACBD5_HUMAN_.pdf", "Melting_Curves/meltCurve_sp_Q5T8D3_2_ACBD5_HUMAN_.pdf")</f>
        <v>Melting_Curves/meltCurve_sp_Q5T8D3_2_ACBD5_HUMAN_.pdf</v>
      </c>
      <c r="AA1792" t="s">
        <v>13257</v>
      </c>
      <c r="AB1792" t="s">
        <v>17032</v>
      </c>
    </row>
    <row r="1793" spans="1:28" x14ac:dyDescent="0.25">
      <c r="A1793" t="s">
        <v>1797</v>
      </c>
      <c r="B1793">
        <v>0.98876768158843997</v>
      </c>
      <c r="C1793">
        <v>1.07402038650996</v>
      </c>
      <c r="D1793">
        <v>0.85739470785095595</v>
      </c>
      <c r="E1793">
        <v>0.66901858739459297</v>
      </c>
      <c r="F1793">
        <v>0.75619694411239202</v>
      </c>
      <c r="G1793">
        <v>0.46606731895113401</v>
      </c>
      <c r="H1793">
        <v>0.34760679151680901</v>
      </c>
      <c r="I1793">
        <v>0.39015682558165798</v>
      </c>
      <c r="J1793">
        <v>0.475981098128963</v>
      </c>
      <c r="K1793">
        <v>0.56102804114029203</v>
      </c>
      <c r="L1793">
        <v>848.80172009951002</v>
      </c>
      <c r="M1793">
        <v>16.8158967862895</v>
      </c>
      <c r="N1793">
        <v>57.573018781362698</v>
      </c>
      <c r="O1793">
        <v>49.778532393053197</v>
      </c>
      <c r="P1793">
        <v>-4.75431165366531E-2</v>
      </c>
      <c r="Q1793">
        <v>0.43708655488145498</v>
      </c>
      <c r="R1793">
        <v>0.87244623123964404</v>
      </c>
      <c r="S1793" t="s">
        <v>5625</v>
      </c>
      <c r="T1793" t="s">
        <v>7662</v>
      </c>
      <c r="U1793" t="s">
        <v>7662</v>
      </c>
      <c r="V1793" t="s">
        <v>7662</v>
      </c>
      <c r="W1793">
        <v>10</v>
      </c>
      <c r="X1793" t="s">
        <v>9455</v>
      </c>
      <c r="Y1793">
        <v>0.64446802887024146</v>
      </c>
      <c r="Z1793" t="str">
        <f>HYPERLINK("Melting_Curves/meltCurve_sp_Q5T8D3_ACBD5_HUMAN_.pdf", "Melting_Curves/meltCurve_sp_Q5T8D3_ACBD5_HUMAN_.pdf")</f>
        <v>Melting_Curves/meltCurve_sp_Q5T8D3_ACBD5_HUMAN_.pdf</v>
      </c>
      <c r="AA1793" t="s">
        <v>13257</v>
      </c>
      <c r="AB1793" t="s">
        <v>17033</v>
      </c>
    </row>
    <row r="1794" spans="1:28" x14ac:dyDescent="0.25">
      <c r="A1794" t="s">
        <v>1798</v>
      </c>
      <c r="B1794">
        <v>0.98876768158843997</v>
      </c>
      <c r="C1794">
        <v>1.02648456176258</v>
      </c>
      <c r="D1794">
        <v>0.863937483229543</v>
      </c>
      <c r="E1794">
        <v>0.71996284457797799</v>
      </c>
      <c r="F1794">
        <v>0.57723616731592098</v>
      </c>
      <c r="G1794">
        <v>0.370498722308368</v>
      </c>
      <c r="H1794">
        <v>0.23750072177179701</v>
      </c>
      <c r="I1794">
        <v>0.23765669639249901</v>
      </c>
      <c r="J1794">
        <v>0.24032615823186501</v>
      </c>
      <c r="K1794">
        <v>0.25814275041552098</v>
      </c>
      <c r="L1794">
        <v>819.37772496076502</v>
      </c>
      <c r="M1794">
        <v>15.760166204598899</v>
      </c>
      <c r="N1794">
        <v>53.868589872980799</v>
      </c>
      <c r="O1794">
        <v>51.174961355400399</v>
      </c>
      <c r="P1794">
        <v>-6.0722337908060503E-2</v>
      </c>
      <c r="Q1794">
        <v>0.211377686048625</v>
      </c>
      <c r="R1794">
        <v>0.99035969153152303</v>
      </c>
      <c r="S1794" t="s">
        <v>5626</v>
      </c>
      <c r="T1794" t="s">
        <v>7662</v>
      </c>
      <c r="U1794" t="s">
        <v>7662</v>
      </c>
      <c r="V1794" t="s">
        <v>7662</v>
      </c>
      <c r="W1794">
        <v>8</v>
      </c>
      <c r="X1794" t="s">
        <v>9456</v>
      </c>
      <c r="Y1794">
        <v>0.54290672060554834</v>
      </c>
      <c r="Z1794" t="str">
        <f>HYPERLINK("Melting_Curves/meltCurve_sp_Q5T8P6_2_RBM26_HUMAN_.pdf", "Melting_Curves/meltCurve_sp_Q5T8P6_2_RBM26_HUMAN_.pdf")</f>
        <v>Melting_Curves/meltCurve_sp_Q5T8P6_2_RBM26_HUMAN_.pdf</v>
      </c>
      <c r="AA1794" t="s">
        <v>13258</v>
      </c>
      <c r="AB1794" t="s">
        <v>17034</v>
      </c>
    </row>
    <row r="1795" spans="1:28" x14ac:dyDescent="0.25">
      <c r="A1795" t="s">
        <v>1799</v>
      </c>
      <c r="B1795">
        <v>0.98876768158843997</v>
      </c>
      <c r="C1795">
        <v>1.1143206277976401</v>
      </c>
      <c r="D1795">
        <v>0.74047476743755702</v>
      </c>
      <c r="E1795">
        <v>0.31407261480256199</v>
      </c>
      <c r="F1795">
        <v>0.11756711073790301</v>
      </c>
      <c r="G1795">
        <v>4.0682620632479898E-2</v>
      </c>
      <c r="H1795">
        <v>2.93433691604741E-2</v>
      </c>
      <c r="I1795">
        <v>3.49997343755548E-2</v>
      </c>
      <c r="J1795">
        <v>3.9730950428369702E-2</v>
      </c>
      <c r="K1795">
        <v>1.9087369426442902E-2</v>
      </c>
      <c r="L1795">
        <v>1307.8850753699001</v>
      </c>
      <c r="M1795">
        <v>27.133216835996102</v>
      </c>
      <c r="N1795">
        <v>48.319481547303099</v>
      </c>
      <c r="O1795">
        <v>47.942802097849999</v>
      </c>
      <c r="P1795">
        <v>-0.13698573882854101</v>
      </c>
      <c r="Q1795">
        <v>3.1826140876903601E-2</v>
      </c>
      <c r="R1795">
        <v>0.98529110333859204</v>
      </c>
      <c r="S1795" t="s">
        <v>5627</v>
      </c>
      <c r="T1795" t="s">
        <v>7662</v>
      </c>
      <c r="U1795" t="s">
        <v>7662</v>
      </c>
      <c r="V1795" t="s">
        <v>7662</v>
      </c>
      <c r="W1795">
        <v>2</v>
      </c>
      <c r="X1795" t="s">
        <v>9457</v>
      </c>
      <c r="Y1795">
        <v>0.30373778094716081</v>
      </c>
      <c r="Z1795" t="str">
        <f>HYPERLINK("Melting_Curves/meltCurve_sp_Q5TA50_GLTD1_HUMAN_.pdf", "Melting_Curves/meltCurve_sp_Q5TA50_GLTD1_HUMAN_.pdf")</f>
        <v>Melting_Curves/meltCurve_sp_Q5TA50_GLTD1_HUMAN_.pdf</v>
      </c>
      <c r="AA1795" t="s">
        <v>13259</v>
      </c>
      <c r="AB1795" t="s">
        <v>17035</v>
      </c>
    </row>
    <row r="1796" spans="1:28" x14ac:dyDescent="0.25">
      <c r="A1796" t="s">
        <v>1800</v>
      </c>
      <c r="B1796">
        <v>0.98876768158843997</v>
      </c>
      <c r="C1796">
        <v>1.0071601809149899</v>
      </c>
      <c r="D1796">
        <v>0.85689877410935</v>
      </c>
      <c r="E1796">
        <v>0.62635003995035499</v>
      </c>
      <c r="F1796">
        <v>0.71487347162931203</v>
      </c>
      <c r="G1796">
        <v>0.47761646086276799</v>
      </c>
      <c r="H1796">
        <v>0.262035277036678</v>
      </c>
      <c r="I1796">
        <v>0.135272772591535</v>
      </c>
      <c r="J1796">
        <v>6.4809613557966703E-2</v>
      </c>
      <c r="K1796">
        <v>5.3158840120561802E-2</v>
      </c>
      <c r="L1796">
        <v>616.70056615366104</v>
      </c>
      <c r="M1796">
        <v>11.176892175715899</v>
      </c>
      <c r="N1796">
        <v>55.176390394989703</v>
      </c>
      <c r="O1796">
        <v>53.498500718695801</v>
      </c>
      <c r="P1796">
        <v>-5.2246502624794397E-2</v>
      </c>
      <c r="Q1796">
        <v>0</v>
      </c>
      <c r="R1796">
        <v>0.96573506887275595</v>
      </c>
      <c r="S1796" t="s">
        <v>5628</v>
      </c>
      <c r="T1796" t="s">
        <v>7662</v>
      </c>
      <c r="U1796" t="s">
        <v>7662</v>
      </c>
      <c r="V1796" t="s">
        <v>7662</v>
      </c>
      <c r="W1796">
        <v>4</v>
      </c>
      <c r="X1796" t="s">
        <v>9458</v>
      </c>
      <c r="Y1796">
        <v>0.52978857467573082</v>
      </c>
      <c r="Z1796" t="str">
        <f>HYPERLINK("Melting_Curves/meltCurve_sp_Q5TC12_ATPF1_HUMAN_.pdf", "Melting_Curves/meltCurve_sp_Q5TC12_ATPF1_HUMAN_.pdf")</f>
        <v>Melting_Curves/meltCurve_sp_Q5TC12_ATPF1_HUMAN_.pdf</v>
      </c>
      <c r="AA1796" t="s">
        <v>13260</v>
      </c>
      <c r="AB1796" t="s">
        <v>17036</v>
      </c>
    </row>
    <row r="1797" spans="1:28" x14ac:dyDescent="0.25">
      <c r="A1797" t="s">
        <v>1801</v>
      </c>
      <c r="B1797">
        <v>0.98876768158843997</v>
      </c>
      <c r="C1797">
        <v>1.04540300973913</v>
      </c>
      <c r="D1797">
        <v>0.99588884484754503</v>
      </c>
      <c r="E1797">
        <v>0.77725827877923004</v>
      </c>
      <c r="F1797">
        <v>0.56932350257322795</v>
      </c>
      <c r="G1797">
        <v>0.31944904777267502</v>
      </c>
      <c r="H1797">
        <v>0.25889536783065098</v>
      </c>
      <c r="I1797">
        <v>0.22758626578634</v>
      </c>
      <c r="J1797">
        <v>0.22229357959281301</v>
      </c>
      <c r="K1797">
        <v>0.17450421762073301</v>
      </c>
      <c r="L1797">
        <v>1135.0701380768401</v>
      </c>
      <c r="M1797">
        <v>21.621719235555599</v>
      </c>
      <c r="N1797">
        <v>53.796944244741297</v>
      </c>
      <c r="O1797">
        <v>52.053908353975899</v>
      </c>
      <c r="P1797">
        <v>-8.2712825480546301E-2</v>
      </c>
      <c r="Q1797">
        <v>0.20350068093645801</v>
      </c>
      <c r="R1797">
        <v>0.99498430859109199</v>
      </c>
      <c r="S1797" t="s">
        <v>5629</v>
      </c>
      <c r="T1797" t="s">
        <v>7662</v>
      </c>
      <c r="U1797" t="s">
        <v>7662</v>
      </c>
      <c r="V1797" t="s">
        <v>7662</v>
      </c>
      <c r="W1797">
        <v>3</v>
      </c>
      <c r="X1797" t="s">
        <v>9459</v>
      </c>
      <c r="Y1797">
        <v>0.54485794668873855</v>
      </c>
      <c r="Z1797" t="str">
        <f>HYPERLINK("Melting_Curves/meltCurve_sp_Q5TCQ9_4_MAGI3_HUMAN_.pdf", "Melting_Curves/meltCurve_sp_Q5TCQ9_4_MAGI3_HUMAN_.pdf")</f>
        <v>Melting_Curves/meltCurve_sp_Q5TCQ9_4_MAGI3_HUMAN_.pdf</v>
      </c>
      <c r="AA1797" t="s">
        <v>13261</v>
      </c>
      <c r="AB1797" t="s">
        <v>17037</v>
      </c>
    </row>
    <row r="1798" spans="1:28" x14ac:dyDescent="0.25">
      <c r="A1798" t="s">
        <v>1802</v>
      </c>
      <c r="B1798">
        <v>0.98876768158843997</v>
      </c>
      <c r="C1798">
        <v>1.10553445384195</v>
      </c>
      <c r="D1798">
        <v>0.84781197360928995</v>
      </c>
      <c r="E1798">
        <v>0.69290836022331503</v>
      </c>
      <c r="F1798">
        <v>0.76905047956197203</v>
      </c>
      <c r="G1798">
        <v>0.46259992723428001</v>
      </c>
      <c r="H1798">
        <v>0.25437081382777299</v>
      </c>
      <c r="I1798">
        <v>0.23380235194027801</v>
      </c>
      <c r="J1798">
        <v>0.22486719583718301</v>
      </c>
      <c r="K1798">
        <v>0.17391849741464699</v>
      </c>
      <c r="L1798">
        <v>655.18011084519799</v>
      </c>
      <c r="M1798">
        <v>11.8996039659341</v>
      </c>
      <c r="N1798">
        <v>56.112843910116702</v>
      </c>
      <c r="O1798">
        <v>53.573125465616002</v>
      </c>
      <c r="P1798">
        <v>-4.9981560487200302E-2</v>
      </c>
      <c r="Q1798">
        <v>0.100137560878636</v>
      </c>
      <c r="R1798">
        <v>0.95256198506225198</v>
      </c>
      <c r="S1798" t="s">
        <v>5630</v>
      </c>
      <c r="T1798" t="s">
        <v>7662</v>
      </c>
      <c r="U1798" t="s">
        <v>7662</v>
      </c>
      <c r="V1798" t="s">
        <v>7662</v>
      </c>
      <c r="W1798">
        <v>13</v>
      </c>
      <c r="X1798" t="s">
        <v>9460</v>
      </c>
      <c r="Y1798">
        <v>0.57290675317855144</v>
      </c>
      <c r="Z1798" t="str">
        <f>HYPERLINK("Melting_Curves/meltCurve_sp_Q5TDH0_DDI2_HUMAN_.pdf", "Melting_Curves/meltCurve_sp_Q5TDH0_DDI2_HUMAN_.pdf")</f>
        <v>Melting_Curves/meltCurve_sp_Q5TDH0_DDI2_HUMAN_.pdf</v>
      </c>
      <c r="AA1798" t="s">
        <v>13262</v>
      </c>
      <c r="AB1798" t="s">
        <v>17038</v>
      </c>
    </row>
    <row r="1799" spans="1:28" x14ac:dyDescent="0.25">
      <c r="A1799" t="s">
        <v>1803</v>
      </c>
      <c r="B1799">
        <v>0.98876768158843997</v>
      </c>
      <c r="C1799">
        <v>0.98260856721614298</v>
      </c>
      <c r="D1799">
        <v>0.75918110546935103</v>
      </c>
      <c r="E1799">
        <v>0.34669907345379097</v>
      </c>
      <c r="F1799">
        <v>0.13893848707883499</v>
      </c>
      <c r="G1799">
        <v>7.7533648509241104E-2</v>
      </c>
      <c r="H1799">
        <v>4.6920105677624398E-2</v>
      </c>
      <c r="I1799">
        <v>4.2243667037019601E-2</v>
      </c>
      <c r="J1799">
        <v>7.3379825692159395E-2</v>
      </c>
      <c r="K1799">
        <v>3.00530007919701E-2</v>
      </c>
      <c r="L1799">
        <v>1150.4957584081401</v>
      </c>
      <c r="M1799">
        <v>23.837946059310401</v>
      </c>
      <c r="N1799">
        <v>48.4612156410792</v>
      </c>
      <c r="O1799">
        <v>47.927413512219701</v>
      </c>
      <c r="P1799">
        <v>-0.118575995005009</v>
      </c>
      <c r="Q1799">
        <v>4.6403124293811999E-2</v>
      </c>
      <c r="R1799">
        <v>0.99839206813553305</v>
      </c>
      <c r="S1799" t="s">
        <v>5631</v>
      </c>
      <c r="T1799" t="s">
        <v>7662</v>
      </c>
      <c r="U1799" t="s">
        <v>7662</v>
      </c>
      <c r="V1799" t="s">
        <v>7662</v>
      </c>
      <c r="W1799">
        <v>7</v>
      </c>
      <c r="X1799" t="s">
        <v>9461</v>
      </c>
      <c r="Y1799">
        <v>0.31837790959424372</v>
      </c>
      <c r="Z1799" t="str">
        <f>HYPERLINK("Melting_Curves/meltCurve_sp_Q5TEU4_NDUF5_HUMAN_.pdf", "Melting_Curves/meltCurve_sp_Q5TEU4_NDUF5_HUMAN_.pdf")</f>
        <v>Melting_Curves/meltCurve_sp_Q5TEU4_NDUF5_HUMAN_.pdf</v>
      </c>
      <c r="AA1799" t="s">
        <v>13263</v>
      </c>
      <c r="AB1799" t="s">
        <v>17039</v>
      </c>
    </row>
    <row r="1800" spans="1:28" x14ac:dyDescent="0.25">
      <c r="A1800" t="s">
        <v>1804</v>
      </c>
      <c r="B1800">
        <v>0.98876768158843997</v>
      </c>
      <c r="C1800">
        <v>0.97794135242647595</v>
      </c>
      <c r="D1800">
        <v>0.84939373251847905</v>
      </c>
      <c r="E1800">
        <v>0.75668993842564103</v>
      </c>
      <c r="F1800">
        <v>0.64629164217564905</v>
      </c>
      <c r="G1800">
        <v>0.24649844289857301</v>
      </c>
      <c r="H1800">
        <v>7.84417331170148E-2</v>
      </c>
      <c r="I1800">
        <v>6.97012437187957E-2</v>
      </c>
      <c r="J1800">
        <v>8.3397774185102205E-2</v>
      </c>
      <c r="K1800">
        <v>6.9047511037636497E-2</v>
      </c>
      <c r="L1800">
        <v>905.100792809572</v>
      </c>
      <c r="M1800">
        <v>16.872967256860399</v>
      </c>
      <c r="N1800">
        <v>53.774950553380002</v>
      </c>
      <c r="O1800">
        <v>52.905577671442302</v>
      </c>
      <c r="P1800">
        <v>-7.8108474224818494E-2</v>
      </c>
      <c r="Q1800">
        <v>2.04186670249034E-2</v>
      </c>
      <c r="R1800">
        <v>0.98392445078664403</v>
      </c>
      <c r="S1800" t="s">
        <v>5632</v>
      </c>
      <c r="T1800" t="s">
        <v>7662</v>
      </c>
      <c r="U1800" t="s">
        <v>7662</v>
      </c>
      <c r="V1800" t="s">
        <v>7662</v>
      </c>
      <c r="W1800">
        <v>11</v>
      </c>
      <c r="X1800" t="s">
        <v>9462</v>
      </c>
      <c r="Y1800">
        <v>0.48328676881740029</v>
      </c>
      <c r="Z1800" t="str">
        <f>HYPERLINK("Melting_Curves/meltCurve_sp_Q5TFE4_NT5D1_HUMAN_.pdf", "Melting_Curves/meltCurve_sp_Q5TFE4_NT5D1_HUMAN_.pdf")</f>
        <v>Melting_Curves/meltCurve_sp_Q5TFE4_NT5D1_HUMAN_.pdf</v>
      </c>
      <c r="AA1800" t="s">
        <v>13264</v>
      </c>
      <c r="AB1800" t="s">
        <v>17040</v>
      </c>
    </row>
    <row r="1801" spans="1:28" x14ac:dyDescent="0.25">
      <c r="A1801" t="s">
        <v>1805</v>
      </c>
      <c r="B1801">
        <v>0.98876768158843997</v>
      </c>
      <c r="C1801">
        <v>0.97847179684326002</v>
      </c>
      <c r="D1801">
        <v>0.75179838443269398</v>
      </c>
      <c r="E1801">
        <v>0.81444052223109498</v>
      </c>
      <c r="F1801">
        <v>0.80950358523164101</v>
      </c>
      <c r="G1801">
        <v>0.50992083718232994</v>
      </c>
      <c r="H1801">
        <v>0.48609616582134602</v>
      </c>
      <c r="I1801">
        <v>0.51718048859501398</v>
      </c>
      <c r="J1801">
        <v>0.78171118867546996</v>
      </c>
      <c r="K1801">
        <v>0.62671015940331798</v>
      </c>
      <c r="L1801">
        <v>642.52306909378603</v>
      </c>
      <c r="M1801">
        <v>13.262851558677299</v>
      </c>
      <c r="O1801">
        <v>47.383692752333502</v>
      </c>
      <c r="P1801">
        <v>-2.8896520027932499E-2</v>
      </c>
      <c r="Q1801">
        <v>0.58711741591520905</v>
      </c>
      <c r="R1801">
        <v>0.65148650616440296</v>
      </c>
      <c r="S1801" t="s">
        <v>5633</v>
      </c>
      <c r="T1801" t="s">
        <v>7662</v>
      </c>
      <c r="U1801" t="s">
        <v>7662</v>
      </c>
      <c r="V1801" t="s">
        <v>7662</v>
      </c>
      <c r="W1801">
        <v>1</v>
      </c>
      <c r="X1801" t="s">
        <v>9463</v>
      </c>
      <c r="Y1801">
        <v>0.71648559109977805</v>
      </c>
      <c r="Z1801" t="str">
        <f>HYPERLINK("Melting_Curves/meltCurve_sp_Q5TFQ8_SIRBL_HUMAN_.pdf", "Melting_Curves/meltCurve_sp_Q5TFQ8_SIRBL_HUMAN_.pdf")</f>
        <v>Melting_Curves/meltCurve_sp_Q5TFQ8_SIRBL_HUMAN_.pdf</v>
      </c>
      <c r="AA1801" t="s">
        <v>13265</v>
      </c>
      <c r="AB1801" t="s">
        <v>17041</v>
      </c>
    </row>
    <row r="1802" spans="1:28" x14ac:dyDescent="0.25">
      <c r="A1802" t="s">
        <v>1806</v>
      </c>
      <c r="B1802">
        <v>0.98876768158843997</v>
      </c>
      <c r="C1802">
        <v>1.0868432647366799</v>
      </c>
      <c r="D1802">
        <v>0.842494228246499</v>
      </c>
      <c r="E1802">
        <v>0.68725718195191099</v>
      </c>
      <c r="F1802">
        <v>0.76972923441325103</v>
      </c>
      <c r="G1802">
        <v>0.43252727705690103</v>
      </c>
      <c r="H1802">
        <v>0.23921036643303001</v>
      </c>
      <c r="I1802">
        <v>0.20133924177795401</v>
      </c>
      <c r="J1802">
        <v>0.17750690000034</v>
      </c>
      <c r="K1802">
        <v>0.18536509748868599</v>
      </c>
      <c r="L1802">
        <v>671.61806448214998</v>
      </c>
      <c r="M1802">
        <v>12.2475438983329</v>
      </c>
      <c r="N1802">
        <v>55.705492352950998</v>
      </c>
      <c r="O1802">
        <v>53.436502438851697</v>
      </c>
      <c r="P1802">
        <v>-5.2330911261203997E-2</v>
      </c>
      <c r="Q1802">
        <v>8.6916374982764097E-2</v>
      </c>
      <c r="R1802">
        <v>0.95488736719901102</v>
      </c>
      <c r="S1802" t="s">
        <v>5634</v>
      </c>
      <c r="T1802" t="s">
        <v>7662</v>
      </c>
      <c r="U1802" t="s">
        <v>7662</v>
      </c>
      <c r="V1802" t="s">
        <v>7662</v>
      </c>
      <c r="W1802">
        <v>3</v>
      </c>
      <c r="X1802" t="s">
        <v>9464</v>
      </c>
      <c r="Y1802">
        <v>0.55999764960751086</v>
      </c>
      <c r="Z1802" t="str">
        <f>HYPERLINK("Melting_Curves/meltCurve_sp_Q5U5X0_LYRM7_HUMAN_.pdf", "Melting_Curves/meltCurve_sp_Q5U5X0_LYRM7_HUMAN_.pdf")</f>
        <v>Melting_Curves/meltCurve_sp_Q5U5X0_LYRM7_HUMAN_.pdf</v>
      </c>
      <c r="AA1802" t="s">
        <v>13266</v>
      </c>
      <c r="AB1802" t="s">
        <v>17042</v>
      </c>
    </row>
    <row r="1803" spans="1:28" x14ac:dyDescent="0.25">
      <c r="A1803" t="s">
        <v>1807</v>
      </c>
      <c r="B1803">
        <v>0.98876768158843997</v>
      </c>
      <c r="C1803">
        <v>1.03013943805163</v>
      </c>
      <c r="D1803">
        <v>0.87745222033283599</v>
      </c>
      <c r="E1803">
        <v>0.68881562520308803</v>
      </c>
      <c r="F1803">
        <v>0.76630571240637102</v>
      </c>
      <c r="G1803">
        <v>0.62857192964839004</v>
      </c>
      <c r="H1803">
        <v>0.43642635267118102</v>
      </c>
      <c r="I1803">
        <v>0.51432104736691597</v>
      </c>
      <c r="J1803">
        <v>0.59141290213609399</v>
      </c>
      <c r="K1803">
        <v>0.79479581002175803</v>
      </c>
      <c r="L1803">
        <v>962.35959777834398</v>
      </c>
      <c r="M1803">
        <v>19.865753636178301</v>
      </c>
      <c r="O1803">
        <v>47.960280311246898</v>
      </c>
      <c r="P1803">
        <v>-4.1571037407396601E-2</v>
      </c>
      <c r="Q1803">
        <v>0.59856705631735596</v>
      </c>
      <c r="R1803">
        <v>0.73545102355367697</v>
      </c>
      <c r="S1803" t="s">
        <v>5635</v>
      </c>
      <c r="T1803" t="s">
        <v>7662</v>
      </c>
      <c r="U1803" t="s">
        <v>7662</v>
      </c>
      <c r="V1803" t="s">
        <v>7662</v>
      </c>
      <c r="W1803">
        <v>3</v>
      </c>
      <c r="X1803" t="s">
        <v>9465</v>
      </c>
      <c r="Y1803">
        <v>0.71728603205120678</v>
      </c>
      <c r="Z1803" t="str">
        <f>HYPERLINK("Melting_Curves/meltCurve_sp_Q5UIP0_2_RIF1_HUMAN_.pdf", "Melting_Curves/meltCurve_sp_Q5UIP0_2_RIF1_HUMAN_.pdf")</f>
        <v>Melting_Curves/meltCurve_sp_Q5UIP0_2_RIF1_HUMAN_.pdf</v>
      </c>
      <c r="AA1803" t="s">
        <v>13267</v>
      </c>
      <c r="AB1803" t="s">
        <v>17043</v>
      </c>
    </row>
    <row r="1804" spans="1:28" x14ac:dyDescent="0.25">
      <c r="A1804" t="s">
        <v>1808</v>
      </c>
      <c r="B1804">
        <v>0.98876768158843997</v>
      </c>
      <c r="C1804">
        <v>0.95382253669805594</v>
      </c>
      <c r="D1804">
        <v>1.0447256037893999</v>
      </c>
      <c r="E1804">
        <v>0.758222512176566</v>
      </c>
      <c r="F1804">
        <v>0.16748206446234101</v>
      </c>
      <c r="G1804">
        <v>0.114547468235974</v>
      </c>
      <c r="H1804">
        <v>6.9786240256148102E-2</v>
      </c>
      <c r="I1804">
        <v>6.9312977134773496E-2</v>
      </c>
      <c r="J1804">
        <v>5.3550573778633502E-2</v>
      </c>
      <c r="K1804">
        <v>7.7218179452674202E-2</v>
      </c>
      <c r="L1804">
        <v>2871.8985535289698</v>
      </c>
      <c r="M1804">
        <v>56.395954313625801</v>
      </c>
      <c r="N1804">
        <v>51.073863473618303</v>
      </c>
      <c r="O1804">
        <v>50.8599305413615</v>
      </c>
      <c r="P1804">
        <v>-0.25605287770703899</v>
      </c>
      <c r="Q1804">
        <v>7.6329182082749303E-2</v>
      </c>
      <c r="R1804">
        <v>0.99639687493132501</v>
      </c>
      <c r="S1804" t="s">
        <v>5636</v>
      </c>
      <c r="T1804" t="s">
        <v>7662</v>
      </c>
      <c r="U1804" t="s">
        <v>7662</v>
      </c>
      <c r="V1804" t="s">
        <v>7662</v>
      </c>
      <c r="W1804">
        <v>9</v>
      </c>
      <c r="X1804" t="s">
        <v>9466</v>
      </c>
      <c r="Y1804">
        <v>0.41429250631047149</v>
      </c>
      <c r="Z1804" t="str">
        <f>HYPERLINK("Melting_Curves/meltCurve_sp_Q5VIR6_4_VPS53_HUMAN_.pdf", "Melting_Curves/meltCurve_sp_Q5VIR6_4_VPS53_HUMAN_.pdf")</f>
        <v>Melting_Curves/meltCurve_sp_Q5VIR6_4_VPS53_HUMAN_.pdf</v>
      </c>
      <c r="AA1804" t="s">
        <v>13268</v>
      </c>
      <c r="AB1804" t="s">
        <v>17044</v>
      </c>
    </row>
    <row r="1805" spans="1:28" x14ac:dyDescent="0.25">
      <c r="A1805" t="s">
        <v>1809</v>
      </c>
      <c r="B1805">
        <v>0.98876768158843997</v>
      </c>
      <c r="C1805">
        <v>0.95017209113330303</v>
      </c>
      <c r="D1805">
        <v>0.93623756054501295</v>
      </c>
      <c r="E1805">
        <v>0.69784184666566096</v>
      </c>
      <c r="F1805">
        <v>0.339456558385348</v>
      </c>
      <c r="G1805">
        <v>0.198377194082625</v>
      </c>
      <c r="H1805">
        <v>0.113601171774685</v>
      </c>
      <c r="I1805">
        <v>7.3275240135630804E-2</v>
      </c>
      <c r="J1805">
        <v>0.102073982578016</v>
      </c>
      <c r="K1805">
        <v>8.2858174954001801E-2</v>
      </c>
      <c r="L1805">
        <v>1219.21486370613</v>
      </c>
      <c r="M1805">
        <v>23.7976197508806</v>
      </c>
      <c r="N1805">
        <v>51.657549968954598</v>
      </c>
      <c r="O1805">
        <v>50.8749826311563</v>
      </c>
      <c r="P1805">
        <v>-0.106548418417746</v>
      </c>
      <c r="Q1805">
        <v>8.88903416150255E-2</v>
      </c>
      <c r="R1805">
        <v>0.99622566408887703</v>
      </c>
      <c r="S1805" t="s">
        <v>5637</v>
      </c>
      <c r="T1805" t="s">
        <v>7662</v>
      </c>
      <c r="U1805" t="s">
        <v>7662</v>
      </c>
      <c r="V1805" t="s">
        <v>7662</v>
      </c>
      <c r="W1805">
        <v>2</v>
      </c>
      <c r="X1805" t="s">
        <v>9467</v>
      </c>
      <c r="Y1805">
        <v>0.43911311623797922</v>
      </c>
      <c r="Z1805" t="str">
        <f>HYPERLINK("Melting_Curves/meltCurve_sp_Q5VSL9_STRP1_HUMAN_.pdf", "Melting_Curves/meltCurve_sp_Q5VSL9_STRP1_HUMAN_.pdf")</f>
        <v>Melting_Curves/meltCurve_sp_Q5VSL9_STRP1_HUMAN_.pdf</v>
      </c>
      <c r="AA1805" t="s">
        <v>13269</v>
      </c>
      <c r="AB1805" t="s">
        <v>17045</v>
      </c>
    </row>
    <row r="1806" spans="1:28" x14ac:dyDescent="0.25">
      <c r="A1806" t="s">
        <v>1810</v>
      </c>
      <c r="B1806">
        <v>0.98876768158843997</v>
      </c>
      <c r="C1806">
        <v>1.1057533154444901</v>
      </c>
      <c r="D1806">
        <v>0.91290052254242904</v>
      </c>
      <c r="E1806">
        <v>0.78257049595587702</v>
      </c>
      <c r="F1806">
        <v>0.49345359801429001</v>
      </c>
      <c r="G1806">
        <v>0.37047096585608602</v>
      </c>
      <c r="H1806">
        <v>0.22680059254559901</v>
      </c>
      <c r="I1806">
        <v>0.27676008845574701</v>
      </c>
      <c r="J1806">
        <v>0.31847936611044098</v>
      </c>
      <c r="K1806">
        <v>0.39938431723587298</v>
      </c>
      <c r="L1806">
        <v>1437.94884219561</v>
      </c>
      <c r="M1806">
        <v>28.0741027765886</v>
      </c>
      <c r="N1806">
        <v>53.025826740411603</v>
      </c>
      <c r="O1806">
        <v>50.961991585818801</v>
      </c>
      <c r="P1806">
        <v>-9.5327554833593703E-2</v>
      </c>
      <c r="Q1806">
        <v>0.30782602751285798</v>
      </c>
      <c r="R1806">
        <v>0.96495418568339897</v>
      </c>
      <c r="S1806" t="s">
        <v>5638</v>
      </c>
      <c r="T1806" t="s">
        <v>7662</v>
      </c>
      <c r="U1806" t="s">
        <v>7662</v>
      </c>
      <c r="V1806" t="s">
        <v>7662</v>
      </c>
      <c r="W1806">
        <v>1</v>
      </c>
      <c r="X1806" t="s">
        <v>9468</v>
      </c>
      <c r="Y1806">
        <v>0.57167892186627711</v>
      </c>
      <c r="Z1806" t="str">
        <f>HYPERLINK("Melting_Curves/meltCurve_sp_Q5VT06_CE350_HUMAN_.pdf", "Melting_Curves/meltCurve_sp_Q5VT06_CE350_HUMAN_.pdf")</f>
        <v>Melting_Curves/meltCurve_sp_Q5VT06_CE350_HUMAN_.pdf</v>
      </c>
      <c r="AA1806" t="s">
        <v>13270</v>
      </c>
      <c r="AB1806" t="s">
        <v>17046</v>
      </c>
    </row>
    <row r="1807" spans="1:28" x14ac:dyDescent="0.25">
      <c r="A1807" t="s">
        <v>1811</v>
      </c>
      <c r="B1807">
        <v>0.98876768158843997</v>
      </c>
      <c r="C1807">
        <v>1.0060192504795999</v>
      </c>
      <c r="D1807">
        <v>0.79640642319782395</v>
      </c>
      <c r="E1807">
        <v>0.41554991853986101</v>
      </c>
      <c r="F1807">
        <v>0.64395578494192696</v>
      </c>
      <c r="G1807">
        <v>0.46875125152907299</v>
      </c>
      <c r="H1807">
        <v>0.33151626573452098</v>
      </c>
      <c r="I1807">
        <v>0.40930157324718902</v>
      </c>
      <c r="J1807">
        <v>0.48920395837341302</v>
      </c>
      <c r="K1807">
        <v>0.556125507642796</v>
      </c>
      <c r="L1807">
        <v>11521.218842557801</v>
      </c>
      <c r="M1807">
        <v>250</v>
      </c>
      <c r="N1807">
        <v>46.632701817555201</v>
      </c>
      <c r="O1807">
        <v>46.081926310442398</v>
      </c>
      <c r="P1807">
        <v>-0.71410002912930803</v>
      </c>
      <c r="Q1807">
        <v>0.47348632264768298</v>
      </c>
      <c r="R1807">
        <v>0.87917091312119999</v>
      </c>
      <c r="S1807" t="s">
        <v>5639</v>
      </c>
      <c r="T1807" t="s">
        <v>7662</v>
      </c>
      <c r="U1807" t="s">
        <v>7662</v>
      </c>
      <c r="V1807" t="s">
        <v>7662</v>
      </c>
      <c r="W1807">
        <v>2</v>
      </c>
      <c r="X1807" t="s">
        <v>9469</v>
      </c>
      <c r="Y1807">
        <v>0.58032124306043442</v>
      </c>
      <c r="Z1807" t="str">
        <f>HYPERLINK("Melting_Curves/meltCurve_sp_Q5VT52_2_RPRD2_HUMAN_.pdf", "Melting_Curves/meltCurve_sp_Q5VT52_2_RPRD2_HUMAN_.pdf")</f>
        <v>Melting_Curves/meltCurve_sp_Q5VT52_2_RPRD2_HUMAN_.pdf</v>
      </c>
      <c r="AA1807" t="s">
        <v>13271</v>
      </c>
      <c r="AB1807" t="s">
        <v>17047</v>
      </c>
    </row>
    <row r="1808" spans="1:28" x14ac:dyDescent="0.25">
      <c r="A1808" t="s">
        <v>1812</v>
      </c>
      <c r="B1808">
        <v>0.98876768158843997</v>
      </c>
      <c r="C1808">
        <v>1.00025010011737</v>
      </c>
      <c r="D1808">
        <v>1.3381689297405901</v>
      </c>
      <c r="E1808">
        <v>1.4412400408152</v>
      </c>
      <c r="F1808">
        <v>0.39855159712520599</v>
      </c>
      <c r="G1808">
        <v>0.20733098738741501</v>
      </c>
      <c r="H1808">
        <v>0.10184566058453801</v>
      </c>
      <c r="I1808">
        <v>9.2635946192532195E-2</v>
      </c>
      <c r="J1808">
        <v>0.14736613726987</v>
      </c>
      <c r="K1808">
        <v>0.10620155249575</v>
      </c>
      <c r="L1808">
        <v>13207.0539167036</v>
      </c>
      <c r="M1808">
        <v>250</v>
      </c>
      <c r="N1808">
        <v>52.892537304406602</v>
      </c>
      <c r="O1808">
        <v>52.824848283988104</v>
      </c>
      <c r="P1808">
        <v>-1.0280724257228699</v>
      </c>
      <c r="Q1808">
        <v>0.131075899865089</v>
      </c>
      <c r="R1808">
        <v>0.88257215644873499</v>
      </c>
      <c r="S1808" t="s">
        <v>5640</v>
      </c>
      <c r="T1808" t="s">
        <v>7662</v>
      </c>
      <c r="U1808" t="s">
        <v>7662</v>
      </c>
      <c r="V1808" t="s">
        <v>7662</v>
      </c>
      <c r="W1808">
        <v>2</v>
      </c>
      <c r="X1808" t="s">
        <v>9470</v>
      </c>
      <c r="Y1808">
        <v>0.50271465198207388</v>
      </c>
      <c r="Z1808" t="str">
        <f>HYPERLINK("Melting_Curves/meltCurve_sp_Q5VTB9_RN220_HUMAN_.pdf", "Melting_Curves/meltCurve_sp_Q5VTB9_RN220_HUMAN_.pdf")</f>
        <v>Melting_Curves/meltCurve_sp_Q5VTB9_RN220_HUMAN_.pdf</v>
      </c>
      <c r="AA1808" t="s">
        <v>13272</v>
      </c>
      <c r="AB1808" t="s">
        <v>17048</v>
      </c>
    </row>
    <row r="1809" spans="1:28" x14ac:dyDescent="0.25">
      <c r="A1809" t="s">
        <v>1813</v>
      </c>
      <c r="B1809">
        <v>0.98876768158843997</v>
      </c>
      <c r="C1809">
        <v>0.78778909202879199</v>
      </c>
      <c r="D1809">
        <v>0.64899615185501403</v>
      </c>
      <c r="E1809">
        <v>0.29400152024202397</v>
      </c>
      <c r="F1809">
        <v>0.12273685203029699</v>
      </c>
      <c r="G1809">
        <v>6.3089224886575701E-2</v>
      </c>
      <c r="H1809">
        <v>3.8385658129150201E-2</v>
      </c>
      <c r="I1809">
        <v>3.4194169739652697E-2</v>
      </c>
      <c r="J1809">
        <v>3.6964320374772701E-2</v>
      </c>
      <c r="K1809">
        <v>3.6984344691350701E-2</v>
      </c>
      <c r="L1809">
        <v>806.84911248452795</v>
      </c>
      <c r="M1809">
        <v>17.117934640599501</v>
      </c>
      <c r="N1809">
        <v>47.257767846328797</v>
      </c>
      <c r="O1809">
        <v>46.505554785863602</v>
      </c>
      <c r="P1809">
        <v>-9.0020573738353496E-2</v>
      </c>
      <c r="Q1809">
        <v>2.1796536852206599E-2</v>
      </c>
      <c r="R1809">
        <v>0.99415586397188205</v>
      </c>
      <c r="S1809" t="s">
        <v>5641</v>
      </c>
      <c r="T1809" t="s">
        <v>7662</v>
      </c>
      <c r="U1809" t="s">
        <v>7662</v>
      </c>
      <c r="V1809" t="s">
        <v>7662</v>
      </c>
      <c r="W1809">
        <v>21</v>
      </c>
      <c r="X1809" t="s">
        <v>9471</v>
      </c>
      <c r="Y1809">
        <v>0.27441773731532082</v>
      </c>
      <c r="Z1809" t="str">
        <f>HYPERLINK("Melting_Curves/meltCurve_sp_Q5VTE0_EF1A3_HUMAN_.pdf", "Melting_Curves/meltCurve_sp_Q5VTE0_EF1A3_HUMAN_.pdf")</f>
        <v>Melting_Curves/meltCurve_sp_Q5VTE0_EF1A3_HUMAN_.pdf</v>
      </c>
      <c r="AA1809" t="s">
        <v>13273</v>
      </c>
      <c r="AB1809" t="s">
        <v>17049</v>
      </c>
    </row>
    <row r="1810" spans="1:28" x14ac:dyDescent="0.25">
      <c r="A1810" t="s">
        <v>1814</v>
      </c>
      <c r="B1810">
        <v>0.98876768158843997</v>
      </c>
      <c r="C1810">
        <v>0.91800640582939697</v>
      </c>
      <c r="D1810">
        <v>0.89760325583480804</v>
      </c>
      <c r="E1810">
        <v>0.777174518729007</v>
      </c>
      <c r="F1810">
        <v>0.503129067446345</v>
      </c>
      <c r="G1810">
        <v>0.34555720009733099</v>
      </c>
      <c r="H1810">
        <v>0.12803004848493399</v>
      </c>
      <c r="I1810">
        <v>0.123836577782813</v>
      </c>
      <c r="J1810">
        <v>0.13841121964965999</v>
      </c>
      <c r="K1810">
        <v>0.140986873002928</v>
      </c>
      <c r="L1810">
        <v>847.51128385433196</v>
      </c>
      <c r="M1810">
        <v>16.058366871944401</v>
      </c>
      <c r="N1810">
        <v>53.461599351235201</v>
      </c>
      <c r="O1810">
        <v>51.978827155317902</v>
      </c>
      <c r="P1810">
        <v>-7.0062060056992101E-2</v>
      </c>
      <c r="Q1810">
        <v>9.2943351641933597E-2</v>
      </c>
      <c r="R1810">
        <v>0.98892578977997703</v>
      </c>
      <c r="S1810" t="s">
        <v>5642</v>
      </c>
      <c r="T1810" t="s">
        <v>7662</v>
      </c>
      <c r="U1810" t="s">
        <v>7662</v>
      </c>
      <c r="V1810" t="s">
        <v>7662</v>
      </c>
      <c r="W1810">
        <v>10</v>
      </c>
      <c r="X1810" t="s">
        <v>9472</v>
      </c>
      <c r="Y1810">
        <v>0.49708545092629047</v>
      </c>
      <c r="Z1810" t="str">
        <f>HYPERLINK("Melting_Curves/meltCurve_sp_Q5VTR2_BRE1A_HUMAN_.pdf", "Melting_Curves/meltCurve_sp_Q5VTR2_BRE1A_HUMAN_.pdf")</f>
        <v>Melting_Curves/meltCurve_sp_Q5VTR2_BRE1A_HUMAN_.pdf</v>
      </c>
      <c r="AA1810" t="s">
        <v>13274</v>
      </c>
      <c r="AB1810" t="s">
        <v>17050</v>
      </c>
    </row>
    <row r="1811" spans="1:28" x14ac:dyDescent="0.25">
      <c r="A1811" t="s">
        <v>1815</v>
      </c>
      <c r="B1811">
        <v>0.98876768158843997</v>
      </c>
      <c r="C1811">
        <v>0.84980311604354097</v>
      </c>
      <c r="D1811">
        <v>0.64916888284009699</v>
      </c>
      <c r="E1811">
        <v>0.46202846704164102</v>
      </c>
      <c r="F1811">
        <v>0.423075284852309</v>
      </c>
      <c r="G1811">
        <v>0.263558456206827</v>
      </c>
      <c r="H1811">
        <v>0.197960973931218</v>
      </c>
      <c r="I1811">
        <v>0.27926378848910699</v>
      </c>
      <c r="J1811">
        <v>0.23425106496845399</v>
      </c>
      <c r="K1811">
        <v>0.36347142264254301</v>
      </c>
      <c r="L1811">
        <v>737.86388106223399</v>
      </c>
      <c r="M1811">
        <v>15.7994104755611</v>
      </c>
      <c r="N1811">
        <v>49.014824376459799</v>
      </c>
      <c r="O1811">
        <v>45.973017013892999</v>
      </c>
      <c r="P1811">
        <v>-6.3346871046555397E-2</v>
      </c>
      <c r="Q1811">
        <v>0.26275562879311598</v>
      </c>
      <c r="R1811">
        <v>0.96245205845106097</v>
      </c>
      <c r="S1811" t="s">
        <v>5643</v>
      </c>
      <c r="T1811" t="s">
        <v>7662</v>
      </c>
      <c r="U1811" t="s">
        <v>7662</v>
      </c>
      <c r="V1811" t="s">
        <v>7662</v>
      </c>
      <c r="W1811">
        <v>6</v>
      </c>
      <c r="X1811" t="s">
        <v>9473</v>
      </c>
      <c r="Y1811">
        <v>0.44577193252704472</v>
      </c>
      <c r="Z1811" t="str">
        <f>HYPERLINK("Melting_Curves/meltCurve_sp_Q5VUA4_ZN318_HUMAN_.pdf", "Melting_Curves/meltCurve_sp_Q5VUA4_ZN318_HUMAN_.pdf")</f>
        <v>Melting_Curves/meltCurve_sp_Q5VUA4_ZN318_HUMAN_.pdf</v>
      </c>
      <c r="AA1811" t="s">
        <v>13275</v>
      </c>
      <c r="AB1811" t="s">
        <v>17051</v>
      </c>
    </row>
    <row r="1812" spans="1:28" x14ac:dyDescent="0.25">
      <c r="A1812" t="s">
        <v>1816</v>
      </c>
      <c r="B1812">
        <v>0.98876768158843997</v>
      </c>
      <c r="C1812">
        <v>1.02254995100363</v>
      </c>
      <c r="D1812">
        <v>0.87373753607135196</v>
      </c>
      <c r="E1812">
        <v>0.83782676648203003</v>
      </c>
      <c r="F1812">
        <v>0.84086329561098505</v>
      </c>
      <c r="G1812">
        <v>0.61711798932119499</v>
      </c>
      <c r="H1812">
        <v>0.440238394543637</v>
      </c>
      <c r="I1812">
        <v>0.45763775370593301</v>
      </c>
      <c r="J1812">
        <v>0.32795499694448199</v>
      </c>
      <c r="K1812">
        <v>0.68914233738981501</v>
      </c>
      <c r="L1812">
        <v>953.99857669781397</v>
      </c>
      <c r="M1812">
        <v>17.769052759453601</v>
      </c>
      <c r="N1812">
        <v>62.756260817345201</v>
      </c>
      <c r="O1812">
        <v>53.022620875908402</v>
      </c>
      <c r="P1812">
        <v>-4.51070279263329E-2</v>
      </c>
      <c r="Q1812">
        <v>0.46163279132941598</v>
      </c>
      <c r="R1812">
        <v>0.81574149958572395</v>
      </c>
      <c r="S1812" t="s">
        <v>5644</v>
      </c>
      <c r="T1812" t="s">
        <v>7662</v>
      </c>
      <c r="U1812" t="s">
        <v>7662</v>
      </c>
      <c r="V1812" t="s">
        <v>7662</v>
      </c>
      <c r="W1812">
        <v>1</v>
      </c>
      <c r="X1812" t="s">
        <v>9474</v>
      </c>
      <c r="Y1812">
        <v>0.71614134689149866</v>
      </c>
      <c r="Z1812" t="str">
        <f>HYPERLINK("Melting_Curves/meltCurve_sp_Q5VUE5_CA053_HUMAN_.pdf", "Melting_Curves/meltCurve_sp_Q5VUE5_CA053_HUMAN_.pdf")</f>
        <v>Melting_Curves/meltCurve_sp_Q5VUE5_CA053_HUMAN_.pdf</v>
      </c>
      <c r="AA1812" t="s">
        <v>13276</v>
      </c>
      <c r="AB1812" t="s">
        <v>17052</v>
      </c>
    </row>
    <row r="1813" spans="1:28" x14ac:dyDescent="0.25">
      <c r="A1813" t="s">
        <v>1817</v>
      </c>
      <c r="B1813">
        <v>0.98876768158843997</v>
      </c>
      <c r="C1813">
        <v>0.881265429338703</v>
      </c>
      <c r="D1813">
        <v>0.781956307652517</v>
      </c>
      <c r="E1813">
        <v>0.65199440781615903</v>
      </c>
      <c r="F1813">
        <v>0.34513562220754401</v>
      </c>
      <c r="G1813">
        <v>0.10094714539909</v>
      </c>
      <c r="H1813">
        <v>5.5638005607893497E-2</v>
      </c>
      <c r="I1813">
        <v>0</v>
      </c>
      <c r="J1813">
        <v>0.181112698502573</v>
      </c>
      <c r="K1813">
        <v>0.108966146035988</v>
      </c>
      <c r="L1813">
        <v>848.87499961732794</v>
      </c>
      <c r="M1813">
        <v>16.826204723582801</v>
      </c>
      <c r="N1813">
        <v>50.792038549429002</v>
      </c>
      <c r="O1813">
        <v>49.753168989100203</v>
      </c>
      <c r="P1813">
        <v>-8.0019700454225004E-2</v>
      </c>
      <c r="Q1813">
        <v>5.3624542405080099E-2</v>
      </c>
      <c r="R1813">
        <v>0.96446952636555805</v>
      </c>
      <c r="S1813" t="s">
        <v>5645</v>
      </c>
      <c r="T1813" t="s">
        <v>7662</v>
      </c>
      <c r="U1813" t="s">
        <v>7662</v>
      </c>
      <c r="V1813" t="s">
        <v>7662</v>
      </c>
      <c r="W1813">
        <v>1</v>
      </c>
      <c r="X1813" t="s">
        <v>9475</v>
      </c>
      <c r="Y1813">
        <v>0.40142705941640289</v>
      </c>
      <c r="Z1813" t="str">
        <f>HYPERLINK("Melting_Curves/meltCurve_sp_Q5VVQ6_2_OTU1_HUMAN_.pdf", "Melting_Curves/meltCurve_sp_Q5VVQ6_2_OTU1_HUMAN_.pdf")</f>
        <v>Melting_Curves/meltCurve_sp_Q5VVQ6_2_OTU1_HUMAN_.pdf</v>
      </c>
      <c r="AA1813" t="s">
        <v>13277</v>
      </c>
      <c r="AB1813" t="s">
        <v>17053</v>
      </c>
    </row>
    <row r="1814" spans="1:28" x14ac:dyDescent="0.25">
      <c r="A1814" t="s">
        <v>1818</v>
      </c>
      <c r="B1814">
        <v>0.98876768158843997</v>
      </c>
      <c r="C1814">
        <v>1.15966933086594</v>
      </c>
      <c r="D1814">
        <v>0.87355471032604903</v>
      </c>
      <c r="E1814">
        <v>0.77734793643325695</v>
      </c>
      <c r="F1814">
        <v>0.27846712681910701</v>
      </c>
      <c r="G1814">
        <v>0.146337060575778</v>
      </c>
      <c r="H1814">
        <v>9.0055573582812007E-2</v>
      </c>
      <c r="I1814">
        <v>8.5893225328315198E-2</v>
      </c>
      <c r="J1814">
        <v>8.8322839912155796E-2</v>
      </c>
      <c r="K1814">
        <v>8.11255233192964E-2</v>
      </c>
      <c r="L1814">
        <v>1977.84092661618</v>
      </c>
      <c r="M1814">
        <v>38.545981981031602</v>
      </c>
      <c r="N1814">
        <v>51.582520482174502</v>
      </c>
      <c r="O1814">
        <v>51.173686932830002</v>
      </c>
      <c r="P1814">
        <v>-0.17103210887456999</v>
      </c>
      <c r="Q1814">
        <v>9.1752534370434402E-2</v>
      </c>
      <c r="R1814">
        <v>0.97606916882999695</v>
      </c>
      <c r="S1814" t="s">
        <v>5646</v>
      </c>
      <c r="T1814" t="s">
        <v>7662</v>
      </c>
      <c r="U1814" t="s">
        <v>7662</v>
      </c>
      <c r="V1814" t="s">
        <v>7662</v>
      </c>
      <c r="W1814">
        <v>9</v>
      </c>
      <c r="X1814" t="s">
        <v>9476</v>
      </c>
      <c r="Y1814">
        <v>0.43766845654187247</v>
      </c>
      <c r="Z1814" t="str">
        <f>HYPERLINK("Melting_Curves/meltCurve_sp_Q5VW32_BROX_HUMAN_.pdf", "Melting_Curves/meltCurve_sp_Q5VW32_BROX_HUMAN_.pdf")</f>
        <v>Melting_Curves/meltCurve_sp_Q5VW32_BROX_HUMAN_.pdf</v>
      </c>
      <c r="AA1814" t="s">
        <v>13278</v>
      </c>
      <c r="AB1814" t="s">
        <v>17054</v>
      </c>
    </row>
    <row r="1815" spans="1:28" x14ac:dyDescent="0.25">
      <c r="A1815" t="s">
        <v>1819</v>
      </c>
      <c r="B1815">
        <v>0.98876768158843997</v>
      </c>
      <c r="C1815">
        <v>0.79603764246576103</v>
      </c>
      <c r="D1815">
        <v>1.0238732392537599</v>
      </c>
      <c r="E1815">
        <v>0.71226244097614599</v>
      </c>
      <c r="F1815">
        <v>0.28666176310182501</v>
      </c>
      <c r="G1815">
        <v>0.11089270162935</v>
      </c>
      <c r="H1815">
        <v>4.9645367670795297E-2</v>
      </c>
      <c r="I1815">
        <v>5.4339991437215199E-2</v>
      </c>
      <c r="J1815">
        <v>6.3469783309071701E-2</v>
      </c>
      <c r="K1815">
        <v>4.6148721262820297E-2</v>
      </c>
      <c r="L1815">
        <v>1712.8732915629801</v>
      </c>
      <c r="M1815">
        <v>33.423284790672099</v>
      </c>
      <c r="N1815">
        <v>51.432668798396897</v>
      </c>
      <c r="O1815">
        <v>51.065490969888501</v>
      </c>
      <c r="P1815">
        <v>-0.15437361274806399</v>
      </c>
      <c r="Q1815">
        <v>5.6570176900241798E-2</v>
      </c>
      <c r="R1815">
        <v>0.97191932106994805</v>
      </c>
      <c r="S1815" t="s">
        <v>5647</v>
      </c>
      <c r="T1815" t="s">
        <v>7662</v>
      </c>
      <c r="U1815" t="s">
        <v>7662</v>
      </c>
      <c r="V1815" t="s">
        <v>7662</v>
      </c>
      <c r="W1815">
        <v>1</v>
      </c>
      <c r="X1815" t="s">
        <v>9477</v>
      </c>
      <c r="Y1815">
        <v>0.41508667691494572</v>
      </c>
      <c r="Z1815" t="str">
        <f>HYPERLINK("Melting_Curves/meltCurve_sp_Q5VW36_FOCAD_HUMAN_.pdf", "Melting_Curves/meltCurve_sp_Q5VW36_FOCAD_HUMAN_.pdf")</f>
        <v>Melting_Curves/meltCurve_sp_Q5VW36_FOCAD_HUMAN_.pdf</v>
      </c>
      <c r="AA1815" t="s">
        <v>13279</v>
      </c>
      <c r="AB1815" t="s">
        <v>17055</v>
      </c>
    </row>
    <row r="1816" spans="1:28" x14ac:dyDescent="0.25">
      <c r="A1816" t="s">
        <v>1820</v>
      </c>
      <c r="B1816">
        <v>0.98876768158843997</v>
      </c>
      <c r="C1816">
        <v>1.0018411710689601</v>
      </c>
      <c r="D1816">
        <v>0.82178703489368699</v>
      </c>
      <c r="E1816">
        <v>0.64413195916190702</v>
      </c>
      <c r="F1816">
        <v>0.74718896453605799</v>
      </c>
      <c r="G1816">
        <v>0.56553221472579795</v>
      </c>
      <c r="H1816">
        <v>0.38247928336860099</v>
      </c>
      <c r="I1816">
        <v>0.43393690954706599</v>
      </c>
      <c r="J1816">
        <v>0.53544557927136405</v>
      </c>
      <c r="K1816">
        <v>0.56764406082586305</v>
      </c>
      <c r="L1816">
        <v>693.98687372238999</v>
      </c>
      <c r="M1816">
        <v>14.0786768212251</v>
      </c>
      <c r="N1816">
        <v>63.920561050417902</v>
      </c>
      <c r="O1816">
        <v>48.330909795666798</v>
      </c>
      <c r="P1816">
        <v>-3.7869543537494499E-2</v>
      </c>
      <c r="Q1816">
        <v>0.480055522699676</v>
      </c>
      <c r="R1816">
        <v>0.86743252087176104</v>
      </c>
      <c r="S1816" t="s">
        <v>5648</v>
      </c>
      <c r="T1816" t="s">
        <v>7662</v>
      </c>
      <c r="U1816" t="s">
        <v>7662</v>
      </c>
      <c r="V1816" t="s">
        <v>7662</v>
      </c>
      <c r="W1816">
        <v>5</v>
      </c>
      <c r="X1816" t="s">
        <v>9478</v>
      </c>
      <c r="Y1816">
        <v>0.65537797990626456</v>
      </c>
      <c r="Z1816" t="str">
        <f>HYPERLINK("Melting_Curves/meltCurve_sp_Q5VWP3_MLIP_HUMAN_.pdf", "Melting_Curves/meltCurve_sp_Q5VWP3_MLIP_HUMAN_.pdf")</f>
        <v>Melting_Curves/meltCurve_sp_Q5VWP3_MLIP_HUMAN_.pdf</v>
      </c>
      <c r="AA1816" t="s">
        <v>13280</v>
      </c>
      <c r="AB1816" t="s">
        <v>17056</v>
      </c>
    </row>
    <row r="1817" spans="1:28" x14ac:dyDescent="0.25">
      <c r="A1817" t="s">
        <v>1821</v>
      </c>
      <c r="B1817">
        <v>0.98876768158843997</v>
      </c>
      <c r="C1817">
        <v>0.98554482991215997</v>
      </c>
      <c r="D1817">
        <v>1.00188590982042</v>
      </c>
      <c r="E1817">
        <v>0.80035244870962496</v>
      </c>
      <c r="F1817">
        <v>0.952070041053239</v>
      </c>
      <c r="G1817">
        <v>0.60934075734784099</v>
      </c>
      <c r="H1817">
        <v>0.462383408136813</v>
      </c>
      <c r="I1817">
        <v>0.46317310214947099</v>
      </c>
      <c r="J1817">
        <v>0.66082120976716696</v>
      </c>
      <c r="K1817">
        <v>0.83450696819328296</v>
      </c>
      <c r="L1817">
        <v>4038.3756681004902</v>
      </c>
      <c r="M1817">
        <v>74.319924813258595</v>
      </c>
      <c r="O1817">
        <v>54.2984240094844</v>
      </c>
      <c r="P1817">
        <v>-0.13559299509443701</v>
      </c>
      <c r="Q1817">
        <v>0.60374101877210595</v>
      </c>
      <c r="R1817">
        <v>0.66956341109610695</v>
      </c>
      <c r="S1817" t="s">
        <v>5649</v>
      </c>
      <c r="T1817" t="s">
        <v>7662</v>
      </c>
      <c r="U1817" t="s">
        <v>7662</v>
      </c>
      <c r="V1817" t="s">
        <v>7662</v>
      </c>
      <c r="W1817">
        <v>1</v>
      </c>
      <c r="X1817" t="s">
        <v>9479</v>
      </c>
      <c r="Y1817">
        <v>0.79355133359864505</v>
      </c>
      <c r="Z1817" t="str">
        <f>HYPERLINK("Melting_Curves/meltCurve_sp_Q5VWQ8_3_DAB2P_HUMAN_.pdf", "Melting_Curves/meltCurve_sp_Q5VWQ8_3_DAB2P_HUMAN_.pdf")</f>
        <v>Melting_Curves/meltCurve_sp_Q5VWQ8_3_DAB2P_HUMAN_.pdf</v>
      </c>
      <c r="AA1817" t="s">
        <v>13281</v>
      </c>
      <c r="AB1817" t="s">
        <v>17057</v>
      </c>
    </row>
    <row r="1818" spans="1:28" x14ac:dyDescent="0.25">
      <c r="A1818" t="s">
        <v>1822</v>
      </c>
      <c r="B1818">
        <v>0.98876768158843997</v>
      </c>
      <c r="C1818">
        <v>1.17137234049953</v>
      </c>
      <c r="D1818">
        <v>0.84351215162813897</v>
      </c>
      <c r="E1818">
        <v>0.72024965231929705</v>
      </c>
      <c r="F1818">
        <v>0.732008570467235</v>
      </c>
      <c r="G1818">
        <v>0.18068523646238199</v>
      </c>
      <c r="H1818">
        <v>0.105391951713458</v>
      </c>
      <c r="I1818">
        <v>9.2891211139746604E-2</v>
      </c>
      <c r="J1818">
        <v>0.10803730920287501</v>
      </c>
      <c r="K1818">
        <v>8.5980944286939601E-2</v>
      </c>
      <c r="L1818">
        <v>1076.71047574933</v>
      </c>
      <c r="M1818">
        <v>20.083479411064801</v>
      </c>
      <c r="N1818">
        <v>53.936528559411798</v>
      </c>
      <c r="O1818">
        <v>53.088726406817202</v>
      </c>
      <c r="P1818">
        <v>-8.9191643561393794E-2</v>
      </c>
      <c r="Q1818">
        <v>5.6952825485212098E-2</v>
      </c>
      <c r="R1818">
        <v>0.94523252173519801</v>
      </c>
      <c r="S1818" t="s">
        <v>5650</v>
      </c>
      <c r="T1818" t="s">
        <v>7662</v>
      </c>
      <c r="U1818" t="s">
        <v>7662</v>
      </c>
      <c r="V1818" t="s">
        <v>7662</v>
      </c>
      <c r="W1818">
        <v>9</v>
      </c>
      <c r="X1818" t="s">
        <v>9480</v>
      </c>
      <c r="Y1818">
        <v>0.49763616406815531</v>
      </c>
      <c r="Z1818" t="str">
        <f>HYPERLINK("Melting_Curves/meltCurve_sp_Q5VWZ2_LYPL1_HUMAN_.pdf", "Melting_Curves/meltCurve_sp_Q5VWZ2_LYPL1_HUMAN_.pdf")</f>
        <v>Melting_Curves/meltCurve_sp_Q5VWZ2_LYPL1_HUMAN_.pdf</v>
      </c>
      <c r="AA1818" t="s">
        <v>13282</v>
      </c>
      <c r="AB1818" t="s">
        <v>17058</v>
      </c>
    </row>
    <row r="1819" spans="1:28" x14ac:dyDescent="0.25">
      <c r="A1819" t="s">
        <v>1823</v>
      </c>
      <c r="B1819">
        <v>0.98876768158843997</v>
      </c>
      <c r="C1819">
        <v>0.85252567979589799</v>
      </c>
      <c r="D1819">
        <v>0.87247619539552301</v>
      </c>
      <c r="E1819">
        <v>0.48250563054469398</v>
      </c>
      <c r="F1819">
        <v>0.17637219859291101</v>
      </c>
      <c r="G1819">
        <v>0.10777098326578</v>
      </c>
      <c r="H1819">
        <v>7.3779073676874404E-2</v>
      </c>
      <c r="I1819">
        <v>6.2243054576246702E-2</v>
      </c>
      <c r="J1819">
        <v>5.9300050112860901E-2</v>
      </c>
      <c r="K1819">
        <v>5.7835084747808997E-2</v>
      </c>
      <c r="L1819">
        <v>1102.9982246475499</v>
      </c>
      <c r="M1819">
        <v>22.352638380588601</v>
      </c>
      <c r="N1819">
        <v>49.599763064507798</v>
      </c>
      <c r="O1819">
        <v>48.955446533237698</v>
      </c>
      <c r="P1819">
        <v>-0.107966984024976</v>
      </c>
      <c r="Q1819">
        <v>5.4167364548349202E-2</v>
      </c>
      <c r="R1819">
        <v>0.987596578332816</v>
      </c>
      <c r="S1819" t="s">
        <v>5651</v>
      </c>
      <c r="T1819" t="s">
        <v>7662</v>
      </c>
      <c r="U1819" t="s">
        <v>7662</v>
      </c>
      <c r="V1819" t="s">
        <v>7662</v>
      </c>
      <c r="W1819">
        <v>9</v>
      </c>
      <c r="X1819" t="s">
        <v>9481</v>
      </c>
      <c r="Y1819">
        <v>0.35935969559153969</v>
      </c>
      <c r="Z1819" t="str">
        <f>HYPERLINK("Melting_Curves/meltCurve_sp_Q5VYK3_ECM29_HUMAN_.pdf", "Melting_Curves/meltCurve_sp_Q5VYK3_ECM29_HUMAN_.pdf")</f>
        <v>Melting_Curves/meltCurve_sp_Q5VYK3_ECM29_HUMAN_.pdf</v>
      </c>
      <c r="AA1819" t="s">
        <v>13283</v>
      </c>
      <c r="AB1819" t="s">
        <v>17059</v>
      </c>
    </row>
    <row r="1820" spans="1:28" x14ac:dyDescent="0.25">
      <c r="A1820" t="s">
        <v>1824</v>
      </c>
      <c r="B1820">
        <v>0.98876768158843997</v>
      </c>
      <c r="C1820">
        <v>1.155990152737</v>
      </c>
      <c r="D1820">
        <v>0.88424765667071303</v>
      </c>
      <c r="E1820">
        <v>0.77599013059537503</v>
      </c>
      <c r="F1820">
        <v>0.89647274239431296</v>
      </c>
      <c r="G1820">
        <v>0.60345583843841799</v>
      </c>
      <c r="H1820">
        <v>0.48919659102367502</v>
      </c>
      <c r="I1820">
        <v>0.60652144265402197</v>
      </c>
      <c r="J1820">
        <v>0.77962411468304305</v>
      </c>
      <c r="K1820">
        <v>0.88447464938006604</v>
      </c>
      <c r="L1820">
        <v>1077.2227180270099</v>
      </c>
      <c r="M1820">
        <v>21.810405115219901</v>
      </c>
      <c r="O1820">
        <v>48.980708691726001</v>
      </c>
      <c r="P1820">
        <v>-3.4762241253408703E-2</v>
      </c>
      <c r="Q1820">
        <v>0.68773792969458902</v>
      </c>
      <c r="R1820">
        <v>0.548160511406521</v>
      </c>
      <c r="S1820" t="s">
        <v>5652</v>
      </c>
      <c r="T1820" t="s">
        <v>7662</v>
      </c>
      <c r="U1820" t="s">
        <v>7662</v>
      </c>
      <c r="V1820" t="s">
        <v>7662</v>
      </c>
      <c r="W1820">
        <v>1</v>
      </c>
      <c r="X1820" t="s">
        <v>9482</v>
      </c>
      <c r="Y1820">
        <v>0.78914193879007088</v>
      </c>
      <c r="Z1820" t="str">
        <f>HYPERLINK("Melting_Curves/meltCurve_sp_Q5VYS8_6_TUT7_HUMAN_.pdf", "Melting_Curves/meltCurve_sp_Q5VYS8_6_TUT7_HUMAN_.pdf")</f>
        <v>Melting_Curves/meltCurve_sp_Q5VYS8_6_TUT7_HUMAN_.pdf</v>
      </c>
      <c r="AA1820" t="s">
        <v>13284</v>
      </c>
      <c r="AB1820" t="s">
        <v>17060</v>
      </c>
    </row>
    <row r="1821" spans="1:28" x14ac:dyDescent="0.25">
      <c r="A1821" t="s">
        <v>1825</v>
      </c>
      <c r="B1821">
        <v>0.98876768158843997</v>
      </c>
      <c r="C1821">
        <v>1.09913355730895</v>
      </c>
      <c r="D1821">
        <v>0.83025094373158503</v>
      </c>
      <c r="E1821">
        <v>0.74936898588062695</v>
      </c>
      <c r="F1821">
        <v>0.79331621788576501</v>
      </c>
      <c r="G1821">
        <v>0.28459233916104998</v>
      </c>
      <c r="H1821">
        <v>0.124088075626044</v>
      </c>
      <c r="I1821">
        <v>9.7897193091203705E-2</v>
      </c>
      <c r="J1821">
        <v>0.156512300628391</v>
      </c>
      <c r="K1821">
        <v>0.144252814581245</v>
      </c>
      <c r="L1821">
        <v>1102.07052064238</v>
      </c>
      <c r="M1821">
        <v>20.3165941775978</v>
      </c>
      <c r="N1821">
        <v>54.793193487203901</v>
      </c>
      <c r="O1821">
        <v>53.727505367064502</v>
      </c>
      <c r="P1821">
        <v>-8.5841214478222003E-2</v>
      </c>
      <c r="Q1821">
        <v>9.1994782316215606E-2</v>
      </c>
      <c r="R1821">
        <v>0.94727076347277195</v>
      </c>
      <c r="S1821" t="s">
        <v>5653</v>
      </c>
      <c r="T1821" t="s">
        <v>7662</v>
      </c>
      <c r="U1821" t="s">
        <v>7662</v>
      </c>
      <c r="V1821" t="s">
        <v>7662</v>
      </c>
      <c r="W1821">
        <v>2</v>
      </c>
      <c r="X1821" t="s">
        <v>9483</v>
      </c>
      <c r="Y1821">
        <v>0.5351279521518767</v>
      </c>
      <c r="Z1821" t="str">
        <f>HYPERLINK("Melting_Curves/meltCurve_sp_Q5VYX0_2_RNLS_HUMAN_.pdf", "Melting_Curves/meltCurve_sp_Q5VYX0_2_RNLS_HUMAN_.pdf")</f>
        <v>Melting_Curves/meltCurve_sp_Q5VYX0_2_RNLS_HUMAN_.pdf</v>
      </c>
      <c r="AA1821" t="s">
        <v>13285</v>
      </c>
      <c r="AB1821" t="s">
        <v>17061</v>
      </c>
    </row>
    <row r="1822" spans="1:28" x14ac:dyDescent="0.25">
      <c r="A1822" t="s">
        <v>1826</v>
      </c>
      <c r="B1822">
        <v>0.98876768158843997</v>
      </c>
      <c r="C1822">
        <v>0.80374004598327298</v>
      </c>
      <c r="D1822">
        <v>0.90293024813104406</v>
      </c>
      <c r="E1822">
        <v>0.83973606657458599</v>
      </c>
      <c r="F1822">
        <v>0.741907254694542</v>
      </c>
      <c r="G1822">
        <v>0.54047887026852803</v>
      </c>
      <c r="H1822">
        <v>0.43255837784506201</v>
      </c>
      <c r="I1822">
        <v>0.36921053669332998</v>
      </c>
      <c r="J1822">
        <v>0.38119755199534699</v>
      </c>
      <c r="K1822">
        <v>0.565775589716355</v>
      </c>
      <c r="L1822">
        <v>647.72789065917095</v>
      </c>
      <c r="M1822">
        <v>12.2905482546341</v>
      </c>
      <c r="N1822">
        <v>60.025580589297498</v>
      </c>
      <c r="O1822">
        <v>51.3643919725694</v>
      </c>
      <c r="P1822">
        <v>-3.6594199843060102E-2</v>
      </c>
      <c r="Q1822">
        <v>0.38839964279501699</v>
      </c>
      <c r="R1822">
        <v>0.85679615478335802</v>
      </c>
      <c r="S1822" t="s">
        <v>5654</v>
      </c>
      <c r="T1822" t="s">
        <v>7662</v>
      </c>
      <c r="U1822" t="s">
        <v>7662</v>
      </c>
      <c r="V1822" t="s">
        <v>7662</v>
      </c>
      <c r="W1822">
        <v>2</v>
      </c>
      <c r="X1822" t="s">
        <v>9484</v>
      </c>
      <c r="Y1822">
        <v>0.66465372166031389</v>
      </c>
      <c r="Z1822" t="str">
        <f>HYPERLINK("Melting_Curves/meltCurve_sp_Q5VZL5_4_ZMYM4_HUMAN_.pdf", "Melting_Curves/meltCurve_sp_Q5VZL5_4_ZMYM4_HUMAN_.pdf")</f>
        <v>Melting_Curves/meltCurve_sp_Q5VZL5_4_ZMYM4_HUMAN_.pdf</v>
      </c>
      <c r="AA1822" t="s">
        <v>13286</v>
      </c>
      <c r="AB1822" t="s">
        <v>17062</v>
      </c>
    </row>
    <row r="1823" spans="1:28" x14ac:dyDescent="0.25">
      <c r="A1823" t="s">
        <v>1827</v>
      </c>
      <c r="B1823">
        <v>0.98876768158843997</v>
      </c>
      <c r="C1823">
        <v>0.93484421235257997</v>
      </c>
      <c r="D1823">
        <v>0.92672209770677905</v>
      </c>
      <c r="E1823">
        <v>0.65302260504194098</v>
      </c>
      <c r="F1823">
        <v>0.61048960556909704</v>
      </c>
      <c r="G1823">
        <v>0.329918410872516</v>
      </c>
      <c r="H1823">
        <v>0.12452388812439</v>
      </c>
      <c r="I1823">
        <v>7.4406074286425303E-2</v>
      </c>
      <c r="J1823">
        <v>8.1600957143306493E-2</v>
      </c>
      <c r="K1823">
        <v>5.4343407896175602E-2</v>
      </c>
      <c r="L1823">
        <v>711.79851599095002</v>
      </c>
      <c r="M1823">
        <v>13.2667591013309</v>
      </c>
      <c r="N1823">
        <v>53.652782044490202</v>
      </c>
      <c r="O1823">
        <v>52.477709256823402</v>
      </c>
      <c r="P1823">
        <v>-6.3212197790373001E-2</v>
      </c>
      <c r="Q1823">
        <v>0</v>
      </c>
      <c r="R1823">
        <v>0.98896967158756799</v>
      </c>
      <c r="S1823" t="s">
        <v>5655</v>
      </c>
      <c r="T1823" t="s">
        <v>7662</v>
      </c>
      <c r="U1823" t="s">
        <v>7662</v>
      </c>
      <c r="V1823" t="s">
        <v>7662</v>
      </c>
      <c r="W1823">
        <v>6</v>
      </c>
      <c r="X1823" t="s">
        <v>9485</v>
      </c>
      <c r="Y1823">
        <v>0.47933326231302742</v>
      </c>
      <c r="Z1823" t="str">
        <f>HYPERLINK("Melting_Curves/meltCurve_sp_Q5W0V3_F16B1_HUMAN_.pdf", "Melting_Curves/meltCurve_sp_Q5W0V3_F16B1_HUMAN_.pdf")</f>
        <v>Melting_Curves/meltCurve_sp_Q5W0V3_F16B1_HUMAN_.pdf</v>
      </c>
      <c r="AA1823" t="s">
        <v>13287</v>
      </c>
      <c r="AB1823" t="s">
        <v>17063</v>
      </c>
    </row>
    <row r="1824" spans="1:28" x14ac:dyDescent="0.25">
      <c r="A1824" t="s">
        <v>1828</v>
      </c>
      <c r="B1824">
        <v>0.98876768158843997</v>
      </c>
      <c r="C1824">
        <v>1.1408500983619001</v>
      </c>
      <c r="D1824">
        <v>0.90151645345450704</v>
      </c>
      <c r="E1824">
        <v>0.59439263173422296</v>
      </c>
      <c r="F1824">
        <v>0.47217389537151799</v>
      </c>
      <c r="G1824">
        <v>0.105280688063159</v>
      </c>
      <c r="H1824">
        <v>5.5104892642216297E-2</v>
      </c>
      <c r="I1824">
        <v>6.0099063893493697E-2</v>
      </c>
      <c r="J1824">
        <v>4.2417664991412002E-2</v>
      </c>
      <c r="K1824">
        <v>4.0661123528128298E-2</v>
      </c>
      <c r="L1824">
        <v>1014.8108439167301</v>
      </c>
      <c r="M1824">
        <v>19.671947035964799</v>
      </c>
      <c r="N1824">
        <v>51.72731613373</v>
      </c>
      <c r="O1824">
        <v>51.062491588653302</v>
      </c>
      <c r="P1824">
        <v>-9.3808778032173801E-2</v>
      </c>
      <c r="Q1824">
        <v>2.60356979834197E-2</v>
      </c>
      <c r="R1824">
        <v>0.97714341115959502</v>
      </c>
      <c r="S1824" t="s">
        <v>5656</v>
      </c>
      <c r="T1824" t="s">
        <v>7662</v>
      </c>
      <c r="U1824" t="s">
        <v>7662</v>
      </c>
      <c r="V1824" t="s">
        <v>7662</v>
      </c>
      <c r="W1824">
        <v>2</v>
      </c>
      <c r="X1824" t="s">
        <v>9486</v>
      </c>
      <c r="Y1824">
        <v>0.4161145197280679</v>
      </c>
      <c r="Z1824" t="str">
        <f>HYPERLINK("Melting_Curves/meltCurve_sp_Q5W111_2_SPRY7_HUMAN_.pdf", "Melting_Curves/meltCurve_sp_Q5W111_2_SPRY7_HUMAN_.pdf")</f>
        <v>Melting_Curves/meltCurve_sp_Q5W111_2_SPRY7_HUMAN_.pdf</v>
      </c>
      <c r="AA1824" t="s">
        <v>13288</v>
      </c>
      <c r="AB1824" t="s">
        <v>17064</v>
      </c>
    </row>
    <row r="1825" spans="1:28" x14ac:dyDescent="0.25">
      <c r="A1825" t="s">
        <v>1829</v>
      </c>
      <c r="B1825">
        <v>0.98876768158843997</v>
      </c>
      <c r="C1825">
        <v>1.1047986853648599</v>
      </c>
      <c r="D1825">
        <v>0.82909120776886502</v>
      </c>
      <c r="E1825">
        <v>0.46587057771009599</v>
      </c>
      <c r="F1825">
        <v>9.1669145664068502E-2</v>
      </c>
      <c r="G1825">
        <v>5.9138646425663098E-2</v>
      </c>
      <c r="H1825">
        <v>4.6580378711669097E-2</v>
      </c>
      <c r="I1825">
        <v>3.9103277991445903E-2</v>
      </c>
      <c r="J1825">
        <v>4.5337239294060798E-2</v>
      </c>
      <c r="K1825">
        <v>4.1858852707163899E-2</v>
      </c>
      <c r="L1825">
        <v>1434.3471819141901</v>
      </c>
      <c r="M1825">
        <v>29.090218913499701</v>
      </c>
      <c r="N1825">
        <v>49.432886646712802</v>
      </c>
      <c r="O1825">
        <v>49.075613312790097</v>
      </c>
      <c r="P1825">
        <v>-0.14289527036385999</v>
      </c>
      <c r="Q1825">
        <v>3.5741732005551502E-2</v>
      </c>
      <c r="R1825">
        <v>0.98662015215499299</v>
      </c>
      <c r="S1825" t="s">
        <v>5657</v>
      </c>
      <c r="T1825" t="s">
        <v>7662</v>
      </c>
      <c r="U1825" t="s">
        <v>7662</v>
      </c>
      <c r="V1825" t="s">
        <v>7662</v>
      </c>
      <c r="W1825">
        <v>3</v>
      </c>
      <c r="X1825" t="s">
        <v>9487</v>
      </c>
      <c r="Y1825">
        <v>0.34116437586768722</v>
      </c>
      <c r="Z1825" t="str">
        <f>HYPERLINK("Melting_Curves/meltCurve_sp_Q63HM1_KFA_HUMAN_.pdf", "Melting_Curves/meltCurve_sp_Q63HM1_KFA_HUMAN_.pdf")</f>
        <v>Melting_Curves/meltCurve_sp_Q63HM1_KFA_HUMAN_.pdf</v>
      </c>
      <c r="AA1825" t="s">
        <v>13289</v>
      </c>
      <c r="AB1825" t="s">
        <v>17065</v>
      </c>
    </row>
    <row r="1826" spans="1:28" x14ac:dyDescent="0.25">
      <c r="A1826" t="s">
        <v>1830</v>
      </c>
      <c r="B1826">
        <v>0.98876768158843997</v>
      </c>
      <c r="C1826">
        <v>0.88765290047289802</v>
      </c>
      <c r="D1826">
        <v>0.88473105919679895</v>
      </c>
      <c r="E1826">
        <v>0.54878526099954905</v>
      </c>
      <c r="F1826">
        <v>0.30397330989722299</v>
      </c>
      <c r="G1826">
        <v>0.15432930180808799</v>
      </c>
      <c r="H1826">
        <v>9.7903213832719896E-2</v>
      </c>
      <c r="I1826">
        <v>6.2138963973537402E-2</v>
      </c>
      <c r="J1826">
        <v>0.113569246174878</v>
      </c>
      <c r="K1826">
        <v>9.7993159275794203E-2</v>
      </c>
      <c r="L1826">
        <v>973.04115283158103</v>
      </c>
      <c r="M1826">
        <v>19.447101797799899</v>
      </c>
      <c r="N1826">
        <v>50.483597647854303</v>
      </c>
      <c r="O1826">
        <v>49.5152313834814</v>
      </c>
      <c r="P1826">
        <v>-9.0404055836161706E-2</v>
      </c>
      <c r="Q1826">
        <v>7.9304791270669805E-2</v>
      </c>
      <c r="R1826">
        <v>0.993179922345094</v>
      </c>
      <c r="S1826" t="s">
        <v>5658</v>
      </c>
      <c r="T1826" t="s">
        <v>7662</v>
      </c>
      <c r="U1826" t="s">
        <v>7662</v>
      </c>
      <c r="V1826" t="s">
        <v>7662</v>
      </c>
      <c r="W1826">
        <v>10</v>
      </c>
      <c r="X1826" t="s">
        <v>9488</v>
      </c>
      <c r="Y1826">
        <v>0.40081843572301479</v>
      </c>
      <c r="Z1826" t="str">
        <f>HYPERLINK("Melting_Curves/meltCurve_sp_Q63HN8_RN213_HUMAN_.pdf", "Melting_Curves/meltCurve_sp_Q63HN8_RN213_HUMAN_.pdf")</f>
        <v>Melting_Curves/meltCurve_sp_Q63HN8_RN213_HUMAN_.pdf</v>
      </c>
      <c r="AA1826" t="s">
        <v>13290</v>
      </c>
      <c r="AB1826" t="s">
        <v>17066</v>
      </c>
    </row>
    <row r="1827" spans="1:28" x14ac:dyDescent="0.25">
      <c r="A1827" t="s">
        <v>1831</v>
      </c>
      <c r="B1827">
        <v>0.98876768158843997</v>
      </c>
      <c r="C1827">
        <v>1.0104432487480399</v>
      </c>
      <c r="D1827">
        <v>0.91142513064847497</v>
      </c>
      <c r="E1827">
        <v>0.68433068525052498</v>
      </c>
      <c r="F1827">
        <v>0.604633962316942</v>
      </c>
      <c r="G1827">
        <v>0.27548973409527999</v>
      </c>
      <c r="H1827">
        <v>0.14454453811238399</v>
      </c>
      <c r="I1827">
        <v>0.11518172246458699</v>
      </c>
      <c r="J1827">
        <v>0.14564543773375899</v>
      </c>
      <c r="K1827">
        <v>0.13781022177618199</v>
      </c>
      <c r="L1827">
        <v>866.64632630607605</v>
      </c>
      <c r="M1827">
        <v>16.431526493067</v>
      </c>
      <c r="N1827">
        <v>53.415679496531901</v>
      </c>
      <c r="O1827">
        <v>51.980292449582898</v>
      </c>
      <c r="P1827">
        <v>-7.1645797045282497E-2</v>
      </c>
      <c r="Q1827">
        <v>9.3473217311539195E-2</v>
      </c>
      <c r="R1827">
        <v>0.98921734814326001</v>
      </c>
      <c r="S1827" t="s">
        <v>5659</v>
      </c>
      <c r="T1827" t="s">
        <v>7662</v>
      </c>
      <c r="U1827" t="s">
        <v>7662</v>
      </c>
      <c r="V1827" t="s">
        <v>7662</v>
      </c>
      <c r="W1827">
        <v>13</v>
      </c>
      <c r="X1827" t="s">
        <v>9489</v>
      </c>
      <c r="Y1827">
        <v>0.49575795198812972</v>
      </c>
      <c r="Z1827" t="str">
        <f>HYPERLINK("Melting_Curves/meltCurve_sp_Q63HR2_2_TENC1_HUMAN_.pdf", "Melting_Curves/meltCurve_sp_Q63HR2_2_TENC1_HUMAN_.pdf")</f>
        <v>Melting_Curves/meltCurve_sp_Q63HR2_2_TENC1_HUMAN_.pdf</v>
      </c>
      <c r="AA1827" t="s">
        <v>13291</v>
      </c>
      <c r="AB1827" t="s">
        <v>17067</v>
      </c>
    </row>
    <row r="1828" spans="1:28" x14ac:dyDescent="0.25">
      <c r="A1828" t="s">
        <v>1832</v>
      </c>
      <c r="B1828">
        <v>0.98876768158843997</v>
      </c>
      <c r="C1828">
        <v>0.98904263700011497</v>
      </c>
      <c r="D1828">
        <v>0.76278466350649898</v>
      </c>
      <c r="E1828">
        <v>0.59786004864084297</v>
      </c>
      <c r="F1828">
        <v>0.41507514482964603</v>
      </c>
      <c r="G1828">
        <v>0.25658172249778299</v>
      </c>
      <c r="H1828">
        <v>0.172731366415662</v>
      </c>
      <c r="I1828">
        <v>0.17337033452525</v>
      </c>
      <c r="J1828">
        <v>0.23257463847180701</v>
      </c>
      <c r="K1828">
        <v>0.240991790780687</v>
      </c>
      <c r="L1828">
        <v>814.17096216851996</v>
      </c>
      <c r="M1828">
        <v>16.4160504241387</v>
      </c>
      <c r="N1828">
        <v>51.062950845847297</v>
      </c>
      <c r="O1828">
        <v>48.8775841492469</v>
      </c>
      <c r="P1828">
        <v>-6.8184900050280897E-2</v>
      </c>
      <c r="Q1828">
        <v>0.18799545456144301</v>
      </c>
      <c r="R1828">
        <v>0.98500987081560898</v>
      </c>
      <c r="S1828" t="s">
        <v>5660</v>
      </c>
      <c r="T1828" t="s">
        <v>7662</v>
      </c>
      <c r="U1828" t="s">
        <v>7662</v>
      </c>
      <c r="V1828" t="s">
        <v>7662</v>
      </c>
      <c r="W1828">
        <v>6</v>
      </c>
      <c r="X1828" t="s">
        <v>9490</v>
      </c>
      <c r="Y1828">
        <v>0.46433517938470242</v>
      </c>
      <c r="Z1828" t="str">
        <f>HYPERLINK("Melting_Curves/meltCurve_sp_Q63ZY3_3_KANK2_HUMAN_.pdf", "Melting_Curves/meltCurve_sp_Q63ZY3_3_KANK2_HUMAN_.pdf")</f>
        <v>Melting_Curves/meltCurve_sp_Q63ZY3_3_KANK2_HUMAN_.pdf</v>
      </c>
      <c r="AA1828" t="s">
        <v>13292</v>
      </c>
      <c r="AB1828" t="s">
        <v>17068</v>
      </c>
    </row>
    <row r="1829" spans="1:28" x14ac:dyDescent="0.25">
      <c r="A1829" t="s">
        <v>1833</v>
      </c>
      <c r="B1829">
        <v>0.98876768158843997</v>
      </c>
      <c r="C1829">
        <v>0.91551606107099104</v>
      </c>
      <c r="D1829">
        <v>0.89072132310552898</v>
      </c>
      <c r="E1829">
        <v>0.71666943498283597</v>
      </c>
      <c r="F1829">
        <v>0.66220987454454205</v>
      </c>
      <c r="G1829">
        <v>0.36349255229566402</v>
      </c>
      <c r="H1829">
        <v>0.239310613142665</v>
      </c>
      <c r="I1829">
        <v>0.18412873677682801</v>
      </c>
      <c r="J1829">
        <v>0.31323257947271899</v>
      </c>
      <c r="K1829">
        <v>0.28170523659225599</v>
      </c>
      <c r="L1829">
        <v>786.09890684584502</v>
      </c>
      <c r="M1829">
        <v>15.004775428919</v>
      </c>
      <c r="N1829">
        <v>54.423179072500503</v>
      </c>
      <c r="O1829">
        <v>51.4857853996836</v>
      </c>
      <c r="P1829">
        <v>-5.7231883422777699E-2</v>
      </c>
      <c r="Q1829">
        <v>0.21456174007691001</v>
      </c>
      <c r="R1829">
        <v>0.96528597720846498</v>
      </c>
      <c r="S1829" t="s">
        <v>5661</v>
      </c>
      <c r="T1829" t="s">
        <v>7662</v>
      </c>
      <c r="U1829" t="s">
        <v>7662</v>
      </c>
      <c r="V1829" t="s">
        <v>7662</v>
      </c>
      <c r="W1829">
        <v>1</v>
      </c>
      <c r="X1829" t="s">
        <v>9491</v>
      </c>
      <c r="Y1829">
        <v>0.55625215945899031</v>
      </c>
      <c r="Z1829" t="str">
        <f>HYPERLINK("Melting_Curves/meltCurve_sp_Q63ZY6_4_NSN5C_HUMAN_.pdf", "Melting_Curves/meltCurve_sp_Q63ZY6_4_NSN5C_HUMAN_.pdf")</f>
        <v>Melting_Curves/meltCurve_sp_Q63ZY6_4_NSN5C_HUMAN_.pdf</v>
      </c>
      <c r="AA1829" t="s">
        <v>13293</v>
      </c>
      <c r="AB1829" t="s">
        <v>17069</v>
      </c>
    </row>
    <row r="1830" spans="1:28" x14ac:dyDescent="0.25">
      <c r="A1830" t="s">
        <v>1834</v>
      </c>
      <c r="B1830">
        <v>0.98876768158843997</v>
      </c>
      <c r="C1830">
        <v>0.85965284436434797</v>
      </c>
      <c r="D1830">
        <v>0.77851278991905903</v>
      </c>
      <c r="E1830">
        <v>0.44126816047904799</v>
      </c>
      <c r="F1830">
        <v>0.29614960644620297</v>
      </c>
      <c r="G1830">
        <v>0.14601562125039499</v>
      </c>
      <c r="H1830">
        <v>0.10636446098961599</v>
      </c>
      <c r="I1830">
        <v>9.4162283950376305E-2</v>
      </c>
      <c r="J1830">
        <v>0.105574852058212</v>
      </c>
      <c r="K1830">
        <v>0.12495138448243</v>
      </c>
      <c r="L1830">
        <v>794.79921089960499</v>
      </c>
      <c r="M1830">
        <v>16.313100056362501</v>
      </c>
      <c r="N1830">
        <v>49.311355062791598</v>
      </c>
      <c r="O1830">
        <v>48.007032076044503</v>
      </c>
      <c r="P1830">
        <v>-7.7427651156581206E-2</v>
      </c>
      <c r="Q1830">
        <v>8.8633909767430005E-2</v>
      </c>
      <c r="R1830">
        <v>0.99490006668937003</v>
      </c>
      <c r="S1830" t="s">
        <v>5662</v>
      </c>
      <c r="T1830" t="s">
        <v>7662</v>
      </c>
      <c r="U1830" t="s">
        <v>7662</v>
      </c>
      <c r="V1830" t="s">
        <v>7662</v>
      </c>
      <c r="W1830">
        <v>5</v>
      </c>
      <c r="X1830" t="s">
        <v>9492</v>
      </c>
      <c r="Y1830">
        <v>0.37290310629142098</v>
      </c>
      <c r="Z1830" t="str">
        <f>HYPERLINK("Melting_Curves/meltCurve_sp_Q66K14_2_TBC9B_HUMAN_.pdf", "Melting_Curves/meltCurve_sp_Q66K14_2_TBC9B_HUMAN_.pdf")</f>
        <v>Melting_Curves/meltCurve_sp_Q66K14_2_TBC9B_HUMAN_.pdf</v>
      </c>
      <c r="AA1830" t="s">
        <v>13294</v>
      </c>
      <c r="AB1830" t="s">
        <v>17070</v>
      </c>
    </row>
    <row r="1831" spans="1:28" x14ac:dyDescent="0.25">
      <c r="A1831" t="s">
        <v>1835</v>
      </c>
      <c r="B1831">
        <v>0.98876768158843997</v>
      </c>
      <c r="C1831">
        <v>0.86858009196683805</v>
      </c>
      <c r="D1831">
        <v>0.86419714387434798</v>
      </c>
      <c r="E1831">
        <v>0.63493896479513401</v>
      </c>
      <c r="F1831">
        <v>0.34272732543597001</v>
      </c>
      <c r="G1831">
        <v>0.16533546370091301</v>
      </c>
      <c r="H1831">
        <v>0.12834069817947</v>
      </c>
      <c r="I1831">
        <v>0.136651428502436</v>
      </c>
      <c r="J1831">
        <v>0.15965822922421199</v>
      </c>
      <c r="K1831">
        <v>0.16370534634623801</v>
      </c>
      <c r="L1831">
        <v>972.83870417897697</v>
      </c>
      <c r="M1831">
        <v>19.354688021251199</v>
      </c>
      <c r="N1831">
        <v>51.029517532752301</v>
      </c>
      <c r="O1831">
        <v>49.736372542119902</v>
      </c>
      <c r="P1831">
        <v>-8.5027896714719206E-2</v>
      </c>
      <c r="Q1831">
        <v>0.12603658054120601</v>
      </c>
      <c r="R1831">
        <v>0.98462404737604103</v>
      </c>
      <c r="S1831" t="s">
        <v>5663</v>
      </c>
      <c r="T1831" t="s">
        <v>7662</v>
      </c>
      <c r="U1831" t="s">
        <v>7662</v>
      </c>
      <c r="V1831" t="s">
        <v>7662</v>
      </c>
      <c r="W1831">
        <v>2</v>
      </c>
      <c r="X1831" t="s">
        <v>9493</v>
      </c>
      <c r="Y1831">
        <v>0.43798709892376991</v>
      </c>
      <c r="Z1831" t="str">
        <f>HYPERLINK("Melting_Curves/meltCurve_sp_Q66PJ3_AR6P4_HUMAN_.pdf", "Melting_Curves/meltCurve_sp_Q66PJ3_AR6P4_HUMAN_.pdf")</f>
        <v>Melting_Curves/meltCurve_sp_Q66PJ3_AR6P4_HUMAN_.pdf</v>
      </c>
      <c r="AA1831" t="s">
        <v>13295</v>
      </c>
      <c r="AB1831" t="s">
        <v>17071</v>
      </c>
    </row>
    <row r="1832" spans="1:28" x14ac:dyDescent="0.25">
      <c r="A1832" t="s">
        <v>1836</v>
      </c>
      <c r="B1832">
        <v>0.98876768158843997</v>
      </c>
      <c r="C1832">
        <v>0.94662411513959999</v>
      </c>
      <c r="D1832">
        <v>1.0329105073612499</v>
      </c>
      <c r="E1832">
        <v>0.80908324262561004</v>
      </c>
      <c r="F1832">
        <v>0.63794731689920603</v>
      </c>
      <c r="G1832">
        <v>0.362613086265896</v>
      </c>
      <c r="H1832">
        <v>0.247646946500545</v>
      </c>
      <c r="I1832">
        <v>0.28312227881244301</v>
      </c>
      <c r="J1832">
        <v>0.281720233829303</v>
      </c>
      <c r="K1832">
        <v>0.35022385418649499</v>
      </c>
      <c r="L1832">
        <v>1348.4669491694001</v>
      </c>
      <c r="M1832">
        <v>25.6466349788898</v>
      </c>
      <c r="N1832">
        <v>54.358781782578603</v>
      </c>
      <c r="O1832">
        <v>52.262162862952401</v>
      </c>
      <c r="P1832">
        <v>-8.7828199377667907E-2</v>
      </c>
      <c r="Q1832">
        <v>0.28411100742612899</v>
      </c>
      <c r="R1832">
        <v>0.98359347144968101</v>
      </c>
      <c r="S1832" t="s">
        <v>5664</v>
      </c>
      <c r="T1832" t="s">
        <v>7662</v>
      </c>
      <c r="U1832" t="s">
        <v>7662</v>
      </c>
      <c r="V1832" t="s">
        <v>7662</v>
      </c>
      <c r="W1832">
        <v>7</v>
      </c>
      <c r="X1832" t="s">
        <v>9494</v>
      </c>
      <c r="Y1832">
        <v>0.59053428306279343</v>
      </c>
      <c r="Z1832" t="str">
        <f>HYPERLINK("Melting_Curves/meltCurve_sp_Q676U5_2_A16L1_HUMAN_.pdf", "Melting_Curves/meltCurve_sp_Q676U5_2_A16L1_HUMAN_.pdf")</f>
        <v>Melting_Curves/meltCurve_sp_Q676U5_2_A16L1_HUMAN_.pdf</v>
      </c>
      <c r="AA1832" t="s">
        <v>13296</v>
      </c>
      <c r="AB1832" t="s">
        <v>17072</v>
      </c>
    </row>
    <row r="1833" spans="1:28" x14ac:dyDescent="0.25">
      <c r="A1833" t="s">
        <v>1837</v>
      </c>
      <c r="B1833">
        <v>0.98876768158843997</v>
      </c>
      <c r="C1833">
        <v>0.51847981097916096</v>
      </c>
      <c r="D1833">
        <v>0.51257961165170696</v>
      </c>
      <c r="E1833">
        <v>0.21327671063047801</v>
      </c>
      <c r="F1833">
        <v>9.1536815597416596E-2</v>
      </c>
      <c r="G1833">
        <v>4.07168605629597E-2</v>
      </c>
      <c r="H1833">
        <v>2.3890393614405401E-2</v>
      </c>
      <c r="I1833">
        <v>2.08373942392884E-2</v>
      </c>
      <c r="J1833">
        <v>1.4529196630911199E-2</v>
      </c>
      <c r="K1833">
        <v>9.9006859614153408E-3</v>
      </c>
      <c r="L1833">
        <v>639.99110543933296</v>
      </c>
      <c r="M1833">
        <v>14.185830550579301</v>
      </c>
      <c r="N1833">
        <v>45.128320832788702</v>
      </c>
      <c r="O1833">
        <v>44.246662207901402</v>
      </c>
      <c r="P1833">
        <v>-7.9992236716170895E-2</v>
      </c>
      <c r="Q1833">
        <v>2.1179062888040398E-3</v>
      </c>
      <c r="R1833">
        <v>0.95042727398034899</v>
      </c>
      <c r="S1833" t="s">
        <v>5665</v>
      </c>
      <c r="T1833" t="s">
        <v>7662</v>
      </c>
      <c r="U1833" t="s">
        <v>7662</v>
      </c>
      <c r="V1833" t="s">
        <v>7662</v>
      </c>
      <c r="W1833">
        <v>27</v>
      </c>
      <c r="X1833" t="s">
        <v>9495</v>
      </c>
      <c r="Y1833">
        <v>0.20780176484712931</v>
      </c>
      <c r="Z1833" t="str">
        <f>HYPERLINK("Melting_Curves/meltCurve_sp_Q68CK6_ACS2B_HUMAN_.pdf", "Melting_Curves/meltCurve_sp_Q68CK6_ACS2B_HUMAN_.pdf")</f>
        <v>Melting_Curves/meltCurve_sp_Q68CK6_ACS2B_HUMAN_.pdf</v>
      </c>
      <c r="AA1833" t="s">
        <v>13297</v>
      </c>
      <c r="AB1833" t="s">
        <v>17073</v>
      </c>
    </row>
    <row r="1834" spans="1:28" x14ac:dyDescent="0.25">
      <c r="A1834" t="s">
        <v>1838</v>
      </c>
      <c r="B1834">
        <v>0.98876768158843997</v>
      </c>
      <c r="C1834">
        <v>0.88712186224947198</v>
      </c>
      <c r="D1834">
        <v>0.71278885034147699</v>
      </c>
      <c r="E1834">
        <v>0.41855902635633702</v>
      </c>
      <c r="F1834">
        <v>0.25154715982398501</v>
      </c>
      <c r="G1834">
        <v>0.20075742106803801</v>
      </c>
      <c r="H1834">
        <v>0.158644455959009</v>
      </c>
      <c r="I1834">
        <v>0.187488590499677</v>
      </c>
      <c r="J1834">
        <v>0.21757852063972799</v>
      </c>
      <c r="K1834">
        <v>0.22822864046854699</v>
      </c>
      <c r="L1834">
        <v>945.69244704687901</v>
      </c>
      <c r="M1834">
        <v>19.976993561234</v>
      </c>
      <c r="N1834">
        <v>48.490302718903003</v>
      </c>
      <c r="O1834">
        <v>46.872372555593799</v>
      </c>
      <c r="P1834">
        <v>-8.6432546170546701E-2</v>
      </c>
      <c r="Q1834">
        <v>0.188833690661912</v>
      </c>
      <c r="R1834">
        <v>0.99389784556207605</v>
      </c>
      <c r="S1834" t="s">
        <v>5666</v>
      </c>
      <c r="T1834" t="s">
        <v>7662</v>
      </c>
      <c r="U1834" t="s">
        <v>7662</v>
      </c>
      <c r="V1834" t="s">
        <v>7662</v>
      </c>
      <c r="W1834">
        <v>1</v>
      </c>
      <c r="X1834" t="s">
        <v>9496</v>
      </c>
      <c r="Y1834">
        <v>0.39903330465738451</v>
      </c>
      <c r="Z1834" t="str">
        <f>HYPERLINK("Melting_Curves/meltCurve_sp_Q68CQ4_DIEXF_HUMAN_.pdf", "Melting_Curves/meltCurve_sp_Q68CQ4_DIEXF_HUMAN_.pdf")</f>
        <v>Melting_Curves/meltCurve_sp_Q68CQ4_DIEXF_HUMAN_.pdf</v>
      </c>
      <c r="AA1834" t="s">
        <v>13298</v>
      </c>
      <c r="AB1834" t="s">
        <v>17074</v>
      </c>
    </row>
    <row r="1835" spans="1:28" x14ac:dyDescent="0.25">
      <c r="A1835" t="s">
        <v>1839</v>
      </c>
      <c r="B1835">
        <v>0.98876768158843997</v>
      </c>
      <c r="C1835">
        <v>1.0553204931206499</v>
      </c>
      <c r="D1835">
        <v>0.81695201137062601</v>
      </c>
      <c r="E1835">
        <v>0.47105140573044302</v>
      </c>
      <c r="F1835">
        <v>0.33460850139958398</v>
      </c>
      <c r="G1835">
        <v>0.219997463088934</v>
      </c>
      <c r="H1835">
        <v>0.175391315078118</v>
      </c>
      <c r="I1835">
        <v>0.18916036656417001</v>
      </c>
      <c r="J1835">
        <v>0.39473655283267101</v>
      </c>
      <c r="K1835">
        <v>0.24659912627413</v>
      </c>
      <c r="L1835">
        <v>1302.1908420048101</v>
      </c>
      <c r="M1835">
        <v>26.945190058005899</v>
      </c>
      <c r="N1835">
        <v>49.5783564696941</v>
      </c>
      <c r="O1835">
        <v>48.063540524079201</v>
      </c>
      <c r="P1835">
        <v>-0.10558443283772501</v>
      </c>
      <c r="Q1835">
        <v>0.246661330583654</v>
      </c>
      <c r="R1835">
        <v>0.96107999567936597</v>
      </c>
      <c r="S1835" t="s">
        <v>5667</v>
      </c>
      <c r="T1835" t="s">
        <v>7662</v>
      </c>
      <c r="U1835" t="s">
        <v>7662</v>
      </c>
      <c r="V1835" t="s">
        <v>7662</v>
      </c>
      <c r="W1835">
        <v>12</v>
      </c>
      <c r="X1835" t="s">
        <v>9497</v>
      </c>
      <c r="Y1835">
        <v>0.46146244356265981</v>
      </c>
      <c r="Z1835" t="str">
        <f>HYPERLINK("Melting_Curves/meltCurve_sp_Q68CZ2_TENS3_HUMAN_.pdf", "Melting_Curves/meltCurve_sp_Q68CZ2_TENS3_HUMAN_.pdf")</f>
        <v>Melting_Curves/meltCurve_sp_Q68CZ2_TENS3_HUMAN_.pdf</v>
      </c>
      <c r="AA1835" t="s">
        <v>13299</v>
      </c>
      <c r="AB1835" t="s">
        <v>17075</v>
      </c>
    </row>
    <row r="1836" spans="1:28" x14ac:dyDescent="0.25">
      <c r="A1836" t="s">
        <v>1840</v>
      </c>
      <c r="B1836">
        <v>0.98876768158843997</v>
      </c>
      <c r="C1836">
        <v>0.86548862771415502</v>
      </c>
      <c r="D1836">
        <v>0.78543051549278098</v>
      </c>
      <c r="E1836">
        <v>0.64729338744229103</v>
      </c>
      <c r="F1836">
        <v>0.35260217386787102</v>
      </c>
      <c r="G1836">
        <v>0.17879550788642201</v>
      </c>
      <c r="H1836">
        <v>0.154967716674421</v>
      </c>
      <c r="I1836">
        <v>0.14093832824608399</v>
      </c>
      <c r="J1836">
        <v>0.23989619130836701</v>
      </c>
      <c r="K1836">
        <v>7.7660688392919702E-2</v>
      </c>
      <c r="L1836">
        <v>735.18200523489202</v>
      </c>
      <c r="M1836">
        <v>14.6843016935882</v>
      </c>
      <c r="N1836">
        <v>50.936615503876901</v>
      </c>
      <c r="O1836">
        <v>49.164836229439999</v>
      </c>
      <c r="P1836">
        <v>-6.6387754630057999E-2</v>
      </c>
      <c r="Q1836">
        <v>0.111000392628609</v>
      </c>
      <c r="R1836">
        <v>0.97076366955454996</v>
      </c>
      <c r="S1836" t="s">
        <v>5668</v>
      </c>
      <c r="T1836" t="s">
        <v>7662</v>
      </c>
      <c r="U1836" t="s">
        <v>7662</v>
      </c>
      <c r="V1836" t="s">
        <v>7662</v>
      </c>
      <c r="W1836">
        <v>1</v>
      </c>
      <c r="X1836" t="s">
        <v>9498</v>
      </c>
      <c r="Y1836">
        <v>0.43124389007168751</v>
      </c>
      <c r="Z1836" t="str">
        <f>HYPERLINK("Melting_Curves/meltCurve_sp_Q68EM7_6_RHG17_HUMAN_.pdf", "Melting_Curves/meltCurve_sp_Q68EM7_6_RHG17_HUMAN_.pdf")</f>
        <v>Melting_Curves/meltCurve_sp_Q68EM7_6_RHG17_HUMAN_.pdf</v>
      </c>
      <c r="AA1836" t="s">
        <v>13300</v>
      </c>
      <c r="AB1836" t="s">
        <v>17076</v>
      </c>
    </row>
    <row r="1837" spans="1:28" x14ac:dyDescent="0.25">
      <c r="A1837" t="s">
        <v>1841</v>
      </c>
      <c r="B1837">
        <v>0.98876768158843997</v>
      </c>
      <c r="C1837">
        <v>0.981819968199799</v>
      </c>
      <c r="D1837">
        <v>0.82803372085823301</v>
      </c>
      <c r="E1837">
        <v>0.64134578187244096</v>
      </c>
      <c r="F1837">
        <v>0.33126878385495501</v>
      </c>
      <c r="G1837">
        <v>0.119143382232656</v>
      </c>
      <c r="H1837">
        <v>8.4963518764825205E-2</v>
      </c>
      <c r="I1837">
        <v>7.4912932414050698E-2</v>
      </c>
      <c r="J1837">
        <v>0.12038917451732301</v>
      </c>
      <c r="K1837">
        <v>9.80915218641632E-2</v>
      </c>
      <c r="L1837">
        <v>1026.0328496617201</v>
      </c>
      <c r="M1837">
        <v>20.277914784547502</v>
      </c>
      <c r="N1837">
        <v>51.005170278818298</v>
      </c>
      <c r="O1837">
        <v>50.114161337380096</v>
      </c>
      <c r="P1837">
        <v>-9.3611414912328397E-2</v>
      </c>
      <c r="Q1837">
        <v>7.4636024149222102E-2</v>
      </c>
      <c r="R1837">
        <v>0.99219808041481805</v>
      </c>
      <c r="S1837" t="s">
        <v>5669</v>
      </c>
      <c r="T1837" t="s">
        <v>7662</v>
      </c>
      <c r="U1837" t="s">
        <v>7662</v>
      </c>
      <c r="V1837" t="s">
        <v>7662</v>
      </c>
      <c r="W1837">
        <v>3</v>
      </c>
      <c r="X1837" t="s">
        <v>9499</v>
      </c>
      <c r="Y1837">
        <v>0.41407725982523552</v>
      </c>
      <c r="Z1837" t="str">
        <f>HYPERLINK("Melting_Curves/meltCurve_sp_Q69YN2_C19L1_HUMAN_.pdf", "Melting_Curves/meltCurve_sp_Q69YN2_C19L1_HUMAN_.pdf")</f>
        <v>Melting_Curves/meltCurve_sp_Q69YN2_C19L1_HUMAN_.pdf</v>
      </c>
      <c r="AA1837" t="s">
        <v>13301</v>
      </c>
      <c r="AB1837" t="s">
        <v>17077</v>
      </c>
    </row>
    <row r="1838" spans="1:28" x14ac:dyDescent="0.25">
      <c r="A1838" t="s">
        <v>1842</v>
      </c>
      <c r="B1838">
        <v>0.98876768158843997</v>
      </c>
      <c r="C1838">
        <v>0.84681001181750204</v>
      </c>
      <c r="D1838">
        <v>0.87755636114346902</v>
      </c>
      <c r="E1838">
        <v>0.732353768493472</v>
      </c>
      <c r="F1838">
        <v>0.446981410274014</v>
      </c>
      <c r="G1838">
        <v>0.25615348664241999</v>
      </c>
      <c r="H1838">
        <v>0.24641170426687001</v>
      </c>
      <c r="I1838">
        <v>0.200130381123128</v>
      </c>
      <c r="J1838">
        <v>0.421247130780248</v>
      </c>
      <c r="K1838">
        <v>0.24970877713155601</v>
      </c>
      <c r="L1838">
        <v>1065.6377753019599</v>
      </c>
      <c r="M1838">
        <v>21.091602714677599</v>
      </c>
      <c r="N1838">
        <v>52.333327114098701</v>
      </c>
      <c r="O1838">
        <v>50.076662893072999</v>
      </c>
      <c r="P1838">
        <v>-7.8045028614822196E-2</v>
      </c>
      <c r="Q1838">
        <v>0.25882703470056401</v>
      </c>
      <c r="R1838">
        <v>0.92912789755910696</v>
      </c>
      <c r="S1838" t="s">
        <v>5670</v>
      </c>
      <c r="T1838" t="s">
        <v>7662</v>
      </c>
      <c r="U1838" t="s">
        <v>7662</v>
      </c>
      <c r="V1838" t="s">
        <v>7662</v>
      </c>
      <c r="W1838">
        <v>3</v>
      </c>
      <c r="X1838" t="s">
        <v>9500</v>
      </c>
      <c r="Y1838">
        <v>0.52813797728916978</v>
      </c>
      <c r="Z1838" t="str">
        <f>HYPERLINK("Melting_Curves/meltCurve_sp_Q69YQ0_2_CYTSA_HUMAN_.pdf", "Melting_Curves/meltCurve_sp_Q69YQ0_2_CYTSA_HUMAN_.pdf")</f>
        <v>Melting_Curves/meltCurve_sp_Q69YQ0_2_CYTSA_HUMAN_.pdf</v>
      </c>
      <c r="AA1838" t="s">
        <v>13302</v>
      </c>
      <c r="AB1838" t="s">
        <v>17078</v>
      </c>
    </row>
    <row r="1839" spans="1:28" x14ac:dyDescent="0.25">
      <c r="A1839" t="s">
        <v>1843</v>
      </c>
      <c r="B1839">
        <v>0.98876768158843997</v>
      </c>
      <c r="C1839">
        <v>0.98206549294630596</v>
      </c>
      <c r="D1839">
        <v>0.72562773262508196</v>
      </c>
      <c r="E1839">
        <v>0.25514647283020497</v>
      </c>
      <c r="F1839">
        <v>0.15602241222295801</v>
      </c>
      <c r="G1839">
        <v>9.1054417642700405E-2</v>
      </c>
      <c r="H1839">
        <v>6.7011339238306294E-2</v>
      </c>
      <c r="I1839">
        <v>7.7837060929244098E-2</v>
      </c>
      <c r="J1839">
        <v>9.2516437073148494E-2</v>
      </c>
      <c r="K1839">
        <v>8.0070138515933198E-2</v>
      </c>
      <c r="L1839">
        <v>1330.38847049285</v>
      </c>
      <c r="M1839">
        <v>28.033183021343302</v>
      </c>
      <c r="N1839">
        <v>47.768370339793101</v>
      </c>
      <c r="O1839">
        <v>47.218103093934403</v>
      </c>
      <c r="P1839">
        <v>-0.13605409508666999</v>
      </c>
      <c r="Q1839">
        <v>8.3348977456166706E-2</v>
      </c>
      <c r="R1839">
        <v>0.99854300062483303</v>
      </c>
      <c r="S1839" t="s">
        <v>5671</v>
      </c>
      <c r="T1839" t="s">
        <v>7662</v>
      </c>
      <c r="U1839" t="s">
        <v>7662</v>
      </c>
      <c r="V1839" t="s">
        <v>7662</v>
      </c>
      <c r="W1839">
        <v>3</v>
      </c>
      <c r="X1839" t="s">
        <v>9501</v>
      </c>
      <c r="Y1839">
        <v>0.31756972332068789</v>
      </c>
      <c r="Z1839" t="str">
        <f>HYPERLINK("Melting_Curves/meltCurve_sp_Q6A1A2_PDPK2_HUMAN_.pdf", "Melting_Curves/meltCurve_sp_Q6A1A2_PDPK2_HUMAN_.pdf")</f>
        <v>Melting_Curves/meltCurve_sp_Q6A1A2_PDPK2_HUMAN_.pdf</v>
      </c>
      <c r="AA1839" t="s">
        <v>13303</v>
      </c>
      <c r="AB1839" t="s">
        <v>17079</v>
      </c>
    </row>
    <row r="1840" spans="1:28" x14ac:dyDescent="0.25">
      <c r="A1840" t="s">
        <v>1844</v>
      </c>
      <c r="B1840">
        <v>0.98876768158843997</v>
      </c>
      <c r="C1840">
        <v>1.0424216207677</v>
      </c>
      <c r="D1840">
        <v>1.04739539352635</v>
      </c>
      <c r="E1840">
        <v>0.59234788793326199</v>
      </c>
      <c r="F1840">
        <v>0.328986330484488</v>
      </c>
      <c r="G1840">
        <v>0.17820060629812401</v>
      </c>
      <c r="H1840">
        <v>0.14114184622572401</v>
      </c>
      <c r="I1840">
        <v>0.17967197354227399</v>
      </c>
      <c r="J1840">
        <v>0.16555132689857999</v>
      </c>
      <c r="K1840">
        <v>0.22421857055814501</v>
      </c>
      <c r="L1840">
        <v>1820.20244145018</v>
      </c>
      <c r="M1840">
        <v>36.252127226176697</v>
      </c>
      <c r="N1840">
        <v>50.837908907712603</v>
      </c>
      <c r="O1840">
        <v>50.057486405973897</v>
      </c>
      <c r="P1840">
        <v>-0.148358364541231</v>
      </c>
      <c r="Q1840">
        <v>0.180580613669584</v>
      </c>
      <c r="R1840">
        <v>0.98959956265370796</v>
      </c>
      <c r="S1840" t="s">
        <v>5672</v>
      </c>
      <c r="T1840" t="s">
        <v>7662</v>
      </c>
      <c r="U1840" t="s">
        <v>7662</v>
      </c>
      <c r="V1840" t="s">
        <v>7662</v>
      </c>
      <c r="W1840">
        <v>4</v>
      </c>
      <c r="X1840" t="s">
        <v>9502</v>
      </c>
      <c r="Y1840">
        <v>0.46291307518043279</v>
      </c>
      <c r="Z1840" t="str">
        <f>HYPERLINK("Melting_Curves/meltCurve_sp_Q6DD88_ATLA3_HUMAN_.pdf", "Melting_Curves/meltCurve_sp_Q6DD88_ATLA3_HUMAN_.pdf")</f>
        <v>Melting_Curves/meltCurve_sp_Q6DD88_ATLA3_HUMAN_.pdf</v>
      </c>
      <c r="AA1840" t="s">
        <v>13304</v>
      </c>
      <c r="AB1840" t="s">
        <v>17080</v>
      </c>
    </row>
    <row r="1841" spans="1:28" x14ac:dyDescent="0.25">
      <c r="A1841" t="s">
        <v>1845</v>
      </c>
      <c r="B1841">
        <v>0.98876768158843997</v>
      </c>
      <c r="C1841">
        <v>0.98940586622905302</v>
      </c>
      <c r="D1841">
        <v>0.90269329479808103</v>
      </c>
      <c r="E1841">
        <v>0.56276952574790295</v>
      </c>
      <c r="F1841">
        <v>0.276396358803979</v>
      </c>
      <c r="G1841">
        <v>0.12176166531041201</v>
      </c>
      <c r="H1841">
        <v>0.115862066483439</v>
      </c>
      <c r="I1841">
        <v>0.104903659260092</v>
      </c>
      <c r="J1841">
        <v>0.125884641365828</v>
      </c>
      <c r="K1841">
        <v>0.14315226823385599</v>
      </c>
      <c r="L1841">
        <v>1318.23339314288</v>
      </c>
      <c r="M1841">
        <v>26.377008699269801</v>
      </c>
      <c r="N1841">
        <v>50.473233723638202</v>
      </c>
      <c r="O1841">
        <v>49.692019516888003</v>
      </c>
      <c r="P1841">
        <v>-0.117536082267644</v>
      </c>
      <c r="Q1841">
        <v>0.114298364713685</v>
      </c>
      <c r="R1841">
        <v>0.99842090451645205</v>
      </c>
      <c r="S1841" t="s">
        <v>5673</v>
      </c>
      <c r="T1841" t="s">
        <v>7662</v>
      </c>
      <c r="U1841" t="s">
        <v>7662</v>
      </c>
      <c r="V1841" t="s">
        <v>7662</v>
      </c>
      <c r="W1841">
        <v>3</v>
      </c>
      <c r="X1841" t="s">
        <v>9503</v>
      </c>
      <c r="Y1841">
        <v>0.4159453704451197</v>
      </c>
      <c r="Z1841" t="str">
        <f>HYPERLINK("Melting_Curves/meltCurve_sp_Q6DN90_2_IQEC1_HUMAN_.pdf", "Melting_Curves/meltCurve_sp_Q6DN90_2_IQEC1_HUMAN_.pdf")</f>
        <v>Melting_Curves/meltCurve_sp_Q6DN90_2_IQEC1_HUMAN_.pdf</v>
      </c>
      <c r="AA1841" t="s">
        <v>13305</v>
      </c>
      <c r="AB1841" t="s">
        <v>17081</v>
      </c>
    </row>
    <row r="1842" spans="1:28" x14ac:dyDescent="0.25">
      <c r="A1842" t="s">
        <v>1846</v>
      </c>
      <c r="B1842">
        <v>0.98876768158843997</v>
      </c>
      <c r="C1842">
        <v>0.90385265147996996</v>
      </c>
      <c r="D1842">
        <v>0.91365113495905503</v>
      </c>
      <c r="E1842">
        <v>0.64009896156191903</v>
      </c>
      <c r="F1842">
        <v>0.93065380211543403</v>
      </c>
      <c r="G1842">
        <v>0.65411155115040298</v>
      </c>
      <c r="H1842">
        <v>0.510801275402193</v>
      </c>
      <c r="I1842">
        <v>0.45993514621797099</v>
      </c>
      <c r="J1842">
        <v>0.90220939269856204</v>
      </c>
      <c r="K1842">
        <v>0.75875879576357297</v>
      </c>
      <c r="L1842">
        <v>707.82526093753302</v>
      </c>
      <c r="M1842">
        <v>15.0207040783468</v>
      </c>
      <c r="O1842">
        <v>46.311750166970398</v>
      </c>
      <c r="P1842">
        <v>-2.6782234925351901E-2</v>
      </c>
      <c r="Q1842">
        <v>0.66973389671108896</v>
      </c>
      <c r="R1842">
        <v>0.381353776691433</v>
      </c>
      <c r="S1842" t="s">
        <v>5674</v>
      </c>
      <c r="T1842" t="s">
        <v>7662</v>
      </c>
      <c r="U1842" t="s">
        <v>7662</v>
      </c>
      <c r="V1842" t="s">
        <v>7662</v>
      </c>
      <c r="W1842">
        <v>1</v>
      </c>
      <c r="X1842" t="s">
        <v>9504</v>
      </c>
      <c r="Y1842">
        <v>0.75703394598852591</v>
      </c>
      <c r="Z1842" t="str">
        <f>HYPERLINK("Melting_Curves/meltCurve_sp_Q6EEV4_2_GL1AD_HUMAN_.pdf", "Melting_Curves/meltCurve_sp_Q6EEV4_2_GL1AD_HUMAN_.pdf")</f>
        <v>Melting_Curves/meltCurve_sp_Q6EEV4_2_GL1AD_HUMAN_.pdf</v>
      </c>
      <c r="AA1842" t="s">
        <v>13306</v>
      </c>
      <c r="AB1842" t="s">
        <v>17082</v>
      </c>
    </row>
    <row r="1843" spans="1:28" x14ac:dyDescent="0.25">
      <c r="A1843" t="s">
        <v>1847</v>
      </c>
      <c r="B1843">
        <v>0.98876768158843997</v>
      </c>
      <c r="C1843">
        <v>0.88015211958663797</v>
      </c>
      <c r="D1843">
        <v>0.73712723909862499</v>
      </c>
      <c r="E1843">
        <v>0.69219382815708497</v>
      </c>
      <c r="F1843">
        <v>0.67168696330131705</v>
      </c>
      <c r="G1843">
        <v>0.39782264795439698</v>
      </c>
      <c r="H1843">
        <v>0.19889305469533899</v>
      </c>
      <c r="I1843">
        <v>0.17417670209914499</v>
      </c>
      <c r="J1843">
        <v>0.25207457593022897</v>
      </c>
      <c r="K1843">
        <v>0.21497641790388</v>
      </c>
      <c r="L1843">
        <v>478.55233158785597</v>
      </c>
      <c r="M1843">
        <v>8.9500856760119802</v>
      </c>
      <c r="N1843">
        <v>54.338239843157801</v>
      </c>
      <c r="O1843">
        <v>51.001912907888098</v>
      </c>
      <c r="P1843">
        <v>-4.0975618368511497E-2</v>
      </c>
      <c r="Q1843">
        <v>6.6696542533364794E-2</v>
      </c>
      <c r="R1843">
        <v>0.94881012395421205</v>
      </c>
      <c r="S1843" t="s">
        <v>5675</v>
      </c>
      <c r="T1843" t="s">
        <v>7662</v>
      </c>
      <c r="U1843" t="s">
        <v>7662</v>
      </c>
      <c r="V1843" t="s">
        <v>7662</v>
      </c>
      <c r="W1843">
        <v>2</v>
      </c>
      <c r="X1843" t="s">
        <v>9505</v>
      </c>
      <c r="Y1843">
        <v>0.5185076408283702</v>
      </c>
      <c r="Z1843" t="str">
        <f>HYPERLINK("Melting_Curves/meltCurve_sp_Q6EMK4_VASN_HUMAN_.pdf", "Melting_Curves/meltCurve_sp_Q6EMK4_VASN_HUMAN_.pdf")</f>
        <v>Melting_Curves/meltCurve_sp_Q6EMK4_VASN_HUMAN_.pdf</v>
      </c>
      <c r="AA1843" t="s">
        <v>13307</v>
      </c>
      <c r="AB1843" t="s">
        <v>17083</v>
      </c>
    </row>
    <row r="1844" spans="1:28" x14ac:dyDescent="0.25">
      <c r="A1844" t="s">
        <v>1848</v>
      </c>
      <c r="B1844">
        <v>0.98876768158843997</v>
      </c>
      <c r="C1844">
        <v>1.0578609010869899</v>
      </c>
      <c r="D1844">
        <v>0.848070063394053</v>
      </c>
      <c r="E1844">
        <v>0.72279567649247201</v>
      </c>
      <c r="F1844">
        <v>0.79196638291098098</v>
      </c>
      <c r="G1844">
        <v>0.46182504964320797</v>
      </c>
      <c r="H1844">
        <v>0.29791203417909301</v>
      </c>
      <c r="I1844">
        <v>0.30430341927453702</v>
      </c>
      <c r="J1844">
        <v>0.355218517646186</v>
      </c>
      <c r="K1844">
        <v>0.37069172945720702</v>
      </c>
      <c r="L1844">
        <v>764.81597724222399</v>
      </c>
      <c r="M1844">
        <v>14.3803051912138</v>
      </c>
      <c r="N1844">
        <v>56.563165912993398</v>
      </c>
      <c r="O1844">
        <v>52.188185503856502</v>
      </c>
      <c r="P1844">
        <v>-4.9041057951131201E-2</v>
      </c>
      <c r="Q1844">
        <v>0.288176757873848</v>
      </c>
      <c r="R1844">
        <v>0.93232774302353105</v>
      </c>
      <c r="S1844" t="s">
        <v>5676</v>
      </c>
      <c r="T1844" t="s">
        <v>7662</v>
      </c>
      <c r="U1844" t="s">
        <v>7662</v>
      </c>
      <c r="V1844" t="s">
        <v>7662</v>
      </c>
      <c r="W1844">
        <v>8</v>
      </c>
      <c r="X1844" t="s">
        <v>9506</v>
      </c>
      <c r="Y1844">
        <v>0.61710114960252604</v>
      </c>
      <c r="Z1844" t="str">
        <f>HYPERLINK("Melting_Curves/meltCurve_sp_Q6FI81_3_CPIN1_HUMAN_.pdf", "Melting_Curves/meltCurve_sp_Q6FI81_3_CPIN1_HUMAN_.pdf")</f>
        <v>Melting_Curves/meltCurve_sp_Q6FI81_3_CPIN1_HUMAN_.pdf</v>
      </c>
      <c r="AA1844" t="s">
        <v>13308</v>
      </c>
      <c r="AB1844" t="s">
        <v>17084</v>
      </c>
    </row>
    <row r="1845" spans="1:28" x14ac:dyDescent="0.25">
      <c r="A1845" t="s">
        <v>1849</v>
      </c>
      <c r="B1845">
        <v>0.98876768158843997</v>
      </c>
      <c r="C1845">
        <v>1.03141043616698</v>
      </c>
      <c r="D1845">
        <v>1.0072541368979</v>
      </c>
      <c r="E1845">
        <v>0.97835446323971198</v>
      </c>
      <c r="F1845">
        <v>0.91569287273764799</v>
      </c>
      <c r="G1845">
        <v>0.69889149697713004</v>
      </c>
      <c r="H1845">
        <v>0.606832535749672</v>
      </c>
      <c r="I1845">
        <v>0.68318561060693705</v>
      </c>
      <c r="J1845">
        <v>0.64395401007776698</v>
      </c>
      <c r="K1845">
        <v>0.82666206199207004</v>
      </c>
      <c r="L1845">
        <v>3309.3466101886002</v>
      </c>
      <c r="M1845">
        <v>61.476258815411498</v>
      </c>
      <c r="O1845">
        <v>53.7744206797149</v>
      </c>
      <c r="P1845">
        <v>-8.86165584960171E-2</v>
      </c>
      <c r="Q1845">
        <v>0.68994194440571599</v>
      </c>
      <c r="R1845">
        <v>0.88226772632276296</v>
      </c>
      <c r="S1845" t="s">
        <v>5677</v>
      </c>
      <c r="T1845" t="s">
        <v>7662</v>
      </c>
      <c r="U1845" t="s">
        <v>7662</v>
      </c>
      <c r="V1845" t="s">
        <v>7662</v>
      </c>
      <c r="W1845">
        <v>4</v>
      </c>
      <c r="X1845" t="s">
        <v>9507</v>
      </c>
      <c r="Y1845">
        <v>0.83337817094965116</v>
      </c>
      <c r="Z1845" t="str">
        <f>HYPERLINK("Melting_Curves/meltCurve_sp_Q6FIF0_2_ZFAN6_HUMAN_.pdf", "Melting_Curves/meltCurve_sp_Q6FIF0_2_ZFAN6_HUMAN_.pdf")</f>
        <v>Melting_Curves/meltCurve_sp_Q6FIF0_2_ZFAN6_HUMAN_.pdf</v>
      </c>
      <c r="AA1845" t="s">
        <v>13309</v>
      </c>
      <c r="AB1845" t="s">
        <v>17085</v>
      </c>
    </row>
    <row r="1846" spans="1:28" x14ac:dyDescent="0.25">
      <c r="A1846" t="s">
        <v>1850</v>
      </c>
      <c r="B1846">
        <v>0.98876768158843997</v>
      </c>
      <c r="C1846">
        <v>1.0670757701507101</v>
      </c>
      <c r="D1846">
        <v>0.891281269480663</v>
      </c>
      <c r="E1846">
        <v>0.92897452654132595</v>
      </c>
      <c r="F1846">
        <v>1.060622997227</v>
      </c>
      <c r="G1846">
        <v>0.81439501690226701</v>
      </c>
      <c r="H1846">
        <v>0.69087175490091401</v>
      </c>
      <c r="I1846">
        <v>0.86282656368124699</v>
      </c>
      <c r="J1846">
        <v>0.77149619719315299</v>
      </c>
      <c r="K1846">
        <v>0.69338889556891503</v>
      </c>
      <c r="L1846">
        <v>14185.3924678042</v>
      </c>
      <c r="M1846">
        <v>250</v>
      </c>
      <c r="O1846">
        <v>56.737938815300303</v>
      </c>
      <c r="P1846">
        <v>-0.27027126091595899</v>
      </c>
      <c r="Q1846">
        <v>0.75464585216337998</v>
      </c>
      <c r="R1846">
        <v>0.73366314367061902</v>
      </c>
      <c r="S1846" t="s">
        <v>5678</v>
      </c>
      <c r="T1846" t="s">
        <v>7662</v>
      </c>
      <c r="U1846" t="s">
        <v>7662</v>
      </c>
      <c r="V1846" t="s">
        <v>7662</v>
      </c>
      <c r="W1846">
        <v>1</v>
      </c>
      <c r="X1846" t="s">
        <v>9508</v>
      </c>
      <c r="Y1846">
        <v>0.89159073830975921</v>
      </c>
      <c r="Z1846" t="str">
        <f>HYPERLINK("Melting_Curves/meltCurve_sp_Q6GMR7_FAAH2_HUMAN_.pdf", "Melting_Curves/meltCurve_sp_Q6GMR7_FAAH2_HUMAN_.pdf")</f>
        <v>Melting_Curves/meltCurve_sp_Q6GMR7_FAAH2_HUMAN_.pdf</v>
      </c>
      <c r="AA1846" t="s">
        <v>13310</v>
      </c>
      <c r="AB1846" t="s">
        <v>17086</v>
      </c>
    </row>
    <row r="1847" spans="1:28" x14ac:dyDescent="0.25">
      <c r="A1847" t="s">
        <v>1851</v>
      </c>
      <c r="B1847">
        <v>0.98876768158843997</v>
      </c>
      <c r="C1847">
        <v>1.1152763147937299</v>
      </c>
      <c r="D1847">
        <v>0.90279651964304897</v>
      </c>
      <c r="E1847">
        <v>0.82315196373941701</v>
      </c>
      <c r="F1847">
        <v>0.39570384150112498</v>
      </c>
      <c r="G1847">
        <v>9.3510510748550907E-2</v>
      </c>
      <c r="H1847">
        <v>5.2099759509303699E-2</v>
      </c>
      <c r="I1847">
        <v>2.12590837768829E-2</v>
      </c>
      <c r="J1847">
        <v>5.9081373296307103E-2</v>
      </c>
      <c r="K1847">
        <v>9.9747147558662194E-3</v>
      </c>
      <c r="L1847">
        <v>1650.99639470586</v>
      </c>
      <c r="M1847">
        <v>31.6279656909702</v>
      </c>
      <c r="N1847">
        <v>52.307644758367402</v>
      </c>
      <c r="O1847">
        <v>51.993179090518403</v>
      </c>
      <c r="P1847">
        <v>-0.14730930815263099</v>
      </c>
      <c r="Q1847">
        <v>3.1358799730267797E-2</v>
      </c>
      <c r="R1847">
        <v>0.988163110230736</v>
      </c>
      <c r="S1847" t="s">
        <v>5679</v>
      </c>
      <c r="T1847" t="s">
        <v>7662</v>
      </c>
      <c r="U1847" t="s">
        <v>7662</v>
      </c>
      <c r="V1847" t="s">
        <v>7662</v>
      </c>
      <c r="W1847">
        <v>4</v>
      </c>
      <c r="X1847" t="s">
        <v>9509</v>
      </c>
      <c r="Y1847">
        <v>0.4308801249726178</v>
      </c>
      <c r="Z1847" t="str">
        <f>HYPERLINK("Melting_Curves/meltCurve_sp_Q6GMV2_SMYD5_HUMAN_.pdf", "Melting_Curves/meltCurve_sp_Q6GMV2_SMYD5_HUMAN_.pdf")</f>
        <v>Melting_Curves/meltCurve_sp_Q6GMV2_SMYD5_HUMAN_.pdf</v>
      </c>
      <c r="AA1847" t="s">
        <v>13311</v>
      </c>
      <c r="AB1847" t="s">
        <v>17087</v>
      </c>
    </row>
    <row r="1848" spans="1:28" x14ac:dyDescent="0.25">
      <c r="A1848" t="s">
        <v>1852</v>
      </c>
      <c r="B1848">
        <v>0.98876768158843997</v>
      </c>
      <c r="C1848">
        <v>0.98501205986969498</v>
      </c>
      <c r="D1848">
        <v>0.88100888067805005</v>
      </c>
      <c r="E1848">
        <v>0.73438868828302095</v>
      </c>
      <c r="F1848">
        <v>0.79578969156247903</v>
      </c>
      <c r="G1848">
        <v>0.53795207579468296</v>
      </c>
      <c r="H1848">
        <v>0.345868278736157</v>
      </c>
      <c r="I1848">
        <v>0.30877845719917502</v>
      </c>
      <c r="J1848">
        <v>0.253730775544595</v>
      </c>
      <c r="K1848">
        <v>0.28689755564723901</v>
      </c>
      <c r="L1848">
        <v>590.51687543786602</v>
      </c>
      <c r="M1848">
        <v>10.580557937963899</v>
      </c>
      <c r="N1848">
        <v>57.765712633386201</v>
      </c>
      <c r="O1848">
        <v>53.928480840721903</v>
      </c>
      <c r="P1848">
        <v>-4.1686312922151997E-2</v>
      </c>
      <c r="Q1848">
        <v>0.15044212561915299</v>
      </c>
      <c r="R1848">
        <v>0.97059116756147701</v>
      </c>
      <c r="S1848" t="s">
        <v>5680</v>
      </c>
      <c r="T1848" t="s">
        <v>7662</v>
      </c>
      <c r="U1848" t="s">
        <v>7662</v>
      </c>
      <c r="V1848" t="s">
        <v>7662</v>
      </c>
      <c r="W1848">
        <v>6</v>
      </c>
      <c r="X1848" t="s">
        <v>9510</v>
      </c>
      <c r="Y1848">
        <v>0.61678166146158664</v>
      </c>
      <c r="Z1848" t="str">
        <f>HYPERLINK("Melting_Curves/meltCurve_sp_Q6GMV3_PTRD1_HUMAN_.pdf", "Melting_Curves/meltCurve_sp_Q6GMV3_PTRD1_HUMAN_.pdf")</f>
        <v>Melting_Curves/meltCurve_sp_Q6GMV3_PTRD1_HUMAN_.pdf</v>
      </c>
      <c r="AA1848" t="s">
        <v>13312</v>
      </c>
      <c r="AB1848" t="s">
        <v>17088</v>
      </c>
    </row>
    <row r="1849" spans="1:28" x14ac:dyDescent="0.25">
      <c r="A1849" t="s">
        <v>1853</v>
      </c>
      <c r="B1849">
        <v>0.98876768158843997</v>
      </c>
      <c r="C1849">
        <v>1.01025190324771</v>
      </c>
      <c r="D1849">
        <v>0.82934355275701899</v>
      </c>
      <c r="E1849">
        <v>0.56040812054716005</v>
      </c>
      <c r="F1849">
        <v>0.64894724360366196</v>
      </c>
      <c r="G1849">
        <v>0.38118744991704201</v>
      </c>
      <c r="H1849">
        <v>0.32724826164685</v>
      </c>
      <c r="I1849">
        <v>0.31890050851150198</v>
      </c>
      <c r="J1849">
        <v>0.45532424811426297</v>
      </c>
      <c r="K1849">
        <v>0.48716221625419598</v>
      </c>
      <c r="L1849">
        <v>887.17732688456704</v>
      </c>
      <c r="M1849">
        <v>18.204760936829501</v>
      </c>
      <c r="N1849">
        <v>53.318858639265798</v>
      </c>
      <c r="O1849">
        <v>48.156633292168401</v>
      </c>
      <c r="P1849">
        <v>-5.7130357965808898E-2</v>
      </c>
      <c r="Q1849">
        <v>0.395526027913008</v>
      </c>
      <c r="R1849">
        <v>0.90827141235466102</v>
      </c>
      <c r="S1849" t="s">
        <v>5681</v>
      </c>
      <c r="T1849" t="s">
        <v>7662</v>
      </c>
      <c r="U1849" t="s">
        <v>7662</v>
      </c>
      <c r="V1849" t="s">
        <v>7662</v>
      </c>
      <c r="W1849">
        <v>2</v>
      </c>
      <c r="X1849" t="s">
        <v>9511</v>
      </c>
      <c r="Y1849">
        <v>0.58178171914662213</v>
      </c>
      <c r="Z1849" t="str">
        <f>HYPERLINK("Melting_Curves/meltCurve_sp_Q6GQQ9_2_OTU7B_HUMAN_.pdf", "Melting_Curves/meltCurve_sp_Q6GQQ9_2_OTU7B_HUMAN_.pdf")</f>
        <v>Melting_Curves/meltCurve_sp_Q6GQQ9_2_OTU7B_HUMAN_.pdf</v>
      </c>
      <c r="AA1849" t="s">
        <v>13313</v>
      </c>
      <c r="AB1849" t="s">
        <v>17089</v>
      </c>
    </row>
    <row r="1850" spans="1:28" x14ac:dyDescent="0.25">
      <c r="A1850" t="s">
        <v>1854</v>
      </c>
      <c r="B1850">
        <v>0.98876768158843997</v>
      </c>
      <c r="C1850">
        <v>0.90468026587230599</v>
      </c>
      <c r="D1850">
        <v>1.0591864406053999</v>
      </c>
      <c r="E1850">
        <v>0.95343305791372301</v>
      </c>
      <c r="F1850">
        <v>0.39586849304006899</v>
      </c>
      <c r="G1850">
        <v>0.33967966711641601</v>
      </c>
      <c r="H1850">
        <v>0.193587799831903</v>
      </c>
      <c r="I1850">
        <v>6.0266406003497502E-2</v>
      </c>
      <c r="J1850">
        <v>3.9270547945322101E-2</v>
      </c>
      <c r="K1850">
        <v>4.8319171090270598E-2</v>
      </c>
      <c r="L1850">
        <v>1387.2374828811801</v>
      </c>
      <c r="M1850">
        <v>26.221443679123301</v>
      </c>
      <c r="N1850">
        <v>53.309872771631198</v>
      </c>
      <c r="O1850">
        <v>52.599866020383203</v>
      </c>
      <c r="P1850">
        <v>-0.11336866611403</v>
      </c>
      <c r="Q1850">
        <v>9.0345997642273093E-2</v>
      </c>
      <c r="R1850">
        <v>0.95401495618340504</v>
      </c>
      <c r="S1850" t="s">
        <v>5682</v>
      </c>
      <c r="T1850" t="s">
        <v>7662</v>
      </c>
      <c r="U1850" t="s">
        <v>7662</v>
      </c>
      <c r="V1850" t="s">
        <v>7662</v>
      </c>
      <c r="W1850">
        <v>5</v>
      </c>
      <c r="X1850" t="s">
        <v>9512</v>
      </c>
      <c r="Y1850">
        <v>0.48928567688029589</v>
      </c>
      <c r="Z1850" t="str">
        <f>HYPERLINK("Melting_Curves/meltCurve_sp_Q6IA69_NADE_HUMAN_.pdf", "Melting_Curves/meltCurve_sp_Q6IA69_NADE_HUMAN_.pdf")</f>
        <v>Melting_Curves/meltCurve_sp_Q6IA69_NADE_HUMAN_.pdf</v>
      </c>
      <c r="AA1850" t="s">
        <v>13314</v>
      </c>
      <c r="AB1850" t="s">
        <v>17090</v>
      </c>
    </row>
    <row r="1851" spans="1:28" x14ac:dyDescent="0.25">
      <c r="A1851" t="s">
        <v>1855</v>
      </c>
      <c r="B1851">
        <v>0.98876768158843997</v>
      </c>
      <c r="C1851">
        <v>0.92633159482276595</v>
      </c>
      <c r="D1851">
        <v>0.93463137494915305</v>
      </c>
      <c r="E1851">
        <v>0.65956136988150005</v>
      </c>
      <c r="F1851">
        <v>0.39258035893922899</v>
      </c>
      <c r="G1851">
        <v>0.169086686062205</v>
      </c>
      <c r="H1851">
        <v>0.123894254237638</v>
      </c>
      <c r="I1851">
        <v>0.105284638511253</v>
      </c>
      <c r="J1851">
        <v>0.14550947905189399</v>
      </c>
      <c r="K1851">
        <v>8.5876228962489198E-2</v>
      </c>
      <c r="L1851">
        <v>1110.59482760938</v>
      </c>
      <c r="M1851">
        <v>21.724680299410299</v>
      </c>
      <c r="N1851">
        <v>51.658243837533497</v>
      </c>
      <c r="O1851">
        <v>50.694088622121299</v>
      </c>
      <c r="P1851">
        <v>-9.6311458292833094E-2</v>
      </c>
      <c r="Q1851">
        <v>0.101057804932599</v>
      </c>
      <c r="R1851">
        <v>0.99545175001008901</v>
      </c>
      <c r="S1851" t="s">
        <v>5683</v>
      </c>
      <c r="T1851" t="s">
        <v>7662</v>
      </c>
      <c r="U1851" t="s">
        <v>7662</v>
      </c>
      <c r="V1851" t="s">
        <v>7662</v>
      </c>
      <c r="W1851">
        <v>4</v>
      </c>
      <c r="X1851" t="s">
        <v>9513</v>
      </c>
      <c r="Y1851">
        <v>0.44497943783756649</v>
      </c>
      <c r="Z1851" t="str">
        <f>HYPERLINK("Melting_Curves/meltCurve_sp_Q6IA86_4_ELP2_HUMAN_.pdf", "Melting_Curves/meltCurve_sp_Q6IA86_4_ELP2_HUMAN_.pdf")</f>
        <v>Melting_Curves/meltCurve_sp_Q6IA86_4_ELP2_HUMAN_.pdf</v>
      </c>
      <c r="AA1851" t="s">
        <v>13315</v>
      </c>
      <c r="AB1851" t="s">
        <v>17091</v>
      </c>
    </row>
    <row r="1852" spans="1:28" x14ac:dyDescent="0.25">
      <c r="A1852" t="s">
        <v>1856</v>
      </c>
      <c r="B1852">
        <v>0.98876768158843997</v>
      </c>
      <c r="C1852">
        <v>0.92891665667382795</v>
      </c>
      <c r="D1852">
        <v>0.882729393979646</v>
      </c>
      <c r="E1852">
        <v>0.59952135110208404</v>
      </c>
      <c r="F1852">
        <v>0.286290471394887</v>
      </c>
      <c r="G1852">
        <v>0.1053025320183</v>
      </c>
      <c r="H1852">
        <v>6.1334666266932798E-2</v>
      </c>
      <c r="I1852">
        <v>4.9378334329224199E-2</v>
      </c>
      <c r="J1852">
        <v>5.3552845062001503E-2</v>
      </c>
      <c r="K1852">
        <v>4.5870454489295297E-2</v>
      </c>
      <c r="L1852">
        <v>1066.6863612821201</v>
      </c>
      <c r="M1852">
        <v>21.101594556821698</v>
      </c>
      <c r="N1852">
        <v>50.738899590309899</v>
      </c>
      <c r="O1852">
        <v>50.102620545041198</v>
      </c>
      <c r="P1852">
        <v>-0.101317653463893</v>
      </c>
      <c r="Q1852">
        <v>3.7770112361280098E-2</v>
      </c>
      <c r="R1852">
        <v>0.99745241692470099</v>
      </c>
      <c r="S1852" t="s">
        <v>5684</v>
      </c>
      <c r="T1852" t="s">
        <v>7662</v>
      </c>
      <c r="U1852" t="s">
        <v>7662</v>
      </c>
      <c r="V1852" t="s">
        <v>7662</v>
      </c>
      <c r="W1852">
        <v>14</v>
      </c>
      <c r="X1852" t="s">
        <v>9514</v>
      </c>
      <c r="Y1852">
        <v>0.3882196612069656</v>
      </c>
      <c r="Z1852" t="str">
        <f>HYPERLINK("Melting_Curves/meltCurve_sp_Q6IB77_GLYAT_HUMAN_.pdf", "Melting_Curves/meltCurve_sp_Q6IB77_GLYAT_HUMAN_.pdf")</f>
        <v>Melting_Curves/meltCurve_sp_Q6IB77_GLYAT_HUMAN_.pdf</v>
      </c>
      <c r="AA1852" t="s">
        <v>13316</v>
      </c>
      <c r="AB1852" t="s">
        <v>17092</v>
      </c>
    </row>
    <row r="1853" spans="1:28" x14ac:dyDescent="0.25">
      <c r="A1853" t="s">
        <v>1857</v>
      </c>
      <c r="B1853">
        <v>0.98876768158843997</v>
      </c>
      <c r="C1853">
        <v>0.98345684777258302</v>
      </c>
      <c r="D1853">
        <v>0.80369704179218104</v>
      </c>
      <c r="E1853">
        <v>0.69710552986927898</v>
      </c>
      <c r="F1853">
        <v>0.58787113197253804</v>
      </c>
      <c r="G1853">
        <v>0.25998369695061901</v>
      </c>
      <c r="H1853">
        <v>0.1142669960229</v>
      </c>
      <c r="I1853">
        <v>8.8647033343093304E-2</v>
      </c>
      <c r="J1853">
        <v>8.4552355357672901E-2</v>
      </c>
      <c r="K1853">
        <v>5.6832758003341699E-2</v>
      </c>
      <c r="L1853">
        <v>694.87507177992404</v>
      </c>
      <c r="M1853">
        <v>13.0655982719649</v>
      </c>
      <c r="N1853">
        <v>53.1835677498173</v>
      </c>
      <c r="O1853">
        <v>51.983966166949202</v>
      </c>
      <c r="P1853">
        <v>-6.2845636507141395E-2</v>
      </c>
      <c r="Q1853">
        <v>0</v>
      </c>
      <c r="R1853">
        <v>0.987375290013219</v>
      </c>
      <c r="S1853" t="s">
        <v>5685</v>
      </c>
      <c r="T1853" t="s">
        <v>7662</v>
      </c>
      <c r="U1853" t="s">
        <v>7662</v>
      </c>
      <c r="V1853" t="s">
        <v>7662</v>
      </c>
      <c r="W1853">
        <v>9</v>
      </c>
      <c r="X1853" t="s">
        <v>9515</v>
      </c>
      <c r="Y1853">
        <v>0.46492300404529979</v>
      </c>
      <c r="Z1853" t="str">
        <f>HYPERLINK("Melting_Curves/meltCurve_sp_Q6IBS0_TWF2_HUMAN_.pdf", "Melting_Curves/meltCurve_sp_Q6IBS0_TWF2_HUMAN_.pdf")</f>
        <v>Melting_Curves/meltCurve_sp_Q6IBS0_TWF2_HUMAN_.pdf</v>
      </c>
      <c r="AA1853" t="s">
        <v>13317</v>
      </c>
      <c r="AB1853" t="s">
        <v>17093</v>
      </c>
    </row>
    <row r="1854" spans="1:28" x14ac:dyDescent="0.25">
      <c r="A1854" t="s">
        <v>1858</v>
      </c>
      <c r="B1854">
        <v>0.98876768158843997</v>
      </c>
      <c r="C1854">
        <v>1.06499408852139</v>
      </c>
      <c r="D1854">
        <v>0.89736525811497203</v>
      </c>
      <c r="E1854">
        <v>0.64398414934750303</v>
      </c>
      <c r="F1854">
        <v>0.86512446702347301</v>
      </c>
      <c r="G1854">
        <v>0.58718761942641595</v>
      </c>
      <c r="H1854">
        <v>0.44045918643397503</v>
      </c>
      <c r="I1854">
        <v>0.45645815470760498</v>
      </c>
      <c r="J1854">
        <v>0.520052377637371</v>
      </c>
      <c r="K1854">
        <v>0.56428202981737097</v>
      </c>
      <c r="L1854">
        <v>700.83483258573597</v>
      </c>
      <c r="M1854">
        <v>13.6084894171769</v>
      </c>
      <c r="N1854">
        <v>66.983509372999507</v>
      </c>
      <c r="O1854">
        <v>50.425911029640702</v>
      </c>
      <c r="P1854">
        <v>-3.5190869804748698E-2</v>
      </c>
      <c r="Q1854">
        <v>0.47848153542900301</v>
      </c>
      <c r="R1854">
        <v>0.83221337678281404</v>
      </c>
      <c r="S1854" t="s">
        <v>5686</v>
      </c>
      <c r="T1854" t="s">
        <v>7662</v>
      </c>
      <c r="U1854" t="s">
        <v>7662</v>
      </c>
      <c r="V1854" t="s">
        <v>7662</v>
      </c>
      <c r="W1854">
        <v>2</v>
      </c>
      <c r="X1854" t="s">
        <v>9516</v>
      </c>
      <c r="Y1854">
        <v>0.6921740906070355</v>
      </c>
      <c r="Z1854" t="str">
        <f>HYPERLINK("Melting_Curves/meltCurve_sp_Q6IC98_GRAM4_HUMAN_.pdf", "Melting_Curves/meltCurve_sp_Q6IC98_GRAM4_HUMAN_.pdf")</f>
        <v>Melting_Curves/meltCurve_sp_Q6IC98_GRAM4_HUMAN_.pdf</v>
      </c>
      <c r="AA1854" t="s">
        <v>13318</v>
      </c>
      <c r="AB1854" t="s">
        <v>17094</v>
      </c>
    </row>
    <row r="1855" spans="1:28" x14ac:dyDescent="0.25">
      <c r="A1855" t="s">
        <v>1859</v>
      </c>
      <c r="B1855">
        <v>0.98876768158843997</v>
      </c>
      <c r="C1855">
        <v>1.00200392093839</v>
      </c>
      <c r="D1855">
        <v>0.89049279713551099</v>
      </c>
      <c r="E1855">
        <v>0.75274664003681102</v>
      </c>
      <c r="F1855">
        <v>0.569157308319302</v>
      </c>
      <c r="G1855">
        <v>0.30741804299787701</v>
      </c>
      <c r="H1855">
        <v>0.188890573447905</v>
      </c>
      <c r="I1855">
        <v>0.17721872791120699</v>
      </c>
      <c r="J1855">
        <v>0.237006805769059</v>
      </c>
      <c r="K1855">
        <v>0.27771021803796803</v>
      </c>
      <c r="L1855">
        <v>1031.86014700397</v>
      </c>
      <c r="M1855">
        <v>19.8239463535757</v>
      </c>
      <c r="N1855">
        <v>53.457675344057598</v>
      </c>
      <c r="O1855">
        <v>51.5302238174039</v>
      </c>
      <c r="P1855">
        <v>-7.6635278367778906E-2</v>
      </c>
      <c r="Q1855">
        <v>0.203206229712563</v>
      </c>
      <c r="R1855">
        <v>0.98526016029842001</v>
      </c>
      <c r="S1855" t="s">
        <v>5687</v>
      </c>
      <c r="T1855" t="s">
        <v>7662</v>
      </c>
      <c r="U1855" t="s">
        <v>7662</v>
      </c>
      <c r="V1855" t="s">
        <v>7662</v>
      </c>
      <c r="W1855">
        <v>6</v>
      </c>
      <c r="X1855" t="s">
        <v>9517</v>
      </c>
      <c r="Y1855">
        <v>0.53448307806775253</v>
      </c>
      <c r="Z1855" t="str">
        <f>HYPERLINK("Melting_Curves/meltCurve_sp_Q6IN85_2_P4R3A_HUMAN_.pdf", "Melting_Curves/meltCurve_sp_Q6IN85_2_P4R3A_HUMAN_.pdf")</f>
        <v>Melting_Curves/meltCurve_sp_Q6IN85_2_P4R3A_HUMAN_.pdf</v>
      </c>
      <c r="AA1855" t="s">
        <v>13319</v>
      </c>
      <c r="AB1855" t="s">
        <v>17095</v>
      </c>
    </row>
    <row r="1856" spans="1:28" x14ac:dyDescent="0.25">
      <c r="A1856" t="s">
        <v>1860</v>
      </c>
      <c r="B1856">
        <v>0.98876768158843997</v>
      </c>
      <c r="C1856">
        <v>1.1825850060994301</v>
      </c>
      <c r="D1856">
        <v>0.80963721534824995</v>
      </c>
      <c r="E1856">
        <v>0.67282696545524301</v>
      </c>
      <c r="F1856">
        <v>0.48552792081542701</v>
      </c>
      <c r="G1856">
        <v>0.203748542975072</v>
      </c>
      <c r="H1856">
        <v>9.6362437988932403E-2</v>
      </c>
      <c r="I1856">
        <v>8.3628821275839593E-2</v>
      </c>
      <c r="J1856">
        <v>8.5697616206752605E-2</v>
      </c>
      <c r="K1856">
        <v>8.9470714176615895E-2</v>
      </c>
      <c r="L1856">
        <v>917.601610984628</v>
      </c>
      <c r="M1856">
        <v>17.678631321016699</v>
      </c>
      <c r="N1856">
        <v>52.278540024627198</v>
      </c>
      <c r="O1856">
        <v>51.254068448436399</v>
      </c>
      <c r="P1856">
        <v>-8.1112774557797904E-2</v>
      </c>
      <c r="Q1856">
        <v>5.93975538170948E-2</v>
      </c>
      <c r="R1856">
        <v>0.96482240919816997</v>
      </c>
      <c r="S1856" t="s">
        <v>5688</v>
      </c>
      <c r="T1856" t="s">
        <v>7662</v>
      </c>
      <c r="U1856" t="s">
        <v>7662</v>
      </c>
      <c r="V1856" t="s">
        <v>7662</v>
      </c>
      <c r="W1856">
        <v>4</v>
      </c>
      <c r="X1856" t="s">
        <v>9518</v>
      </c>
      <c r="Y1856">
        <v>0.44880858852675082</v>
      </c>
      <c r="Z1856" t="str">
        <f>HYPERLINK("Melting_Curves/meltCurve_sp_Q6IPR1_LYRM5_HUMAN_.pdf", "Melting_Curves/meltCurve_sp_Q6IPR1_LYRM5_HUMAN_.pdf")</f>
        <v>Melting_Curves/meltCurve_sp_Q6IPR1_LYRM5_HUMAN_.pdf</v>
      </c>
      <c r="AA1856" t="s">
        <v>13320</v>
      </c>
      <c r="AB1856" t="s">
        <v>17096</v>
      </c>
    </row>
    <row r="1857" spans="1:28" x14ac:dyDescent="0.25">
      <c r="A1857" t="s">
        <v>1861</v>
      </c>
      <c r="B1857">
        <v>0.98876768158843997</v>
      </c>
      <c r="C1857">
        <v>0.88223383543185796</v>
      </c>
      <c r="D1857">
        <v>0.84372904419574501</v>
      </c>
      <c r="E1857">
        <v>0.57369012831792698</v>
      </c>
      <c r="F1857">
        <v>0.40050357143273502</v>
      </c>
      <c r="G1857">
        <v>0.248353331454473</v>
      </c>
      <c r="H1857">
        <v>0.105194133414897</v>
      </c>
      <c r="I1857">
        <v>6.4185314048714498E-2</v>
      </c>
      <c r="J1857">
        <v>1.9706691151620201E-2</v>
      </c>
      <c r="K1857">
        <v>4.8573434392694001E-2</v>
      </c>
      <c r="L1857">
        <v>655.03990511895904</v>
      </c>
      <c r="M1857">
        <v>12.753172763930699</v>
      </c>
      <c r="N1857">
        <v>51.362897503206</v>
      </c>
      <c r="O1857">
        <v>50.149145166144102</v>
      </c>
      <c r="P1857">
        <v>-6.3588323387884796E-2</v>
      </c>
      <c r="Q1857">
        <v>0</v>
      </c>
      <c r="R1857">
        <v>0.99603425328401396</v>
      </c>
      <c r="S1857" t="s">
        <v>5689</v>
      </c>
      <c r="T1857" t="s">
        <v>7662</v>
      </c>
      <c r="U1857" t="s">
        <v>7662</v>
      </c>
      <c r="V1857" t="s">
        <v>7662</v>
      </c>
      <c r="W1857">
        <v>3</v>
      </c>
      <c r="X1857" t="s">
        <v>9519</v>
      </c>
      <c r="Y1857">
        <v>0.40802858766871591</v>
      </c>
      <c r="Z1857" t="str">
        <f>HYPERLINK("Melting_Curves/meltCurve_sp_Q6IQ22_RAB12_HUMAN_.pdf", "Melting_Curves/meltCurve_sp_Q6IQ22_RAB12_HUMAN_.pdf")</f>
        <v>Melting_Curves/meltCurve_sp_Q6IQ22_RAB12_HUMAN_.pdf</v>
      </c>
      <c r="AA1857" t="s">
        <v>13321</v>
      </c>
      <c r="AB1857" t="s">
        <v>17097</v>
      </c>
    </row>
    <row r="1858" spans="1:28" x14ac:dyDescent="0.25">
      <c r="A1858" t="s">
        <v>1862</v>
      </c>
      <c r="B1858">
        <v>0.98876768158843997</v>
      </c>
      <c r="C1858">
        <v>0.96433729405329804</v>
      </c>
      <c r="D1858">
        <v>0.87714000475146503</v>
      </c>
      <c r="E1858">
        <v>0.59570448235528695</v>
      </c>
      <c r="F1858">
        <v>0.50203423944216796</v>
      </c>
      <c r="G1858">
        <v>0.36204235562933801</v>
      </c>
      <c r="H1858">
        <v>0.23981397208267599</v>
      </c>
      <c r="I1858">
        <v>0.24119791418841899</v>
      </c>
      <c r="J1858">
        <v>0.32891613149653498</v>
      </c>
      <c r="K1858">
        <v>0.32999737638680299</v>
      </c>
      <c r="L1858">
        <v>895.94626571596598</v>
      </c>
      <c r="M1858">
        <v>17.9919521669046</v>
      </c>
      <c r="N1858">
        <v>52.184242816557003</v>
      </c>
      <c r="O1858">
        <v>49.1941071037499</v>
      </c>
      <c r="P1858">
        <v>-6.5793809790733099E-2</v>
      </c>
      <c r="Q1858">
        <v>0.28045433918025198</v>
      </c>
      <c r="R1858">
        <v>0.98271111700703995</v>
      </c>
      <c r="S1858" t="s">
        <v>5690</v>
      </c>
      <c r="T1858" t="s">
        <v>7662</v>
      </c>
      <c r="U1858" t="s">
        <v>7662</v>
      </c>
      <c r="V1858" t="s">
        <v>7662</v>
      </c>
      <c r="W1858">
        <v>6</v>
      </c>
      <c r="X1858" t="s">
        <v>9520</v>
      </c>
      <c r="Y1858">
        <v>0.52775023088987871</v>
      </c>
      <c r="Z1858" t="str">
        <f>HYPERLINK("Melting_Curves/meltCurve_sp_Q6IQ23_PKHA7_HUMAN_.pdf", "Melting_Curves/meltCurve_sp_Q6IQ23_PKHA7_HUMAN_.pdf")</f>
        <v>Melting_Curves/meltCurve_sp_Q6IQ23_PKHA7_HUMAN_.pdf</v>
      </c>
      <c r="AA1858" t="s">
        <v>13322</v>
      </c>
      <c r="AB1858" t="s">
        <v>17098</v>
      </c>
    </row>
    <row r="1859" spans="1:28" x14ac:dyDescent="0.25">
      <c r="A1859" t="s">
        <v>1863</v>
      </c>
      <c r="B1859">
        <v>0.98876768158843997</v>
      </c>
      <c r="C1859">
        <v>0.74679977302757905</v>
      </c>
      <c r="D1859">
        <v>0.45399944018456301</v>
      </c>
      <c r="E1859">
        <v>0.28904972250121502</v>
      </c>
      <c r="F1859">
        <v>0.16021695504783101</v>
      </c>
      <c r="G1859">
        <v>9.8829801901836406E-2</v>
      </c>
      <c r="H1859">
        <v>6.0498388065139602E-2</v>
      </c>
      <c r="I1859">
        <v>4.9878572452496397E-2</v>
      </c>
      <c r="J1859">
        <v>5.2291740160486599E-2</v>
      </c>
      <c r="K1859">
        <v>3.6893377704251398E-2</v>
      </c>
      <c r="L1859">
        <v>735.64040712408701</v>
      </c>
      <c r="M1859">
        <v>16.075842472621201</v>
      </c>
      <c r="N1859">
        <v>46.063630835967402</v>
      </c>
      <c r="O1859">
        <v>45.070098345214802</v>
      </c>
      <c r="P1859">
        <v>-8.4703658558179906E-2</v>
      </c>
      <c r="Q1859">
        <v>5.0175642092244302E-2</v>
      </c>
      <c r="R1859">
        <v>0.98902004130355703</v>
      </c>
      <c r="S1859" t="s">
        <v>5691</v>
      </c>
      <c r="T1859" t="s">
        <v>7662</v>
      </c>
      <c r="U1859" t="s">
        <v>7662</v>
      </c>
      <c r="V1859" t="s">
        <v>7662</v>
      </c>
      <c r="W1859">
        <v>11</v>
      </c>
      <c r="X1859" t="s">
        <v>9521</v>
      </c>
      <c r="Y1859">
        <v>0.2569765214003521</v>
      </c>
      <c r="Z1859" t="str">
        <f>HYPERLINK("Melting_Curves/meltCurve_sp_Q6JQN1_ACD10_HUMAN_.pdf", "Melting_Curves/meltCurve_sp_Q6JQN1_ACD10_HUMAN_.pdf")</f>
        <v>Melting_Curves/meltCurve_sp_Q6JQN1_ACD10_HUMAN_.pdf</v>
      </c>
      <c r="AA1859" t="s">
        <v>13323</v>
      </c>
      <c r="AB1859" t="s">
        <v>17099</v>
      </c>
    </row>
    <row r="1860" spans="1:28" x14ac:dyDescent="0.25">
      <c r="A1860" t="s">
        <v>1864</v>
      </c>
      <c r="B1860">
        <v>0.98876768158843997</v>
      </c>
      <c r="C1860">
        <v>1.21043118322294</v>
      </c>
      <c r="D1860">
        <v>0.82699040356775499</v>
      </c>
      <c r="E1860">
        <v>0.76878872278894494</v>
      </c>
      <c r="F1860">
        <v>0.82995543061393595</v>
      </c>
      <c r="G1860">
        <v>0.587263024914083</v>
      </c>
      <c r="H1860">
        <v>0.428980522092059</v>
      </c>
      <c r="I1860">
        <v>0.50097296498688304</v>
      </c>
      <c r="J1860">
        <v>0.51789170313670396</v>
      </c>
      <c r="K1860">
        <v>0.78326600876345898</v>
      </c>
      <c r="L1860">
        <v>936.15062488720696</v>
      </c>
      <c r="M1860">
        <v>18.376313136442899</v>
      </c>
      <c r="O1860">
        <v>50.351551395236498</v>
      </c>
      <c r="P1860">
        <v>-4.0283660240297697E-2</v>
      </c>
      <c r="Q1860">
        <v>0.55850723546700498</v>
      </c>
      <c r="R1860">
        <v>0.69349269835463101</v>
      </c>
      <c r="S1860" t="s">
        <v>5692</v>
      </c>
      <c r="T1860" t="s">
        <v>7662</v>
      </c>
      <c r="U1860" t="s">
        <v>7662</v>
      </c>
      <c r="V1860" t="s">
        <v>7662</v>
      </c>
      <c r="W1860">
        <v>1</v>
      </c>
      <c r="X1860" t="s">
        <v>9522</v>
      </c>
      <c r="Y1860">
        <v>0.72672320684113967</v>
      </c>
      <c r="Z1860" t="str">
        <f>HYPERLINK("Melting_Curves/meltCurve_sp_Q6KC79_3_NIPBL_HUMAN_.pdf", "Melting_Curves/meltCurve_sp_Q6KC79_3_NIPBL_HUMAN_.pdf")</f>
        <v>Melting_Curves/meltCurve_sp_Q6KC79_3_NIPBL_HUMAN_.pdf</v>
      </c>
      <c r="AA1860" t="s">
        <v>13324</v>
      </c>
      <c r="AB1860" t="s">
        <v>17100</v>
      </c>
    </row>
    <row r="1861" spans="1:28" x14ac:dyDescent="0.25">
      <c r="A1861" t="s">
        <v>1865</v>
      </c>
      <c r="B1861">
        <v>0.98876768158843997</v>
      </c>
      <c r="C1861">
        <v>0.88517933094057299</v>
      </c>
      <c r="D1861">
        <v>0.89724053708882201</v>
      </c>
      <c r="E1861">
        <v>0.68207157995495504</v>
      </c>
      <c r="F1861">
        <v>0.97959009170890798</v>
      </c>
      <c r="G1861">
        <v>0.61937604694014003</v>
      </c>
      <c r="H1861">
        <v>0.378893259405363</v>
      </c>
      <c r="I1861">
        <v>0.59588255075090102</v>
      </c>
      <c r="J1861">
        <v>0.65181796274538195</v>
      </c>
      <c r="K1861">
        <v>0.65778442891498801</v>
      </c>
      <c r="L1861">
        <v>528.44443558904698</v>
      </c>
      <c r="M1861">
        <v>10.4195154529079</v>
      </c>
      <c r="O1861">
        <v>48.955390375443201</v>
      </c>
      <c r="P1861">
        <v>-2.3820080274829E-2</v>
      </c>
      <c r="Q1861">
        <v>0.55251779585258098</v>
      </c>
      <c r="R1861">
        <v>0.57004440334113005</v>
      </c>
      <c r="S1861" t="s">
        <v>5693</v>
      </c>
      <c r="T1861" t="s">
        <v>7662</v>
      </c>
      <c r="U1861" t="s">
        <v>7662</v>
      </c>
      <c r="V1861" t="s">
        <v>7662</v>
      </c>
      <c r="W1861">
        <v>1</v>
      </c>
      <c r="X1861" t="s">
        <v>9523</v>
      </c>
      <c r="Y1861">
        <v>0.73044822221321859</v>
      </c>
      <c r="Z1861" t="str">
        <f>HYPERLINK("Melting_Curves/meltCurve_sp_Q6N043_2_Z280D_HUMAN_.pdf", "Melting_Curves/meltCurve_sp_Q6N043_2_Z280D_HUMAN_.pdf")</f>
        <v>Melting_Curves/meltCurve_sp_Q6N043_2_Z280D_HUMAN_.pdf</v>
      </c>
      <c r="AA1861" t="s">
        <v>13325</v>
      </c>
      <c r="AB1861" t="s">
        <v>17101</v>
      </c>
    </row>
    <row r="1862" spans="1:28" x14ac:dyDescent="0.25">
      <c r="A1862" t="s">
        <v>1866</v>
      </c>
      <c r="B1862">
        <v>0.98876768158843997</v>
      </c>
      <c r="C1862">
        <v>1.03307653310814</v>
      </c>
      <c r="D1862">
        <v>0.79360389609950899</v>
      </c>
      <c r="E1862">
        <v>0.38628822741697399</v>
      </c>
      <c r="F1862">
        <v>0.18211587726749701</v>
      </c>
      <c r="G1862">
        <v>0.10380647961977101</v>
      </c>
      <c r="H1862">
        <v>9.1038350841140106E-2</v>
      </c>
      <c r="I1862">
        <v>6.6075063576365903E-2</v>
      </c>
      <c r="J1862">
        <v>0.10458764540293899</v>
      </c>
      <c r="K1862">
        <v>8.0156016085021903E-2</v>
      </c>
      <c r="L1862">
        <v>1233.4335849153199</v>
      </c>
      <c r="M1862">
        <v>25.4164633582558</v>
      </c>
      <c r="N1862">
        <v>48.883778944669601</v>
      </c>
      <c r="O1862">
        <v>48.2314862239216</v>
      </c>
      <c r="P1862">
        <v>-0.120645465698325</v>
      </c>
      <c r="Q1862">
        <v>8.4241097503697598E-2</v>
      </c>
      <c r="R1862">
        <v>0.99600855223228102</v>
      </c>
      <c r="S1862" t="s">
        <v>5694</v>
      </c>
      <c r="T1862" t="s">
        <v>7662</v>
      </c>
      <c r="U1862" t="s">
        <v>7662</v>
      </c>
      <c r="V1862" t="s">
        <v>7662</v>
      </c>
      <c r="W1862">
        <v>5</v>
      </c>
      <c r="X1862" t="s">
        <v>9524</v>
      </c>
      <c r="Y1862">
        <v>0.3524109071289685</v>
      </c>
      <c r="Z1862" t="str">
        <f>HYPERLINK("Melting_Curves/meltCurve_sp_Q6N063_OGFD2_HUMAN_.pdf", "Melting_Curves/meltCurve_sp_Q6N063_OGFD2_HUMAN_.pdf")</f>
        <v>Melting_Curves/meltCurve_sp_Q6N063_OGFD2_HUMAN_.pdf</v>
      </c>
      <c r="AA1862" t="s">
        <v>13326</v>
      </c>
      <c r="AB1862" t="s">
        <v>17102</v>
      </c>
    </row>
    <row r="1863" spans="1:28" x14ac:dyDescent="0.25">
      <c r="A1863" t="s">
        <v>1867</v>
      </c>
      <c r="B1863">
        <v>0.98876768158843997</v>
      </c>
      <c r="C1863">
        <v>0.999072972675912</v>
      </c>
      <c r="D1863">
        <v>0.81611573322753095</v>
      </c>
      <c r="E1863">
        <v>0.64595972009722202</v>
      </c>
      <c r="F1863">
        <v>0.49076289503776099</v>
      </c>
      <c r="G1863">
        <v>0.25170642762713902</v>
      </c>
      <c r="H1863">
        <v>8.6960628693525902E-2</v>
      </c>
      <c r="I1863">
        <v>5.0269914008288397E-2</v>
      </c>
      <c r="J1863">
        <v>5.1277562735629202E-2</v>
      </c>
      <c r="K1863">
        <v>4.69357382988565E-2</v>
      </c>
      <c r="L1863">
        <v>720.61205556700702</v>
      </c>
      <c r="M1863">
        <v>13.7776914366687</v>
      </c>
      <c r="N1863">
        <v>52.302791129604699</v>
      </c>
      <c r="O1863">
        <v>51.237893746066099</v>
      </c>
      <c r="P1863">
        <v>-6.7233601073494298E-2</v>
      </c>
      <c r="Q1863">
        <v>0</v>
      </c>
      <c r="R1863">
        <v>0.99402973901546399</v>
      </c>
      <c r="S1863" t="s">
        <v>5695</v>
      </c>
      <c r="T1863" t="s">
        <v>7662</v>
      </c>
      <c r="U1863" t="s">
        <v>7662</v>
      </c>
      <c r="V1863" t="s">
        <v>7662</v>
      </c>
      <c r="W1863">
        <v>23</v>
      </c>
      <c r="X1863" t="s">
        <v>9525</v>
      </c>
      <c r="Y1863">
        <v>0.43509145133678551</v>
      </c>
      <c r="Z1863" t="str">
        <f>HYPERLINK("Melting_Curves/meltCurve_sp_Q6NUN0_ACSM5_HUMAN_.pdf", "Melting_Curves/meltCurve_sp_Q6NUN0_ACSM5_HUMAN_.pdf")</f>
        <v>Melting_Curves/meltCurve_sp_Q6NUN0_ACSM5_HUMAN_.pdf</v>
      </c>
      <c r="AA1863" t="s">
        <v>13327</v>
      </c>
      <c r="AB1863" t="s">
        <v>17103</v>
      </c>
    </row>
    <row r="1864" spans="1:28" x14ac:dyDescent="0.25">
      <c r="A1864" t="s">
        <v>1868</v>
      </c>
      <c r="B1864">
        <v>0.98876768158843997</v>
      </c>
      <c r="C1864">
        <v>1.3105833866161101</v>
      </c>
      <c r="D1864">
        <v>0.83142164583374001</v>
      </c>
      <c r="E1864">
        <v>0.794544290443151</v>
      </c>
      <c r="F1864">
        <v>1.0369094843689299</v>
      </c>
      <c r="G1864">
        <v>0.824680627307115</v>
      </c>
      <c r="H1864">
        <v>0.60235076481821004</v>
      </c>
      <c r="I1864">
        <v>0.81031192816090103</v>
      </c>
      <c r="J1864">
        <v>0.87459356317298698</v>
      </c>
      <c r="K1864">
        <v>1.1049000753682801</v>
      </c>
      <c r="L1864">
        <v>11153.4681007944</v>
      </c>
      <c r="M1864">
        <v>250</v>
      </c>
      <c r="O1864">
        <v>44.610996639051898</v>
      </c>
      <c r="P1864">
        <v>-0.19619819191465099</v>
      </c>
      <c r="Q1864">
        <v>0.85995838440028005</v>
      </c>
      <c r="R1864">
        <v>0.25365163752598802</v>
      </c>
      <c r="S1864" t="s">
        <v>5696</v>
      </c>
      <c r="T1864" t="s">
        <v>7662</v>
      </c>
      <c r="U1864" t="s">
        <v>7662</v>
      </c>
      <c r="V1864" t="s">
        <v>7662</v>
      </c>
      <c r="W1864">
        <v>2</v>
      </c>
      <c r="X1864" t="s">
        <v>9526</v>
      </c>
      <c r="Y1864">
        <v>0.88150715404028179</v>
      </c>
      <c r="Z1864" t="str">
        <f>HYPERLINK("Melting_Curves/meltCurve_sp_Q6NUQ4_2_TM214_HUMAN_.pdf", "Melting_Curves/meltCurve_sp_Q6NUQ4_2_TM214_HUMAN_.pdf")</f>
        <v>Melting_Curves/meltCurve_sp_Q6NUQ4_2_TM214_HUMAN_.pdf</v>
      </c>
      <c r="AA1864" t="s">
        <v>13328</v>
      </c>
      <c r="AB1864" t="s">
        <v>17104</v>
      </c>
    </row>
    <row r="1865" spans="1:28" x14ac:dyDescent="0.25">
      <c r="A1865" t="s">
        <v>1869</v>
      </c>
      <c r="B1865">
        <v>0.98876768158843997</v>
      </c>
      <c r="C1865">
        <v>1.04915790670481</v>
      </c>
      <c r="D1865">
        <v>0.85233466551647896</v>
      </c>
      <c r="E1865">
        <v>0.75614255215943005</v>
      </c>
      <c r="F1865">
        <v>0.450121992681351</v>
      </c>
      <c r="G1865">
        <v>8.6865822212687002E-2</v>
      </c>
      <c r="H1865">
        <v>5.0724173915044503E-2</v>
      </c>
      <c r="I1865">
        <v>4.1518054267465999E-2</v>
      </c>
      <c r="J1865">
        <v>5.45512699817794E-2</v>
      </c>
      <c r="K1865">
        <v>4.1447591569812002E-2</v>
      </c>
      <c r="L1865">
        <v>1230.03770595485</v>
      </c>
      <c r="M1865">
        <v>23.585924235656702</v>
      </c>
      <c r="N1865">
        <v>52.271631126553402</v>
      </c>
      <c r="O1865">
        <v>51.780800748599503</v>
      </c>
      <c r="P1865">
        <v>-0.110867930636994</v>
      </c>
      <c r="Q1865">
        <v>2.6413952936999201E-2</v>
      </c>
      <c r="R1865">
        <v>0.98840623318677701</v>
      </c>
      <c r="S1865" t="s">
        <v>5697</v>
      </c>
      <c r="T1865" t="s">
        <v>7662</v>
      </c>
      <c r="U1865" t="s">
        <v>7662</v>
      </c>
      <c r="V1865" t="s">
        <v>7662</v>
      </c>
      <c r="W1865">
        <v>24</v>
      </c>
      <c r="X1865" t="s">
        <v>9527</v>
      </c>
      <c r="Y1865">
        <v>0.43070424342297381</v>
      </c>
      <c r="Z1865" t="str">
        <f>HYPERLINK("Melting_Curves/meltCurve_sp_Q6NVY1_HIBCH_HUMAN_.pdf", "Melting_Curves/meltCurve_sp_Q6NVY1_HIBCH_HUMAN_.pdf")</f>
        <v>Melting_Curves/meltCurve_sp_Q6NVY1_HIBCH_HUMAN_.pdf</v>
      </c>
      <c r="AA1865" t="s">
        <v>13329</v>
      </c>
      <c r="AB1865" t="s">
        <v>17105</v>
      </c>
    </row>
    <row r="1866" spans="1:28" x14ac:dyDescent="0.25">
      <c r="A1866" t="s">
        <v>1870</v>
      </c>
      <c r="B1866">
        <v>0.98876768158843997</v>
      </c>
      <c r="C1866">
        <v>1.56495200733085</v>
      </c>
      <c r="D1866">
        <v>0.98275345083045795</v>
      </c>
      <c r="E1866">
        <v>0.93019328479797103</v>
      </c>
      <c r="F1866">
        <v>1.44653815735969</v>
      </c>
      <c r="G1866">
        <v>0.92819416984889802</v>
      </c>
      <c r="H1866">
        <v>0.81282578651460802</v>
      </c>
      <c r="I1866">
        <v>0.84393366743849796</v>
      </c>
      <c r="J1866">
        <v>1.35344719976104</v>
      </c>
      <c r="K1866">
        <v>1.2014300224504499</v>
      </c>
      <c r="S1866" t="s">
        <v>5698</v>
      </c>
      <c r="T1866" t="s">
        <v>7662</v>
      </c>
      <c r="U1866" t="s">
        <v>7663</v>
      </c>
      <c r="V1866" t="s">
        <v>7662</v>
      </c>
      <c r="W1866">
        <v>3</v>
      </c>
      <c r="X1866" t="s">
        <v>9528</v>
      </c>
      <c r="Z1866" t="str">
        <f>HYPERLINK("Melting_Curves/meltCurve_sp_Q6NYC8_PPR18_HUMAN_.pdf", "Melting_Curves/meltCurve_sp_Q6NYC8_PPR18_HUMAN_.pdf")</f>
        <v>Melting_Curves/meltCurve_sp_Q6NYC8_PPR18_HUMAN_.pdf</v>
      </c>
      <c r="AA1866" t="s">
        <v>13330</v>
      </c>
      <c r="AB1866" t="s">
        <v>17106</v>
      </c>
    </row>
    <row r="1867" spans="1:28" x14ac:dyDescent="0.25">
      <c r="A1867" t="s">
        <v>1871</v>
      </c>
      <c r="B1867">
        <v>0.98876768158843997</v>
      </c>
      <c r="C1867">
        <v>0.99002937874522101</v>
      </c>
      <c r="D1867">
        <v>0.96920847360092099</v>
      </c>
      <c r="E1867">
        <v>0.73306892749521502</v>
      </c>
      <c r="F1867">
        <v>0.54515669344734996</v>
      </c>
      <c r="G1867">
        <v>0.34853606545399102</v>
      </c>
      <c r="H1867">
        <v>0.244999173987896</v>
      </c>
      <c r="I1867">
        <v>0.26467978349305199</v>
      </c>
      <c r="J1867">
        <v>0.33762783429853899</v>
      </c>
      <c r="K1867">
        <v>0.379158415295754</v>
      </c>
      <c r="L1867">
        <v>1263.07998580355</v>
      </c>
      <c r="M1867">
        <v>24.6573380191175</v>
      </c>
      <c r="N1867">
        <v>53.240057357048897</v>
      </c>
      <c r="O1867">
        <v>50.891950364542303</v>
      </c>
      <c r="P1867">
        <v>-8.4385749241614197E-2</v>
      </c>
      <c r="Q1867">
        <v>0.30333203866493802</v>
      </c>
      <c r="R1867">
        <v>0.98258989413752595</v>
      </c>
      <c r="S1867" t="s">
        <v>5699</v>
      </c>
      <c r="T1867" t="s">
        <v>7662</v>
      </c>
      <c r="U1867" t="s">
        <v>7662</v>
      </c>
      <c r="V1867" t="s">
        <v>7662</v>
      </c>
      <c r="W1867">
        <v>7</v>
      </c>
      <c r="X1867" t="s">
        <v>9529</v>
      </c>
      <c r="Y1867">
        <v>0.57049105546278334</v>
      </c>
      <c r="Z1867" t="str">
        <f>HYPERLINK("Melting_Curves/meltCurve_sp_Q6NZY4_ZCHC8_HUMAN_.pdf", "Melting_Curves/meltCurve_sp_Q6NZY4_ZCHC8_HUMAN_.pdf")</f>
        <v>Melting_Curves/meltCurve_sp_Q6NZY4_ZCHC8_HUMAN_.pdf</v>
      </c>
      <c r="AA1867" t="s">
        <v>13331</v>
      </c>
      <c r="AB1867" t="s">
        <v>17107</v>
      </c>
    </row>
    <row r="1868" spans="1:28" x14ac:dyDescent="0.25">
      <c r="A1868" t="s">
        <v>1872</v>
      </c>
      <c r="B1868">
        <v>0.98876768158843997</v>
      </c>
      <c r="C1868">
        <v>1.03045033481172</v>
      </c>
      <c r="D1868">
        <v>0.84270325612214603</v>
      </c>
      <c r="E1868">
        <v>0.49850702048961698</v>
      </c>
      <c r="F1868">
        <v>0.34164588972120502</v>
      </c>
      <c r="G1868">
        <v>0.140071884784777</v>
      </c>
      <c r="H1868">
        <v>8.35568307619277E-2</v>
      </c>
      <c r="I1868">
        <v>8.5375784080356898E-2</v>
      </c>
      <c r="J1868">
        <v>8.2323575912377198E-2</v>
      </c>
      <c r="K1868">
        <v>0.10418958438459799</v>
      </c>
      <c r="L1868">
        <v>989.92001859156403</v>
      </c>
      <c r="M1868">
        <v>19.849810644509901</v>
      </c>
      <c r="N1868">
        <v>50.3135246016544</v>
      </c>
      <c r="O1868">
        <v>49.372639742207198</v>
      </c>
      <c r="P1868">
        <v>-9.2454403720245201E-2</v>
      </c>
      <c r="Q1868">
        <v>8.0179949620455798E-2</v>
      </c>
      <c r="R1868">
        <v>0.994082284516563</v>
      </c>
      <c r="S1868" t="s">
        <v>5700</v>
      </c>
      <c r="T1868" t="s">
        <v>7662</v>
      </c>
      <c r="U1868" t="s">
        <v>7662</v>
      </c>
      <c r="V1868" t="s">
        <v>7662</v>
      </c>
      <c r="W1868">
        <v>3</v>
      </c>
      <c r="X1868" t="s">
        <v>9530</v>
      </c>
      <c r="Y1868">
        <v>0.39581862139789242</v>
      </c>
      <c r="Z1868" t="str">
        <f>HYPERLINK("Melting_Curves/meltCurve_sp_Q6P1J9_CDC73_HUMAN_.pdf", "Melting_Curves/meltCurve_sp_Q6P1J9_CDC73_HUMAN_.pdf")</f>
        <v>Melting_Curves/meltCurve_sp_Q6P1J9_CDC73_HUMAN_.pdf</v>
      </c>
      <c r="AA1868" t="s">
        <v>13332</v>
      </c>
      <c r="AB1868" t="s">
        <v>17108</v>
      </c>
    </row>
    <row r="1869" spans="1:28" x14ac:dyDescent="0.25">
      <c r="A1869" t="s">
        <v>1873</v>
      </c>
      <c r="B1869">
        <v>0.98876768158843997</v>
      </c>
      <c r="C1869">
        <v>1.1440364146769699</v>
      </c>
      <c r="D1869">
        <v>0.85299446778124699</v>
      </c>
      <c r="E1869">
        <v>0.53664516095833104</v>
      </c>
      <c r="F1869">
        <v>0.397225115974362</v>
      </c>
      <c r="G1869">
        <v>0.20465324032788701</v>
      </c>
      <c r="H1869">
        <v>0.142096734689725</v>
      </c>
      <c r="I1869">
        <v>0.17099890195099299</v>
      </c>
      <c r="J1869">
        <v>0.23362396861175</v>
      </c>
      <c r="K1869">
        <v>0.219424818377393</v>
      </c>
      <c r="L1869">
        <v>1166.16787177075</v>
      </c>
      <c r="M1869">
        <v>23.486203986456001</v>
      </c>
      <c r="N1869">
        <v>50.6848481310235</v>
      </c>
      <c r="O1869">
        <v>49.297540418459803</v>
      </c>
      <c r="P1869">
        <v>-9.6477898907509796E-2</v>
      </c>
      <c r="Q1869">
        <v>0.18998554954901201</v>
      </c>
      <c r="R1869">
        <v>0.96890620014122197</v>
      </c>
      <c r="S1869" t="s">
        <v>5701</v>
      </c>
      <c r="T1869" t="s">
        <v>7662</v>
      </c>
      <c r="U1869" t="s">
        <v>7662</v>
      </c>
      <c r="V1869" t="s">
        <v>7662</v>
      </c>
      <c r="W1869">
        <v>6</v>
      </c>
      <c r="X1869" t="s">
        <v>9531</v>
      </c>
      <c r="Y1869">
        <v>0.45881717853022569</v>
      </c>
      <c r="Z1869" t="str">
        <f>HYPERLINK("Melting_Curves/meltCurve_sp_Q6P1N0_2_C2D1A_HUMAN_.pdf", "Melting_Curves/meltCurve_sp_Q6P1N0_2_C2D1A_HUMAN_.pdf")</f>
        <v>Melting_Curves/meltCurve_sp_Q6P1N0_2_C2D1A_HUMAN_.pdf</v>
      </c>
      <c r="AA1869" t="s">
        <v>13333</v>
      </c>
      <c r="AB1869" t="s">
        <v>17109</v>
      </c>
    </row>
    <row r="1870" spans="1:28" x14ac:dyDescent="0.25">
      <c r="A1870" t="s">
        <v>1874</v>
      </c>
      <c r="B1870">
        <v>0.98876768158843997</v>
      </c>
      <c r="C1870">
        <v>1.0286334039867999</v>
      </c>
      <c r="D1870">
        <v>0.85935308018946599</v>
      </c>
      <c r="E1870">
        <v>0.74213820651210405</v>
      </c>
      <c r="F1870">
        <v>0.707409049609248</v>
      </c>
      <c r="G1870">
        <v>0.522188952489966</v>
      </c>
      <c r="H1870">
        <v>0.26876335968975201</v>
      </c>
      <c r="I1870">
        <v>8.9292532780892206E-2</v>
      </c>
      <c r="J1870">
        <v>8.3486670963118501E-2</v>
      </c>
      <c r="K1870">
        <v>7.5779633554452594E-2</v>
      </c>
      <c r="L1870">
        <v>699.71217455403496</v>
      </c>
      <c r="M1870">
        <v>12.5032204382674</v>
      </c>
      <c r="N1870">
        <v>55.962556889907702</v>
      </c>
      <c r="O1870">
        <v>54.588865253609399</v>
      </c>
      <c r="P1870">
        <v>-5.7272625859627599E-2</v>
      </c>
      <c r="Q1870">
        <v>0</v>
      </c>
      <c r="R1870">
        <v>0.97735279683884801</v>
      </c>
      <c r="S1870" t="s">
        <v>5702</v>
      </c>
      <c r="T1870" t="s">
        <v>7662</v>
      </c>
      <c r="U1870" t="s">
        <v>7662</v>
      </c>
      <c r="V1870" t="s">
        <v>7662</v>
      </c>
      <c r="W1870">
        <v>14</v>
      </c>
      <c r="X1870" t="s">
        <v>9532</v>
      </c>
      <c r="Y1870">
        <v>0.55222082016966001</v>
      </c>
      <c r="Z1870" t="str">
        <f>HYPERLINK("Melting_Curves/meltCurve_sp_Q6P1N9_TATD1_HUMAN_.pdf", "Melting_Curves/meltCurve_sp_Q6P1N9_TATD1_HUMAN_.pdf")</f>
        <v>Melting_Curves/meltCurve_sp_Q6P1N9_TATD1_HUMAN_.pdf</v>
      </c>
      <c r="AA1870" t="s">
        <v>13334</v>
      </c>
      <c r="AB1870" t="s">
        <v>17110</v>
      </c>
    </row>
    <row r="1871" spans="1:28" x14ac:dyDescent="0.25">
      <c r="A1871" t="s">
        <v>1875</v>
      </c>
      <c r="B1871">
        <v>0.98876768158843997</v>
      </c>
      <c r="C1871">
        <v>1.1199464793202001</v>
      </c>
      <c r="D1871">
        <v>0.83786471694006803</v>
      </c>
      <c r="E1871">
        <v>0.75240290683694799</v>
      </c>
      <c r="F1871">
        <v>0.728621818403278</v>
      </c>
      <c r="G1871">
        <v>0.32769054676014198</v>
      </c>
      <c r="H1871">
        <v>0.109850558115014</v>
      </c>
      <c r="I1871">
        <v>8.0329383844875299E-2</v>
      </c>
      <c r="J1871">
        <v>6.6350500921509806E-2</v>
      </c>
      <c r="K1871">
        <v>6.58603337222399E-2</v>
      </c>
      <c r="L1871">
        <v>879.045656650767</v>
      </c>
      <c r="M1871">
        <v>16.074798609894099</v>
      </c>
      <c r="N1871">
        <v>54.7138402860014</v>
      </c>
      <c r="O1871">
        <v>53.859402321550398</v>
      </c>
      <c r="P1871">
        <v>-7.4302397689582397E-2</v>
      </c>
      <c r="Q1871">
        <v>4.2613385522816396E-3</v>
      </c>
      <c r="R1871">
        <v>0.96826775214307503</v>
      </c>
      <c r="S1871" t="s">
        <v>5703</v>
      </c>
      <c r="T1871" t="s">
        <v>7662</v>
      </c>
      <c r="U1871" t="s">
        <v>7662</v>
      </c>
      <c r="V1871" t="s">
        <v>7662</v>
      </c>
      <c r="W1871">
        <v>7</v>
      </c>
      <c r="X1871" t="s">
        <v>9533</v>
      </c>
      <c r="Y1871">
        <v>0.50975069543943541</v>
      </c>
      <c r="Z1871" t="str">
        <f>HYPERLINK("Melting_Curves/meltCurve_sp_Q6P1X6_CH082_HUMAN_.pdf", "Melting_Curves/meltCurve_sp_Q6P1X6_CH082_HUMAN_.pdf")</f>
        <v>Melting_Curves/meltCurve_sp_Q6P1X6_CH082_HUMAN_.pdf</v>
      </c>
      <c r="AA1871" t="s">
        <v>13335</v>
      </c>
      <c r="AB1871" t="s">
        <v>17111</v>
      </c>
    </row>
    <row r="1872" spans="1:28" x14ac:dyDescent="0.25">
      <c r="A1872" t="s">
        <v>1876</v>
      </c>
      <c r="B1872">
        <v>0.98876768158843997</v>
      </c>
      <c r="C1872">
        <v>0.91715336545168902</v>
      </c>
      <c r="D1872">
        <v>0.85189037370843701</v>
      </c>
      <c r="E1872">
        <v>0.64760045461883198</v>
      </c>
      <c r="F1872">
        <v>0.50190621411314496</v>
      </c>
      <c r="G1872">
        <v>0.193899251407676</v>
      </c>
      <c r="H1872">
        <v>9.4859186416078503E-2</v>
      </c>
      <c r="I1872">
        <v>8.9131353679914996E-2</v>
      </c>
      <c r="J1872">
        <v>8.7231811182247904E-2</v>
      </c>
      <c r="K1872">
        <v>9.5383886921635394E-2</v>
      </c>
      <c r="L1872">
        <v>766.63379740325104</v>
      </c>
      <c r="M1872">
        <v>14.7878549093255</v>
      </c>
      <c r="N1872">
        <v>52.138353874902798</v>
      </c>
      <c r="O1872">
        <v>50.921781763909699</v>
      </c>
      <c r="P1872">
        <v>-6.96829606944111E-2</v>
      </c>
      <c r="Q1872">
        <v>4.0293108733709698E-2</v>
      </c>
      <c r="R1872">
        <v>0.99175997288329298</v>
      </c>
      <c r="S1872" t="s">
        <v>5704</v>
      </c>
      <c r="T1872" t="s">
        <v>7662</v>
      </c>
      <c r="U1872" t="s">
        <v>7662</v>
      </c>
      <c r="V1872" t="s">
        <v>7662</v>
      </c>
      <c r="W1872">
        <v>4</v>
      </c>
      <c r="X1872" t="s">
        <v>9534</v>
      </c>
      <c r="Y1872">
        <v>0.44117712945242021</v>
      </c>
      <c r="Z1872" t="str">
        <f>HYPERLINK("Melting_Curves/meltCurve_sp_Q6P2E9_EDC4_HUMAN_.pdf", "Melting_Curves/meltCurve_sp_Q6P2E9_EDC4_HUMAN_.pdf")</f>
        <v>Melting_Curves/meltCurve_sp_Q6P2E9_EDC4_HUMAN_.pdf</v>
      </c>
      <c r="AA1872" t="s">
        <v>13336</v>
      </c>
      <c r="AB1872" t="s">
        <v>17112</v>
      </c>
    </row>
    <row r="1873" spans="1:28" x14ac:dyDescent="0.25">
      <c r="A1873" t="s">
        <v>1877</v>
      </c>
      <c r="B1873">
        <v>0.98876768158843997</v>
      </c>
      <c r="C1873">
        <v>0.92821461421297402</v>
      </c>
      <c r="D1873">
        <v>0.89818042650652297</v>
      </c>
      <c r="E1873">
        <v>0.61699027037962195</v>
      </c>
      <c r="F1873">
        <v>0.368961350007462</v>
      </c>
      <c r="G1873">
        <v>0.119855275527795</v>
      </c>
      <c r="H1873">
        <v>0.121980642496741</v>
      </c>
      <c r="I1873">
        <v>0.185669570876898</v>
      </c>
      <c r="J1873">
        <v>0.24585455629865499</v>
      </c>
      <c r="K1873">
        <v>0.207394695458129</v>
      </c>
      <c r="L1873">
        <v>1260.9441525519101</v>
      </c>
      <c r="M1873">
        <v>25.1287730646049</v>
      </c>
      <c r="N1873">
        <v>51.028492578243998</v>
      </c>
      <c r="O1873">
        <v>49.864746021458302</v>
      </c>
      <c r="P1873">
        <v>-0.10445788485945801</v>
      </c>
      <c r="Q1873">
        <v>0.17087914791278599</v>
      </c>
      <c r="R1873">
        <v>0.97933257462852397</v>
      </c>
      <c r="S1873" t="s">
        <v>5705</v>
      </c>
      <c r="T1873" t="s">
        <v>7662</v>
      </c>
      <c r="U1873" t="s">
        <v>7662</v>
      </c>
      <c r="V1873" t="s">
        <v>7662</v>
      </c>
      <c r="W1873">
        <v>1</v>
      </c>
      <c r="X1873" t="s">
        <v>9535</v>
      </c>
      <c r="Y1873">
        <v>0.45955618772338708</v>
      </c>
      <c r="Z1873" t="str">
        <f>HYPERLINK("Melting_Curves/meltCurve_sp_Q6P2P2_ANM10_HUMAN_.pdf", "Melting_Curves/meltCurve_sp_Q6P2P2_ANM10_HUMAN_.pdf")</f>
        <v>Melting_Curves/meltCurve_sp_Q6P2P2_ANM10_HUMAN_.pdf</v>
      </c>
      <c r="AA1873" t="s">
        <v>13337</v>
      </c>
      <c r="AB1873" t="s">
        <v>17113</v>
      </c>
    </row>
    <row r="1874" spans="1:28" x14ac:dyDescent="0.25">
      <c r="A1874" t="s">
        <v>1878</v>
      </c>
      <c r="B1874">
        <v>0.98876768158843997</v>
      </c>
      <c r="C1874">
        <v>1.00774817631752</v>
      </c>
      <c r="D1874">
        <v>1.04836379278092</v>
      </c>
      <c r="E1874">
        <v>0.65498510452183201</v>
      </c>
      <c r="F1874">
        <v>0.18385073174831701</v>
      </c>
      <c r="G1874">
        <v>0.119943801273384</v>
      </c>
      <c r="H1874">
        <v>6.5716710894900707E-2</v>
      </c>
      <c r="I1874">
        <v>6.3814766953957797E-2</v>
      </c>
      <c r="J1874">
        <v>5.5254451172602997E-2</v>
      </c>
      <c r="K1874">
        <v>4.22117654697537E-2</v>
      </c>
      <c r="L1874">
        <v>2248.3036561950598</v>
      </c>
      <c r="M1874">
        <v>44.408543302983603</v>
      </c>
      <c r="N1874">
        <v>50.795517392217597</v>
      </c>
      <c r="O1874">
        <v>50.5253876038377</v>
      </c>
      <c r="P1874">
        <v>-0.20474372099465599</v>
      </c>
      <c r="Q1874">
        <v>6.8220586802058197E-2</v>
      </c>
      <c r="R1874">
        <v>0.99630109493572105</v>
      </c>
      <c r="S1874" t="s">
        <v>5706</v>
      </c>
      <c r="T1874" t="s">
        <v>7662</v>
      </c>
      <c r="U1874" t="s">
        <v>7662</v>
      </c>
      <c r="V1874" t="s">
        <v>7662</v>
      </c>
      <c r="W1874">
        <v>5</v>
      </c>
      <c r="X1874" t="s">
        <v>9536</v>
      </c>
      <c r="Y1874">
        <v>0.40095220104612339</v>
      </c>
      <c r="Z1874" t="str">
        <f>HYPERLINK("Melting_Curves/meltCurve_sp_Q6P2Q9_PRP8_HUMAN_.pdf", "Melting_Curves/meltCurve_sp_Q6P2Q9_PRP8_HUMAN_.pdf")</f>
        <v>Melting_Curves/meltCurve_sp_Q6P2Q9_PRP8_HUMAN_.pdf</v>
      </c>
      <c r="AA1874" t="s">
        <v>13338</v>
      </c>
      <c r="AB1874" t="s">
        <v>17114</v>
      </c>
    </row>
    <row r="1875" spans="1:28" x14ac:dyDescent="0.25">
      <c r="A1875" t="s">
        <v>1879</v>
      </c>
      <c r="B1875">
        <v>0.98876768158843997</v>
      </c>
      <c r="C1875">
        <v>0.82852917986621899</v>
      </c>
      <c r="D1875">
        <v>0.91113267673153697</v>
      </c>
      <c r="E1875">
        <v>0.59674277633164596</v>
      </c>
      <c r="F1875">
        <v>0.46173671845318098</v>
      </c>
      <c r="G1875">
        <v>0.19076479788571099</v>
      </c>
      <c r="H1875">
        <v>0.166564450463946</v>
      </c>
      <c r="I1875">
        <v>0.126826984697196</v>
      </c>
      <c r="J1875">
        <v>0.19059378742090199</v>
      </c>
      <c r="K1875">
        <v>0.12932283930133601</v>
      </c>
      <c r="L1875">
        <v>797.11981019380005</v>
      </c>
      <c r="M1875">
        <v>15.701265076817901</v>
      </c>
      <c r="N1875">
        <v>51.638265785835799</v>
      </c>
      <c r="O1875">
        <v>49.965755058297603</v>
      </c>
      <c r="P1875">
        <v>-6.9432266578968699E-2</v>
      </c>
      <c r="Q1875">
        <v>0.116264165239226</v>
      </c>
      <c r="R1875">
        <v>0.97421026909275699</v>
      </c>
      <c r="S1875" t="s">
        <v>5707</v>
      </c>
      <c r="T1875" t="s">
        <v>7662</v>
      </c>
      <c r="U1875" t="s">
        <v>7662</v>
      </c>
      <c r="V1875" t="s">
        <v>7662</v>
      </c>
      <c r="W1875">
        <v>2</v>
      </c>
      <c r="X1875" t="s">
        <v>9537</v>
      </c>
      <c r="Y1875">
        <v>0.45249232136474288</v>
      </c>
      <c r="Z1875" t="str">
        <f>HYPERLINK("Melting_Curves/meltCurve_sp_Q6P3X3_TTC27_HUMAN_.pdf", "Melting_Curves/meltCurve_sp_Q6P3X3_TTC27_HUMAN_.pdf")</f>
        <v>Melting_Curves/meltCurve_sp_Q6P3X3_TTC27_HUMAN_.pdf</v>
      </c>
      <c r="AA1875" t="s">
        <v>13339</v>
      </c>
      <c r="AB1875" t="s">
        <v>17115</v>
      </c>
    </row>
    <row r="1876" spans="1:28" x14ac:dyDescent="0.25">
      <c r="A1876" t="s">
        <v>1880</v>
      </c>
      <c r="B1876">
        <v>0.98876768158843997</v>
      </c>
      <c r="C1876">
        <v>1.1198756267579</v>
      </c>
      <c r="D1876">
        <v>1.04039227886717</v>
      </c>
      <c r="E1876">
        <v>0.95442498414767196</v>
      </c>
      <c r="F1876">
        <v>0.93575904566539303</v>
      </c>
      <c r="G1876">
        <v>0.56840436669235705</v>
      </c>
      <c r="H1876">
        <v>0.60034425868895003</v>
      </c>
      <c r="I1876">
        <v>0.60521281524287296</v>
      </c>
      <c r="J1876">
        <v>0.40115039061978502</v>
      </c>
      <c r="K1876">
        <v>0.32321543483097598</v>
      </c>
      <c r="L1876">
        <v>782.28450502967496</v>
      </c>
      <c r="M1876">
        <v>13.3308295287717</v>
      </c>
      <c r="N1876">
        <v>63.263677667707697</v>
      </c>
      <c r="O1876">
        <v>57.409024028646499</v>
      </c>
      <c r="P1876">
        <v>-4.0086751433155002E-2</v>
      </c>
      <c r="Q1876">
        <v>0.30957869322081599</v>
      </c>
      <c r="R1876">
        <v>0.90776600191281998</v>
      </c>
      <c r="S1876" t="s">
        <v>5708</v>
      </c>
      <c r="T1876" t="s">
        <v>7662</v>
      </c>
      <c r="U1876" t="s">
        <v>7662</v>
      </c>
      <c r="V1876" t="s">
        <v>7662</v>
      </c>
      <c r="W1876">
        <v>3</v>
      </c>
      <c r="X1876" t="s">
        <v>9538</v>
      </c>
      <c r="Y1876">
        <v>0.74700074703557084</v>
      </c>
      <c r="Z1876" t="str">
        <f>HYPERLINK("Melting_Curves/meltCurve_sp_Q6P4A8_PLBL1_HUMAN_.pdf", "Melting_Curves/meltCurve_sp_Q6P4A8_PLBL1_HUMAN_.pdf")</f>
        <v>Melting_Curves/meltCurve_sp_Q6P4A8_PLBL1_HUMAN_.pdf</v>
      </c>
      <c r="AA1876" t="s">
        <v>13340</v>
      </c>
      <c r="AB1876" t="s">
        <v>17116</v>
      </c>
    </row>
    <row r="1877" spans="1:28" x14ac:dyDescent="0.25">
      <c r="A1877" t="s">
        <v>1881</v>
      </c>
      <c r="B1877">
        <v>0.98876768158843997</v>
      </c>
      <c r="C1877">
        <v>1.05926546100006</v>
      </c>
      <c r="D1877">
        <v>0.83452285044129204</v>
      </c>
      <c r="E1877">
        <v>0.78406954152027797</v>
      </c>
      <c r="F1877">
        <v>0.85623706711706105</v>
      </c>
      <c r="G1877">
        <v>0.59409312076145604</v>
      </c>
      <c r="H1877">
        <v>0.46318131929908202</v>
      </c>
      <c r="I1877">
        <v>0.50605899433177903</v>
      </c>
      <c r="J1877">
        <v>0.71569330101375705</v>
      </c>
      <c r="K1877">
        <v>0.68926587535356099</v>
      </c>
      <c r="L1877">
        <v>798.08075433885699</v>
      </c>
      <c r="M1877">
        <v>15.8276236739006</v>
      </c>
      <c r="O1877">
        <v>49.638955086396301</v>
      </c>
      <c r="P1877">
        <v>-3.2739798843453703E-2</v>
      </c>
      <c r="Q1877">
        <v>0.58931639058757301</v>
      </c>
      <c r="R1877">
        <v>0.72979318351369504</v>
      </c>
      <c r="S1877" t="s">
        <v>5709</v>
      </c>
      <c r="T1877" t="s">
        <v>7662</v>
      </c>
      <c r="U1877" t="s">
        <v>7662</v>
      </c>
      <c r="V1877" t="s">
        <v>7662</v>
      </c>
      <c r="W1877">
        <v>3</v>
      </c>
      <c r="X1877" t="s">
        <v>9539</v>
      </c>
      <c r="Y1877">
        <v>0.7408034207453269</v>
      </c>
      <c r="Z1877" t="str">
        <f>HYPERLINK("Melting_Curves/meltCurve_sp_Q6P4F2_ADXL_HUMAN_.pdf", "Melting_Curves/meltCurve_sp_Q6P4F2_ADXL_HUMAN_.pdf")</f>
        <v>Melting_Curves/meltCurve_sp_Q6P4F2_ADXL_HUMAN_.pdf</v>
      </c>
      <c r="AA1877" t="s">
        <v>13341</v>
      </c>
      <c r="AB1877" t="s">
        <v>17117</v>
      </c>
    </row>
    <row r="1878" spans="1:28" x14ac:dyDescent="0.25">
      <c r="A1878" t="s">
        <v>1882</v>
      </c>
      <c r="B1878">
        <v>0.98876768158843997</v>
      </c>
      <c r="C1878">
        <v>1.0455903463562799</v>
      </c>
      <c r="D1878">
        <v>0.86756491157441795</v>
      </c>
      <c r="E1878">
        <v>0.78040909542093695</v>
      </c>
      <c r="F1878">
        <v>0.91562649450267197</v>
      </c>
      <c r="G1878">
        <v>0.64715004621361605</v>
      </c>
      <c r="H1878">
        <v>0.51768067699604603</v>
      </c>
      <c r="I1878">
        <v>0.54296024641136298</v>
      </c>
      <c r="J1878">
        <v>0.56753135308588398</v>
      </c>
      <c r="K1878">
        <v>0.55297108550449903</v>
      </c>
      <c r="L1878">
        <v>641.902121258801</v>
      </c>
      <c r="M1878">
        <v>11.9026914783877</v>
      </c>
      <c r="O1878">
        <v>52.474508919834399</v>
      </c>
      <c r="P1878">
        <v>-2.8754953166596299E-2</v>
      </c>
      <c r="Q1878">
        <v>0.49304685076844101</v>
      </c>
      <c r="R1878">
        <v>0.87709894969387103</v>
      </c>
      <c r="S1878" t="s">
        <v>5710</v>
      </c>
      <c r="T1878" t="s">
        <v>7662</v>
      </c>
      <c r="U1878" t="s">
        <v>7662</v>
      </c>
      <c r="V1878" t="s">
        <v>7662</v>
      </c>
      <c r="W1878">
        <v>9</v>
      </c>
      <c r="X1878" t="s">
        <v>9540</v>
      </c>
      <c r="Y1878">
        <v>0.74185902653487379</v>
      </c>
      <c r="Z1878" t="str">
        <f>HYPERLINK("Melting_Curves/meltCurve_sp_Q6P587_FAHD1_HUMAN_.pdf", "Melting_Curves/meltCurve_sp_Q6P587_FAHD1_HUMAN_.pdf")</f>
        <v>Melting_Curves/meltCurve_sp_Q6P587_FAHD1_HUMAN_.pdf</v>
      </c>
      <c r="AA1878" t="s">
        <v>13342</v>
      </c>
      <c r="AB1878" t="s">
        <v>17118</v>
      </c>
    </row>
    <row r="1879" spans="1:28" x14ac:dyDescent="0.25">
      <c r="A1879" t="s">
        <v>1883</v>
      </c>
      <c r="B1879">
        <v>0.98876768158843997</v>
      </c>
      <c r="C1879">
        <v>1.21184664279294</v>
      </c>
      <c r="D1879">
        <v>0.94461382549797901</v>
      </c>
      <c r="E1879">
        <v>0.85377488032726201</v>
      </c>
      <c r="F1879">
        <v>0.96150757321797897</v>
      </c>
      <c r="G1879">
        <v>0.65448056052900405</v>
      </c>
      <c r="H1879">
        <v>0.53711938539533599</v>
      </c>
      <c r="I1879">
        <v>0.62896490915009196</v>
      </c>
      <c r="J1879">
        <v>0.78681689097614205</v>
      </c>
      <c r="K1879">
        <v>0.89280711800735701</v>
      </c>
      <c r="L1879">
        <v>13351.5402633944</v>
      </c>
      <c r="M1879">
        <v>250</v>
      </c>
      <c r="O1879">
        <v>53.402743517606098</v>
      </c>
      <c r="P1879">
        <v>-0.35106135705659203</v>
      </c>
      <c r="Q1879">
        <v>0.70003776717893895</v>
      </c>
      <c r="R1879">
        <v>0.59194132501755403</v>
      </c>
      <c r="S1879" t="s">
        <v>5711</v>
      </c>
      <c r="T1879" t="s">
        <v>7662</v>
      </c>
      <c r="U1879" t="s">
        <v>7662</v>
      </c>
      <c r="V1879" t="s">
        <v>7662</v>
      </c>
      <c r="W1879">
        <v>6</v>
      </c>
      <c r="X1879" t="s">
        <v>9541</v>
      </c>
      <c r="Y1879">
        <v>0.83411061517323859</v>
      </c>
      <c r="Z1879" t="str">
        <f>HYPERLINK("Melting_Curves/meltCurve_sp_Q6P6B1_CH047_HUMAN_.pdf", "Melting_Curves/meltCurve_sp_Q6P6B1_CH047_HUMAN_.pdf")</f>
        <v>Melting_Curves/meltCurve_sp_Q6P6B1_CH047_HUMAN_.pdf</v>
      </c>
      <c r="AA1879" t="s">
        <v>13343</v>
      </c>
      <c r="AB1879" t="s">
        <v>17119</v>
      </c>
    </row>
    <row r="1880" spans="1:28" x14ac:dyDescent="0.25">
      <c r="A1880" t="s">
        <v>1884</v>
      </c>
      <c r="B1880">
        <v>0.98876768158843997</v>
      </c>
      <c r="C1880">
        <v>1.08106584294362</v>
      </c>
      <c r="D1880">
        <v>0.89833923838854102</v>
      </c>
      <c r="E1880">
        <v>0.64205859857401804</v>
      </c>
      <c r="F1880">
        <v>0.57162170184342898</v>
      </c>
      <c r="G1880">
        <v>0.26506158622555598</v>
      </c>
      <c r="H1880">
        <v>0.19732783825359401</v>
      </c>
      <c r="I1880">
        <v>0.147878921959954</v>
      </c>
      <c r="J1880">
        <v>0.25237408537871497</v>
      </c>
      <c r="K1880">
        <v>0.214724540211395</v>
      </c>
      <c r="L1880">
        <v>948.25509060926595</v>
      </c>
      <c r="M1880">
        <v>18.4127379325246</v>
      </c>
      <c r="N1880">
        <v>52.806198902408703</v>
      </c>
      <c r="O1880">
        <v>50.904016818969801</v>
      </c>
      <c r="P1880">
        <v>-7.3890377937952695E-2</v>
      </c>
      <c r="Q1880">
        <v>0.182924913828345</v>
      </c>
      <c r="R1880">
        <v>0.97368127768919999</v>
      </c>
      <c r="S1880" t="s">
        <v>5712</v>
      </c>
      <c r="T1880" t="s">
        <v>7662</v>
      </c>
      <c r="U1880" t="s">
        <v>7662</v>
      </c>
      <c r="V1880" t="s">
        <v>7662</v>
      </c>
      <c r="W1880">
        <v>2</v>
      </c>
      <c r="X1880" t="s">
        <v>9542</v>
      </c>
      <c r="Y1880">
        <v>0.5092845240099042</v>
      </c>
      <c r="Z1880" t="str">
        <f>HYPERLINK("Melting_Curves/meltCurve_sp_Q6PD74_AAGAB_HUMAN_.pdf", "Melting_Curves/meltCurve_sp_Q6PD74_AAGAB_HUMAN_.pdf")</f>
        <v>Melting_Curves/meltCurve_sp_Q6PD74_AAGAB_HUMAN_.pdf</v>
      </c>
      <c r="AA1880" t="s">
        <v>13344</v>
      </c>
      <c r="AB1880" t="s">
        <v>17120</v>
      </c>
    </row>
    <row r="1881" spans="1:28" x14ac:dyDescent="0.25">
      <c r="A1881" t="s">
        <v>1885</v>
      </c>
      <c r="B1881">
        <v>0.98876768158843997</v>
      </c>
      <c r="C1881">
        <v>0.81261801411699597</v>
      </c>
      <c r="D1881">
        <v>0.75870290844808497</v>
      </c>
      <c r="E1881">
        <v>0.26726381909680602</v>
      </c>
      <c r="F1881">
        <v>0.103308191590309</v>
      </c>
      <c r="G1881">
        <v>6.8519709249032001E-2</v>
      </c>
      <c r="H1881">
        <v>4.67107737740491E-2</v>
      </c>
      <c r="I1881">
        <v>4.2523844129790697E-2</v>
      </c>
      <c r="J1881">
        <v>4.8160232351821403E-2</v>
      </c>
      <c r="K1881">
        <v>3.4748772012229999E-2</v>
      </c>
      <c r="L1881">
        <v>1032.3702438908099</v>
      </c>
      <c r="M1881">
        <v>21.679904843771499</v>
      </c>
      <c r="N1881">
        <v>47.775356932587201</v>
      </c>
      <c r="O1881">
        <v>47.219182143067499</v>
      </c>
      <c r="P1881">
        <v>-0.110849250116276</v>
      </c>
      <c r="Q1881">
        <v>3.4297321428902003E-2</v>
      </c>
      <c r="R1881">
        <v>0.98696394099738405</v>
      </c>
      <c r="S1881" t="s">
        <v>5713</v>
      </c>
      <c r="T1881" t="s">
        <v>7662</v>
      </c>
      <c r="U1881" t="s">
        <v>7662</v>
      </c>
      <c r="V1881" t="s">
        <v>7662</v>
      </c>
      <c r="W1881">
        <v>12</v>
      </c>
      <c r="X1881" t="s">
        <v>9543</v>
      </c>
      <c r="Y1881">
        <v>0.29118024232345507</v>
      </c>
      <c r="Z1881" t="str">
        <f>HYPERLINK("Melting_Curves/meltCurve_sp_Q6PGP7_TTC37_HUMAN_.pdf", "Melting_Curves/meltCurve_sp_Q6PGP7_TTC37_HUMAN_.pdf")</f>
        <v>Melting_Curves/meltCurve_sp_Q6PGP7_TTC37_HUMAN_.pdf</v>
      </c>
      <c r="AA1881" t="s">
        <v>13345</v>
      </c>
      <c r="AB1881" t="s">
        <v>17121</v>
      </c>
    </row>
    <row r="1882" spans="1:28" x14ac:dyDescent="0.25">
      <c r="A1882" t="s">
        <v>1886</v>
      </c>
      <c r="B1882">
        <v>0.98876768158843997</v>
      </c>
      <c r="C1882">
        <v>0.66247793535876298</v>
      </c>
      <c r="D1882">
        <v>0.53379036601043695</v>
      </c>
      <c r="E1882">
        <v>0.23792614991820399</v>
      </c>
      <c r="F1882">
        <v>0.12918608453413399</v>
      </c>
      <c r="G1882">
        <v>7.4847635430945803E-2</v>
      </c>
      <c r="H1882">
        <v>5.0610926321650498E-2</v>
      </c>
      <c r="I1882">
        <v>5.2170134394512201E-2</v>
      </c>
      <c r="J1882">
        <v>5.8419833194785602E-2</v>
      </c>
      <c r="K1882">
        <v>5.6368799331408703E-2</v>
      </c>
      <c r="L1882">
        <v>726.91520354721604</v>
      </c>
      <c r="M1882">
        <v>15.924441728077101</v>
      </c>
      <c r="N1882">
        <v>45.911931063791698</v>
      </c>
      <c r="O1882">
        <v>44.946089198125499</v>
      </c>
      <c r="P1882">
        <v>-8.4704470619931596E-2</v>
      </c>
      <c r="Q1882">
        <v>4.3776271321515403E-2</v>
      </c>
      <c r="R1882">
        <v>0.98415816988669103</v>
      </c>
      <c r="S1882" t="s">
        <v>5714</v>
      </c>
      <c r="T1882" t="s">
        <v>7662</v>
      </c>
      <c r="U1882" t="s">
        <v>7662</v>
      </c>
      <c r="V1882" t="s">
        <v>7662</v>
      </c>
      <c r="W1882">
        <v>14</v>
      </c>
      <c r="X1882" t="s">
        <v>9544</v>
      </c>
      <c r="Y1882">
        <v>0.24913668731605351</v>
      </c>
      <c r="Z1882" t="str">
        <f>HYPERLINK("Melting_Curves/meltCurve_sp_Q6PI48_SYDM_HUMAN_.pdf", "Melting_Curves/meltCurve_sp_Q6PI48_SYDM_HUMAN_.pdf")</f>
        <v>Melting_Curves/meltCurve_sp_Q6PI48_SYDM_HUMAN_.pdf</v>
      </c>
      <c r="AA1882" t="s">
        <v>13346</v>
      </c>
      <c r="AB1882" t="s">
        <v>17122</v>
      </c>
    </row>
    <row r="1883" spans="1:28" x14ac:dyDescent="0.25">
      <c r="A1883" t="s">
        <v>1887</v>
      </c>
      <c r="B1883">
        <v>0.98876768158843997</v>
      </c>
      <c r="C1883">
        <v>1.0299019347229501</v>
      </c>
      <c r="D1883">
        <v>0.818673853525967</v>
      </c>
      <c r="E1883">
        <v>0.65292506174724496</v>
      </c>
      <c r="F1883">
        <v>0.76405008007618203</v>
      </c>
      <c r="G1883">
        <v>0.60640999383585104</v>
      </c>
      <c r="H1883">
        <v>0.44568365519180903</v>
      </c>
      <c r="I1883">
        <v>0.46195947971197798</v>
      </c>
      <c r="J1883">
        <v>0.66103309618065698</v>
      </c>
      <c r="K1883">
        <v>0.66003638900261896</v>
      </c>
      <c r="L1883">
        <v>864.92907064439203</v>
      </c>
      <c r="M1883">
        <v>18.0730150957015</v>
      </c>
      <c r="O1883">
        <v>47.283102395571603</v>
      </c>
      <c r="P1883">
        <v>-4.0806178164531498E-2</v>
      </c>
      <c r="Q1883">
        <v>0.57298788306404302</v>
      </c>
      <c r="R1883">
        <v>0.78642747438002303</v>
      </c>
      <c r="S1883" t="s">
        <v>5715</v>
      </c>
      <c r="T1883" t="s">
        <v>7662</v>
      </c>
      <c r="U1883" t="s">
        <v>7662</v>
      </c>
      <c r="V1883" t="s">
        <v>7662</v>
      </c>
      <c r="W1883">
        <v>3</v>
      </c>
      <c r="X1883" t="s">
        <v>9545</v>
      </c>
      <c r="Y1883">
        <v>0.69237507301525547</v>
      </c>
      <c r="Z1883" t="str">
        <f>HYPERLINK("Melting_Curves/meltCurve_sp_Q6PJT7_5_ZC3HE_HUMAN_.pdf", "Melting_Curves/meltCurve_sp_Q6PJT7_5_ZC3HE_HUMAN_.pdf")</f>
        <v>Melting_Curves/meltCurve_sp_Q6PJT7_5_ZC3HE_HUMAN_.pdf</v>
      </c>
      <c r="AA1883" t="s">
        <v>13347</v>
      </c>
      <c r="AB1883" t="s">
        <v>17123</v>
      </c>
    </row>
    <row r="1884" spans="1:28" x14ac:dyDescent="0.25">
      <c r="A1884" t="s">
        <v>1888</v>
      </c>
      <c r="B1884">
        <v>0.98876768158843997</v>
      </c>
      <c r="C1884">
        <v>1.10221541991783</v>
      </c>
      <c r="D1884">
        <v>0.87045771082861001</v>
      </c>
      <c r="E1884">
        <v>0.68758293325068398</v>
      </c>
      <c r="F1884">
        <v>0.79186410863058299</v>
      </c>
      <c r="G1884">
        <v>0.55080565950079097</v>
      </c>
      <c r="H1884">
        <v>0.39841449084064001</v>
      </c>
      <c r="I1884">
        <v>0.48588009685114297</v>
      </c>
      <c r="J1884">
        <v>0.61527579447547598</v>
      </c>
      <c r="K1884">
        <v>0.649359379575142</v>
      </c>
      <c r="L1884">
        <v>922.02603116767796</v>
      </c>
      <c r="M1884">
        <v>18.5488250518301</v>
      </c>
      <c r="O1884">
        <v>49.141107236240302</v>
      </c>
      <c r="P1884">
        <v>-4.32638398648632E-2</v>
      </c>
      <c r="Q1884">
        <v>0.541547277087292</v>
      </c>
      <c r="R1884">
        <v>0.80393899627752097</v>
      </c>
      <c r="S1884" t="s">
        <v>5716</v>
      </c>
      <c r="T1884" t="s">
        <v>7662</v>
      </c>
      <c r="U1884" t="s">
        <v>7662</v>
      </c>
      <c r="V1884" t="s">
        <v>7662</v>
      </c>
      <c r="W1884">
        <v>4</v>
      </c>
      <c r="X1884" t="s">
        <v>9546</v>
      </c>
      <c r="Y1884">
        <v>0.69730982117707441</v>
      </c>
      <c r="Z1884" t="str">
        <f>HYPERLINK("Melting_Curves/meltCurve_sp_Q6PKG0_LARP1_HUMAN_.pdf", "Melting_Curves/meltCurve_sp_Q6PKG0_LARP1_HUMAN_.pdf")</f>
        <v>Melting_Curves/meltCurve_sp_Q6PKG0_LARP1_HUMAN_.pdf</v>
      </c>
      <c r="AA1884" t="s">
        <v>13348</v>
      </c>
      <c r="AB1884" t="s">
        <v>17124</v>
      </c>
    </row>
    <row r="1885" spans="1:28" x14ac:dyDescent="0.25">
      <c r="A1885" t="s">
        <v>1889</v>
      </c>
      <c r="B1885">
        <v>0.98876768158843997</v>
      </c>
      <c r="C1885">
        <v>0.99738557449736598</v>
      </c>
      <c r="D1885">
        <v>0.85734991851869102</v>
      </c>
      <c r="E1885">
        <v>0.706697661950067</v>
      </c>
      <c r="F1885">
        <v>0.31096554453289599</v>
      </c>
      <c r="G1885">
        <v>0.18998404152224699</v>
      </c>
      <c r="H1885">
        <v>0.122305472125776</v>
      </c>
      <c r="I1885">
        <v>9.0062466264625607E-2</v>
      </c>
      <c r="J1885">
        <v>3.4482198534759402E-2</v>
      </c>
      <c r="K1885">
        <v>2.9420044059607998E-2</v>
      </c>
      <c r="L1885">
        <v>998.75221515128896</v>
      </c>
      <c r="M1885">
        <v>19.477156630278301</v>
      </c>
      <c r="N1885">
        <v>51.551138561731001</v>
      </c>
      <c r="O1885">
        <v>50.746763650586701</v>
      </c>
      <c r="P1885">
        <v>-9.1254057688347295E-2</v>
      </c>
      <c r="Q1885">
        <v>4.9002702797493601E-2</v>
      </c>
      <c r="R1885">
        <v>0.98980753023434698</v>
      </c>
      <c r="S1885" t="s">
        <v>5717</v>
      </c>
      <c r="T1885" t="s">
        <v>7662</v>
      </c>
      <c r="U1885" t="s">
        <v>7662</v>
      </c>
      <c r="V1885" t="s">
        <v>7662</v>
      </c>
      <c r="W1885">
        <v>1</v>
      </c>
      <c r="X1885" t="s">
        <v>9547</v>
      </c>
      <c r="Y1885">
        <v>0.42036995694428703</v>
      </c>
      <c r="Z1885" t="str">
        <f>HYPERLINK("Melting_Curves/meltCurve_sp_Q6QHF9_4_PAOX_HUMAN_.pdf", "Melting_Curves/meltCurve_sp_Q6QHF9_4_PAOX_HUMAN_.pdf")</f>
        <v>Melting_Curves/meltCurve_sp_Q6QHF9_4_PAOX_HUMAN_.pdf</v>
      </c>
      <c r="AA1885" t="s">
        <v>13349</v>
      </c>
      <c r="AB1885" t="s">
        <v>17125</v>
      </c>
    </row>
    <row r="1886" spans="1:28" x14ac:dyDescent="0.25">
      <c r="A1886" t="s">
        <v>1890</v>
      </c>
      <c r="B1886">
        <v>0.98876768158843997</v>
      </c>
      <c r="C1886">
        <v>0.93044970613539002</v>
      </c>
      <c r="D1886">
        <v>0.94700846069538402</v>
      </c>
      <c r="E1886">
        <v>0.821249494981519</v>
      </c>
      <c r="F1886">
        <v>0.67112226811278397</v>
      </c>
      <c r="G1886">
        <v>0.35687647425795699</v>
      </c>
      <c r="H1886">
        <v>0.28278152209089602</v>
      </c>
      <c r="I1886">
        <v>0.263873845124314</v>
      </c>
      <c r="J1886">
        <v>0.33423541821154801</v>
      </c>
      <c r="K1886">
        <v>0.462757921693906</v>
      </c>
      <c r="L1886">
        <v>1384.9616618131299</v>
      </c>
      <c r="M1886">
        <v>26.394348797833601</v>
      </c>
      <c r="N1886">
        <v>54.655312890298099</v>
      </c>
      <c r="O1886">
        <v>52.173476631993204</v>
      </c>
      <c r="P1886">
        <v>-8.5269299050661301E-2</v>
      </c>
      <c r="Q1886">
        <v>0.32580302119653298</v>
      </c>
      <c r="R1886">
        <v>0.95165953147238602</v>
      </c>
      <c r="S1886" t="s">
        <v>5718</v>
      </c>
      <c r="T1886" t="s">
        <v>7662</v>
      </c>
      <c r="U1886" t="s">
        <v>7662</v>
      </c>
      <c r="V1886" t="s">
        <v>7662</v>
      </c>
      <c r="W1886">
        <v>1</v>
      </c>
      <c r="X1886" t="s">
        <v>9548</v>
      </c>
      <c r="Y1886">
        <v>0.61165797960233503</v>
      </c>
      <c r="Z1886" t="str">
        <f>HYPERLINK("Melting_Curves/meltCurve_sp_Q6QNY0_BL1S3_HUMAN_.pdf", "Melting_Curves/meltCurve_sp_Q6QNY0_BL1S3_HUMAN_.pdf")</f>
        <v>Melting_Curves/meltCurve_sp_Q6QNY0_BL1S3_HUMAN_.pdf</v>
      </c>
      <c r="AA1886" t="s">
        <v>13350</v>
      </c>
      <c r="AB1886" t="s">
        <v>17126</v>
      </c>
    </row>
    <row r="1887" spans="1:28" x14ac:dyDescent="0.25">
      <c r="A1887" t="s">
        <v>1891</v>
      </c>
      <c r="B1887">
        <v>0.98876768158843997</v>
      </c>
      <c r="C1887">
        <v>1.15037794901677</v>
      </c>
      <c r="D1887">
        <v>0.93803858998294098</v>
      </c>
      <c r="E1887">
        <v>0.87054144033867298</v>
      </c>
      <c r="F1887">
        <v>0.91024833600291699</v>
      </c>
      <c r="G1887">
        <v>0.459696302943644</v>
      </c>
      <c r="H1887">
        <v>0.23380935504825501</v>
      </c>
      <c r="I1887">
        <v>0.146530233791376</v>
      </c>
      <c r="J1887">
        <v>0.15788640180326599</v>
      </c>
      <c r="K1887">
        <v>0.21079098046035499</v>
      </c>
      <c r="L1887">
        <v>1743.9430538522199</v>
      </c>
      <c r="M1887">
        <v>31.1671300413892</v>
      </c>
      <c r="N1887">
        <v>56.690269480867201</v>
      </c>
      <c r="O1887">
        <v>55.7257188480962</v>
      </c>
      <c r="P1887">
        <v>-0.11656684651417699</v>
      </c>
      <c r="Q1887">
        <v>0.166335180806891</v>
      </c>
      <c r="R1887">
        <v>0.97010945212007704</v>
      </c>
      <c r="S1887" t="s">
        <v>5719</v>
      </c>
      <c r="T1887" t="s">
        <v>7662</v>
      </c>
      <c r="U1887" t="s">
        <v>7662</v>
      </c>
      <c r="V1887" t="s">
        <v>7662</v>
      </c>
      <c r="W1887">
        <v>3</v>
      </c>
      <c r="X1887" t="s">
        <v>9549</v>
      </c>
      <c r="Y1887">
        <v>0.61487355360924612</v>
      </c>
      <c r="Z1887" t="str">
        <f>HYPERLINK("Melting_Curves/meltCurve_sp_Q6UB28_AMP1D_HUMAN_.pdf", "Melting_Curves/meltCurve_sp_Q6UB28_AMP1D_HUMAN_.pdf")</f>
        <v>Melting_Curves/meltCurve_sp_Q6UB28_AMP1D_HUMAN_.pdf</v>
      </c>
      <c r="AA1887" t="s">
        <v>13351</v>
      </c>
      <c r="AB1887" t="s">
        <v>17127</v>
      </c>
    </row>
    <row r="1888" spans="1:28" x14ac:dyDescent="0.25">
      <c r="A1888" t="s">
        <v>1892</v>
      </c>
      <c r="B1888">
        <v>0.98876768158843997</v>
      </c>
      <c r="C1888">
        <v>0.89654512491067095</v>
      </c>
      <c r="D1888">
        <v>0.89438992057232802</v>
      </c>
      <c r="E1888">
        <v>0.70336988875574002</v>
      </c>
      <c r="F1888">
        <v>0.69003142548979601</v>
      </c>
      <c r="G1888">
        <v>0.51275668273596997</v>
      </c>
      <c r="H1888">
        <v>0.40114651445352401</v>
      </c>
      <c r="I1888">
        <v>0.40597103736691398</v>
      </c>
      <c r="J1888">
        <v>0.516580284627154</v>
      </c>
      <c r="K1888">
        <v>0.55848936332342403</v>
      </c>
      <c r="L1888">
        <v>722.57778574982899</v>
      </c>
      <c r="M1888">
        <v>14.4898194863241</v>
      </c>
      <c r="N1888">
        <v>60.112120590029299</v>
      </c>
      <c r="O1888">
        <v>48.946998483743798</v>
      </c>
      <c r="P1888">
        <v>-4.0140592777082297E-2</v>
      </c>
      <c r="Q1888">
        <v>0.45767874653866403</v>
      </c>
      <c r="R1888">
        <v>0.91640592404344301</v>
      </c>
      <c r="S1888" t="s">
        <v>5720</v>
      </c>
      <c r="T1888" t="s">
        <v>7662</v>
      </c>
      <c r="U1888" t="s">
        <v>7662</v>
      </c>
      <c r="V1888" t="s">
        <v>7662</v>
      </c>
      <c r="W1888">
        <v>3</v>
      </c>
      <c r="X1888" t="s">
        <v>9550</v>
      </c>
      <c r="Y1888">
        <v>0.64987476616274753</v>
      </c>
      <c r="Z1888" t="str">
        <f>HYPERLINK("Melting_Curves/meltCurve_sp_Q6ULP2_5_AFTIN_HUMAN_.pdf", "Melting_Curves/meltCurve_sp_Q6ULP2_5_AFTIN_HUMAN_.pdf")</f>
        <v>Melting_Curves/meltCurve_sp_Q6ULP2_5_AFTIN_HUMAN_.pdf</v>
      </c>
      <c r="AA1888" t="s">
        <v>13352</v>
      </c>
      <c r="AB1888" t="s">
        <v>17128</v>
      </c>
    </row>
    <row r="1889" spans="1:28" x14ac:dyDescent="0.25">
      <c r="A1889" t="s">
        <v>1893</v>
      </c>
      <c r="B1889">
        <v>0.98876768158843997</v>
      </c>
      <c r="C1889">
        <v>0.94954929435969804</v>
      </c>
      <c r="D1889">
        <v>0.928090363806781</v>
      </c>
      <c r="E1889">
        <v>0.63880237619931601</v>
      </c>
      <c r="F1889">
        <v>0.80427193670395503</v>
      </c>
      <c r="G1889">
        <v>0.64419132968565695</v>
      </c>
      <c r="H1889">
        <v>0.439472778372477</v>
      </c>
      <c r="I1889">
        <v>0.512958819980737</v>
      </c>
      <c r="J1889">
        <v>0.66530807544194104</v>
      </c>
      <c r="K1889">
        <v>0.84048246442990204</v>
      </c>
      <c r="L1889">
        <v>1133.6418790723501</v>
      </c>
      <c r="M1889">
        <v>23.791882817849601</v>
      </c>
      <c r="O1889">
        <v>47.315462554232603</v>
      </c>
      <c r="P1889">
        <v>-4.6082017944576198E-2</v>
      </c>
      <c r="Q1889">
        <v>0.633428480700573</v>
      </c>
      <c r="R1889">
        <v>0.60907213813637495</v>
      </c>
      <c r="S1889" t="s">
        <v>5721</v>
      </c>
      <c r="T1889" t="s">
        <v>7662</v>
      </c>
      <c r="U1889" t="s">
        <v>7662</v>
      </c>
      <c r="V1889" t="s">
        <v>7662</v>
      </c>
      <c r="W1889">
        <v>3</v>
      </c>
      <c r="X1889" t="s">
        <v>9551</v>
      </c>
      <c r="Y1889">
        <v>0.730493682840759</v>
      </c>
      <c r="Z1889" t="str">
        <f>HYPERLINK("Melting_Curves/meltCurve_sp_Q6UN15_4_FIP1_HUMAN_.pdf", "Melting_Curves/meltCurve_sp_Q6UN15_4_FIP1_HUMAN_.pdf")</f>
        <v>Melting_Curves/meltCurve_sp_Q6UN15_4_FIP1_HUMAN_.pdf</v>
      </c>
      <c r="AA1889" t="s">
        <v>13353</v>
      </c>
      <c r="AB1889" t="s">
        <v>17129</v>
      </c>
    </row>
    <row r="1890" spans="1:28" x14ac:dyDescent="0.25">
      <c r="A1890" t="s">
        <v>1894</v>
      </c>
      <c r="B1890">
        <v>0.98876768158843997</v>
      </c>
      <c r="C1890">
        <v>1.0836635830355501</v>
      </c>
      <c r="D1890">
        <v>0.86771758324280701</v>
      </c>
      <c r="E1890">
        <v>0.75203721821862801</v>
      </c>
      <c r="F1890">
        <v>0.73217797920412597</v>
      </c>
      <c r="G1890">
        <v>0.36034254995343201</v>
      </c>
      <c r="H1890">
        <v>0.13850065495945499</v>
      </c>
      <c r="I1890">
        <v>8.52356660642829E-2</v>
      </c>
      <c r="J1890">
        <v>9.7153769760363495E-2</v>
      </c>
      <c r="K1890">
        <v>7.8029227319331596E-2</v>
      </c>
      <c r="L1890">
        <v>855.37902945370399</v>
      </c>
      <c r="M1890">
        <v>15.5981992345494</v>
      </c>
      <c r="N1890">
        <v>54.965799273263997</v>
      </c>
      <c r="O1890">
        <v>53.960711229064103</v>
      </c>
      <c r="P1890">
        <v>-7.0988817250238201E-2</v>
      </c>
      <c r="Q1890">
        <v>1.7764870922533E-2</v>
      </c>
      <c r="R1890">
        <v>0.97665392260630501</v>
      </c>
      <c r="S1890" t="s">
        <v>5722</v>
      </c>
      <c r="T1890" t="s">
        <v>7662</v>
      </c>
      <c r="U1890" t="s">
        <v>7662</v>
      </c>
      <c r="V1890" t="s">
        <v>7662</v>
      </c>
      <c r="W1890">
        <v>6</v>
      </c>
      <c r="X1890" t="s">
        <v>9552</v>
      </c>
      <c r="Y1890">
        <v>0.52191923847223443</v>
      </c>
      <c r="Z1890" t="str">
        <f>HYPERLINK("Melting_Curves/meltCurve_sp_Q6UWE0_2_LRSM1_HUMAN_.pdf", "Melting_Curves/meltCurve_sp_Q6UWE0_2_LRSM1_HUMAN_.pdf")</f>
        <v>Melting_Curves/meltCurve_sp_Q6UWE0_2_LRSM1_HUMAN_.pdf</v>
      </c>
      <c r="AA1890" t="s">
        <v>13354</v>
      </c>
      <c r="AB1890" t="s">
        <v>17130</v>
      </c>
    </row>
    <row r="1891" spans="1:28" x14ac:dyDescent="0.25">
      <c r="A1891" t="s">
        <v>1895</v>
      </c>
      <c r="B1891">
        <v>0.98876768158843997</v>
      </c>
      <c r="C1891">
        <v>1.0036152078359699</v>
      </c>
      <c r="D1891">
        <v>0.89449230334097096</v>
      </c>
      <c r="E1891">
        <v>0.57408626642440597</v>
      </c>
      <c r="F1891">
        <v>0.209576847538057</v>
      </c>
      <c r="G1891">
        <v>0.12641247164841199</v>
      </c>
      <c r="H1891">
        <v>8.5898915964568806E-2</v>
      </c>
      <c r="I1891">
        <v>9.3589562232422902E-2</v>
      </c>
      <c r="J1891">
        <v>8.9032592809698302E-2</v>
      </c>
      <c r="K1891">
        <v>0.10669807538332</v>
      </c>
      <c r="L1891">
        <v>1444.11766533939</v>
      </c>
      <c r="M1891">
        <v>28.8706058878386</v>
      </c>
      <c r="N1891">
        <v>50.368841184727003</v>
      </c>
      <c r="O1891">
        <v>49.782201029747498</v>
      </c>
      <c r="P1891">
        <v>-0.131860148976014</v>
      </c>
      <c r="Q1891">
        <v>9.0529839273764096E-2</v>
      </c>
      <c r="R1891">
        <v>0.99743637537059204</v>
      </c>
      <c r="S1891" t="s">
        <v>5723</v>
      </c>
      <c r="T1891" t="s">
        <v>7662</v>
      </c>
      <c r="U1891" t="s">
        <v>7662</v>
      </c>
      <c r="V1891" t="s">
        <v>7662</v>
      </c>
      <c r="W1891">
        <v>7</v>
      </c>
      <c r="X1891" t="s">
        <v>9553</v>
      </c>
      <c r="Y1891">
        <v>0.40038455940205547</v>
      </c>
      <c r="Z1891" t="str">
        <f>HYPERLINK("Melting_Curves/meltCurve_sp_Q6UWP2_DHR11_HUMAN_.pdf", "Melting_Curves/meltCurve_sp_Q6UWP2_DHR11_HUMAN_.pdf")</f>
        <v>Melting_Curves/meltCurve_sp_Q6UWP2_DHR11_HUMAN_.pdf</v>
      </c>
      <c r="AA1891" t="s">
        <v>13355</v>
      </c>
      <c r="AB1891" t="s">
        <v>17131</v>
      </c>
    </row>
    <row r="1892" spans="1:28" x14ac:dyDescent="0.25">
      <c r="A1892" t="s">
        <v>1896</v>
      </c>
      <c r="B1892">
        <v>0.98876768158843997</v>
      </c>
      <c r="C1892">
        <v>0.87091720283604102</v>
      </c>
      <c r="D1892">
        <v>0.85633340000984803</v>
      </c>
      <c r="E1892">
        <v>0.32255881064027397</v>
      </c>
      <c r="F1892">
        <v>0.16886297963869401</v>
      </c>
      <c r="G1892">
        <v>0.108644554938869</v>
      </c>
      <c r="H1892">
        <v>6.4779775399303199E-2</v>
      </c>
      <c r="I1892">
        <v>5.2068742070666002E-2</v>
      </c>
      <c r="J1892">
        <v>7.3677119391217502E-2</v>
      </c>
      <c r="K1892">
        <v>5.3531234673777503E-2</v>
      </c>
      <c r="L1892">
        <v>1256.5543059510201</v>
      </c>
      <c r="M1892">
        <v>25.9525785723295</v>
      </c>
      <c r="N1892">
        <v>48.679419340763801</v>
      </c>
      <c r="O1892">
        <v>48.1326064724229</v>
      </c>
      <c r="P1892">
        <v>-0.12600932001698301</v>
      </c>
      <c r="Q1892">
        <v>6.5205019806668402E-2</v>
      </c>
      <c r="R1892">
        <v>0.98993124510338604</v>
      </c>
      <c r="S1892" t="s">
        <v>5724</v>
      </c>
      <c r="T1892" t="s">
        <v>7662</v>
      </c>
      <c r="U1892" t="s">
        <v>7662</v>
      </c>
      <c r="V1892" t="s">
        <v>7662</v>
      </c>
      <c r="W1892">
        <v>3</v>
      </c>
      <c r="X1892" t="s">
        <v>9554</v>
      </c>
      <c r="Y1892">
        <v>0.33512743079809482</v>
      </c>
      <c r="Z1892" t="str">
        <f>HYPERLINK("Melting_Curves/meltCurve_sp_Q6UX53_MET7B_HUMAN_.pdf", "Melting_Curves/meltCurve_sp_Q6UX53_MET7B_HUMAN_.pdf")</f>
        <v>Melting_Curves/meltCurve_sp_Q6UX53_MET7B_HUMAN_.pdf</v>
      </c>
      <c r="AA1892" t="s">
        <v>13356</v>
      </c>
      <c r="AB1892" t="s">
        <v>17132</v>
      </c>
    </row>
    <row r="1893" spans="1:28" x14ac:dyDescent="0.25">
      <c r="A1893" t="s">
        <v>1897</v>
      </c>
      <c r="B1893">
        <v>0.98876768158843997</v>
      </c>
      <c r="C1893">
        <v>1.0502846159089301</v>
      </c>
      <c r="D1893">
        <v>0.87374432790845702</v>
      </c>
      <c r="E1893">
        <v>0.82093981881798295</v>
      </c>
      <c r="F1893">
        <v>0.84865816326371302</v>
      </c>
      <c r="G1893">
        <v>0.62355710355054905</v>
      </c>
      <c r="H1893">
        <v>0.49637541960655102</v>
      </c>
      <c r="I1893">
        <v>0.56922789954049202</v>
      </c>
      <c r="J1893">
        <v>0.54745386167681098</v>
      </c>
      <c r="K1893">
        <v>0.83118418265083305</v>
      </c>
      <c r="L1893">
        <v>913.736874664928</v>
      </c>
      <c r="M1893">
        <v>17.859004588109801</v>
      </c>
      <c r="O1893">
        <v>50.535361731880798</v>
      </c>
      <c r="P1893">
        <v>-3.4693985586551797E-2</v>
      </c>
      <c r="Q1893">
        <v>0.60732774898554998</v>
      </c>
      <c r="R1893">
        <v>0.71444703659072895</v>
      </c>
      <c r="S1893" t="s">
        <v>5725</v>
      </c>
      <c r="T1893" t="s">
        <v>7662</v>
      </c>
      <c r="U1893" t="s">
        <v>7662</v>
      </c>
      <c r="V1893" t="s">
        <v>7662</v>
      </c>
      <c r="W1893">
        <v>6</v>
      </c>
      <c r="X1893" t="s">
        <v>9555</v>
      </c>
      <c r="Y1893">
        <v>0.76015020479663731</v>
      </c>
      <c r="Z1893" t="str">
        <f>HYPERLINK("Melting_Curves/meltCurve_sp_Q6UXH1_4_CREL2_HUMAN_.pdf", "Melting_Curves/meltCurve_sp_Q6UXH1_4_CREL2_HUMAN_.pdf")</f>
        <v>Melting_Curves/meltCurve_sp_Q6UXH1_4_CREL2_HUMAN_.pdf</v>
      </c>
      <c r="AA1893" t="s">
        <v>13357</v>
      </c>
      <c r="AB1893" t="s">
        <v>17133</v>
      </c>
    </row>
    <row r="1894" spans="1:28" x14ac:dyDescent="0.25">
      <c r="A1894" t="s">
        <v>1898</v>
      </c>
      <c r="B1894">
        <v>0.98876768158843997</v>
      </c>
      <c r="C1894">
        <v>1.0615070694519899</v>
      </c>
      <c r="D1894">
        <v>0.86395517852352</v>
      </c>
      <c r="E1894">
        <v>0.77162989249897795</v>
      </c>
      <c r="F1894">
        <v>0.75116423773691599</v>
      </c>
      <c r="G1894">
        <v>0.43248596742291601</v>
      </c>
      <c r="H1894">
        <v>0.20220837934112501</v>
      </c>
      <c r="I1894">
        <v>9.2705069035239507E-2</v>
      </c>
      <c r="J1894">
        <v>6.5362121714791499E-2</v>
      </c>
      <c r="K1894">
        <v>5.6682403384005403E-2</v>
      </c>
      <c r="L1894">
        <v>814.34003729109895</v>
      </c>
      <c r="M1894">
        <v>14.622198872078799</v>
      </c>
      <c r="N1894">
        <v>55.692041068212397</v>
      </c>
      <c r="O1894">
        <v>54.681496083248703</v>
      </c>
      <c r="P1894">
        <v>-6.6859140577819207E-2</v>
      </c>
      <c r="Q1894">
        <v>0</v>
      </c>
      <c r="R1894">
        <v>0.98189655868526104</v>
      </c>
      <c r="S1894" t="s">
        <v>5726</v>
      </c>
      <c r="T1894" t="s">
        <v>7662</v>
      </c>
      <c r="U1894" t="s">
        <v>7662</v>
      </c>
      <c r="V1894" t="s">
        <v>7662</v>
      </c>
      <c r="W1894">
        <v>5</v>
      </c>
      <c r="X1894" t="s">
        <v>9556</v>
      </c>
      <c r="Y1894">
        <v>0.54174342473301917</v>
      </c>
      <c r="Z1894" t="str">
        <f>HYPERLINK("Melting_Curves/meltCurve_sp_Q6UXN9_WDR82_HUMAN_.pdf", "Melting_Curves/meltCurve_sp_Q6UXN9_WDR82_HUMAN_.pdf")</f>
        <v>Melting_Curves/meltCurve_sp_Q6UXN9_WDR82_HUMAN_.pdf</v>
      </c>
      <c r="AA1894" t="s">
        <v>13358</v>
      </c>
      <c r="AB1894" t="s">
        <v>17134</v>
      </c>
    </row>
    <row r="1895" spans="1:28" x14ac:dyDescent="0.25">
      <c r="A1895" t="s">
        <v>1899</v>
      </c>
      <c r="B1895">
        <v>0.98876768158843997</v>
      </c>
      <c r="C1895">
        <v>1.02359304320996</v>
      </c>
      <c r="D1895">
        <v>0.91479480608649599</v>
      </c>
      <c r="E1895">
        <v>0.81680742130798301</v>
      </c>
      <c r="F1895">
        <v>0.91301073366852403</v>
      </c>
      <c r="G1895">
        <v>0.63573091962574302</v>
      </c>
      <c r="H1895">
        <v>0.49415353151385999</v>
      </c>
      <c r="I1895">
        <v>0.51466491516768997</v>
      </c>
      <c r="J1895">
        <v>0.73757179159708497</v>
      </c>
      <c r="K1895">
        <v>0.69343561173217205</v>
      </c>
      <c r="L1895">
        <v>1039.63007437952</v>
      </c>
      <c r="M1895">
        <v>19.791522539402099</v>
      </c>
      <c r="O1895">
        <v>52.001618732160303</v>
      </c>
      <c r="P1895">
        <v>-3.7598505665842198E-2</v>
      </c>
      <c r="Q1895">
        <v>0.60485787310919703</v>
      </c>
      <c r="R1895">
        <v>0.74996501880667998</v>
      </c>
      <c r="S1895" t="s">
        <v>5727</v>
      </c>
      <c r="T1895" t="s">
        <v>7662</v>
      </c>
      <c r="U1895" t="s">
        <v>7662</v>
      </c>
      <c r="V1895" t="s">
        <v>7662</v>
      </c>
      <c r="W1895">
        <v>2</v>
      </c>
      <c r="X1895" t="s">
        <v>9557</v>
      </c>
      <c r="Y1895">
        <v>0.77543722210089283</v>
      </c>
      <c r="Z1895" t="str">
        <f>HYPERLINK("Melting_Curves/meltCurve_sp_Q6UXV4_APOOL_HUMAN_.pdf", "Melting_Curves/meltCurve_sp_Q6UXV4_APOOL_HUMAN_.pdf")</f>
        <v>Melting_Curves/meltCurve_sp_Q6UXV4_APOOL_HUMAN_.pdf</v>
      </c>
      <c r="AA1895" t="s">
        <v>13359</v>
      </c>
      <c r="AB1895" t="s">
        <v>17135</v>
      </c>
    </row>
    <row r="1896" spans="1:28" x14ac:dyDescent="0.25">
      <c r="A1896" t="s">
        <v>1900</v>
      </c>
      <c r="B1896">
        <v>0.98876768158843997</v>
      </c>
      <c r="C1896">
        <v>0.90752189549381002</v>
      </c>
      <c r="D1896">
        <v>0.95796637305106502</v>
      </c>
      <c r="E1896">
        <v>0.82381798764911895</v>
      </c>
      <c r="F1896">
        <v>0.62428729471581201</v>
      </c>
      <c r="G1896">
        <v>0.455412117450052</v>
      </c>
      <c r="H1896">
        <v>0.35623275602767701</v>
      </c>
      <c r="I1896">
        <v>0.38500053330102202</v>
      </c>
      <c r="J1896">
        <v>0.31560092611225898</v>
      </c>
      <c r="K1896">
        <v>9.2140683512169794E-2</v>
      </c>
      <c r="L1896">
        <v>531.76634062065398</v>
      </c>
      <c r="M1896">
        <v>9.4486946204004791</v>
      </c>
      <c r="N1896">
        <v>57.201200709579702</v>
      </c>
      <c r="O1896">
        <v>53.931261395181998</v>
      </c>
      <c r="P1896">
        <v>-4.0730973011785597E-2</v>
      </c>
      <c r="Q1896">
        <v>7.0624134617607803E-2</v>
      </c>
      <c r="R1896">
        <v>0.95843063715112198</v>
      </c>
      <c r="S1896" t="s">
        <v>5728</v>
      </c>
      <c r="T1896" t="s">
        <v>7662</v>
      </c>
      <c r="U1896" t="s">
        <v>7662</v>
      </c>
      <c r="V1896" t="s">
        <v>7662</v>
      </c>
      <c r="W1896">
        <v>3</v>
      </c>
      <c r="X1896" t="s">
        <v>9558</v>
      </c>
      <c r="Y1896">
        <v>0.5929838693795727</v>
      </c>
      <c r="Z1896" t="str">
        <f>HYPERLINK("Melting_Curves/meltCurve_sp_Q6VY07_PACS1_HUMAN_.pdf", "Melting_Curves/meltCurve_sp_Q6VY07_PACS1_HUMAN_.pdf")</f>
        <v>Melting_Curves/meltCurve_sp_Q6VY07_PACS1_HUMAN_.pdf</v>
      </c>
      <c r="AA1896" t="s">
        <v>13360</v>
      </c>
      <c r="AB1896" t="s">
        <v>17136</v>
      </c>
    </row>
    <row r="1897" spans="1:28" x14ac:dyDescent="0.25">
      <c r="A1897" t="s">
        <v>1901</v>
      </c>
      <c r="B1897">
        <v>0.98876768158843997</v>
      </c>
      <c r="C1897">
        <v>1.0201973194235401</v>
      </c>
      <c r="D1897">
        <v>0.95052926510082503</v>
      </c>
      <c r="E1897">
        <v>0.95794926056735497</v>
      </c>
      <c r="F1897">
        <v>0.77685600998918702</v>
      </c>
      <c r="G1897">
        <v>0.50483587129659202</v>
      </c>
      <c r="H1897">
        <v>0.15877177334322901</v>
      </c>
      <c r="I1897">
        <v>9.8064050766824506E-2</v>
      </c>
      <c r="J1897">
        <v>8.1462430742626907E-2</v>
      </c>
      <c r="K1897">
        <v>8.8380715964179304E-2</v>
      </c>
      <c r="L1897">
        <v>1242.50750820691</v>
      </c>
      <c r="M1897">
        <v>22.062676869938699</v>
      </c>
      <c r="N1897">
        <v>56.588674125971998</v>
      </c>
      <c r="O1897">
        <v>55.860607354583102</v>
      </c>
      <c r="P1897">
        <v>-9.3783018056390194E-2</v>
      </c>
      <c r="Q1897">
        <v>5.0221907476025798E-2</v>
      </c>
      <c r="R1897">
        <v>0.995069276760149</v>
      </c>
      <c r="S1897" t="s">
        <v>5729</v>
      </c>
      <c r="T1897" t="s">
        <v>7662</v>
      </c>
      <c r="U1897" t="s">
        <v>7662</v>
      </c>
      <c r="V1897" t="s">
        <v>7662</v>
      </c>
      <c r="W1897">
        <v>24</v>
      </c>
      <c r="X1897" t="s">
        <v>9559</v>
      </c>
      <c r="Y1897">
        <v>0.5773421210691061</v>
      </c>
      <c r="Z1897" t="str">
        <f>HYPERLINK("Melting_Curves/meltCurve_sp_Q6XQN6_PNCB_HUMAN_.pdf", "Melting_Curves/meltCurve_sp_Q6XQN6_PNCB_HUMAN_.pdf")</f>
        <v>Melting_Curves/meltCurve_sp_Q6XQN6_PNCB_HUMAN_.pdf</v>
      </c>
      <c r="AA1897" t="s">
        <v>13361</v>
      </c>
      <c r="AB1897" t="s">
        <v>17137</v>
      </c>
    </row>
    <row r="1898" spans="1:28" x14ac:dyDescent="0.25">
      <c r="A1898" t="s">
        <v>1902</v>
      </c>
      <c r="B1898">
        <v>0.98876768158843997</v>
      </c>
      <c r="C1898">
        <v>1.23630339517662</v>
      </c>
      <c r="D1898">
        <v>0.82814446873174397</v>
      </c>
      <c r="E1898">
        <v>0.76538017466630603</v>
      </c>
      <c r="F1898">
        <v>0.94668696414061104</v>
      </c>
      <c r="G1898">
        <v>0.65689674733095704</v>
      </c>
      <c r="H1898">
        <v>0.51431437542981995</v>
      </c>
      <c r="I1898">
        <v>0.52372907076855402</v>
      </c>
      <c r="J1898">
        <v>0.58099102739597397</v>
      </c>
      <c r="K1898">
        <v>0.70244520722904502</v>
      </c>
      <c r="L1898">
        <v>833.99745332321504</v>
      </c>
      <c r="M1898">
        <v>15.7709444137727</v>
      </c>
      <c r="O1898">
        <v>52.053560349278897</v>
      </c>
      <c r="P1898">
        <v>-3.2718672392674703E-2</v>
      </c>
      <c r="Q1898">
        <v>0.56807105019337001</v>
      </c>
      <c r="R1898">
        <v>0.686124446082784</v>
      </c>
      <c r="S1898" t="s">
        <v>5730</v>
      </c>
      <c r="T1898" t="s">
        <v>7662</v>
      </c>
      <c r="U1898" t="s">
        <v>7662</v>
      </c>
      <c r="V1898" t="s">
        <v>7662</v>
      </c>
      <c r="W1898">
        <v>1</v>
      </c>
      <c r="X1898" t="s">
        <v>9560</v>
      </c>
      <c r="Y1898">
        <v>0.76223064686435638</v>
      </c>
      <c r="Z1898" t="str">
        <f>HYPERLINK("Melting_Curves/meltCurve_sp_Q6XZF7_DNMBP_HUMAN_.pdf", "Melting_Curves/meltCurve_sp_Q6XZF7_DNMBP_HUMAN_.pdf")</f>
        <v>Melting_Curves/meltCurve_sp_Q6XZF7_DNMBP_HUMAN_.pdf</v>
      </c>
      <c r="AA1898" t="s">
        <v>13362</v>
      </c>
      <c r="AB1898" t="s">
        <v>17138</v>
      </c>
    </row>
    <row r="1899" spans="1:28" x14ac:dyDescent="0.25">
      <c r="A1899" t="s">
        <v>1903</v>
      </c>
      <c r="B1899">
        <v>0.98876768158843997</v>
      </c>
      <c r="C1899">
        <v>1.1155710822324101</v>
      </c>
      <c r="D1899">
        <v>0.89657678946407504</v>
      </c>
      <c r="E1899">
        <v>0.68084555277384995</v>
      </c>
      <c r="F1899">
        <v>0.67875141432353703</v>
      </c>
      <c r="G1899">
        <v>0.44460274692529</v>
      </c>
      <c r="H1899">
        <v>0.31760512562099902</v>
      </c>
      <c r="I1899">
        <v>0.35576983712198101</v>
      </c>
      <c r="J1899">
        <v>0.42704728982312401</v>
      </c>
      <c r="K1899">
        <v>0.49576231025033402</v>
      </c>
      <c r="L1899">
        <v>979.921068550614</v>
      </c>
      <c r="M1899">
        <v>19.2941508143271</v>
      </c>
      <c r="N1899">
        <v>55.276835215516002</v>
      </c>
      <c r="O1899">
        <v>50.252335709302798</v>
      </c>
      <c r="P1899">
        <v>-5.8013743829322298E-2</v>
      </c>
      <c r="Q1899">
        <v>0.39562659806778699</v>
      </c>
      <c r="R1899">
        <v>0.92204883543617699</v>
      </c>
      <c r="S1899" t="s">
        <v>5731</v>
      </c>
      <c r="T1899" t="s">
        <v>7662</v>
      </c>
      <c r="U1899" t="s">
        <v>7662</v>
      </c>
      <c r="V1899" t="s">
        <v>7662</v>
      </c>
      <c r="W1899">
        <v>11</v>
      </c>
      <c r="X1899" t="s">
        <v>9561</v>
      </c>
      <c r="Y1899">
        <v>0.62194951501255613</v>
      </c>
      <c r="Z1899" t="str">
        <f>HYPERLINK("Melting_Curves/meltCurve_sp_Q6Y7W6_4_PERQ2_HUMAN_.pdf", "Melting_Curves/meltCurve_sp_Q6Y7W6_4_PERQ2_HUMAN_.pdf")</f>
        <v>Melting_Curves/meltCurve_sp_Q6Y7W6_4_PERQ2_HUMAN_.pdf</v>
      </c>
      <c r="AA1899" t="s">
        <v>13363</v>
      </c>
      <c r="AB1899" t="s">
        <v>17139</v>
      </c>
    </row>
    <row r="1900" spans="1:28" x14ac:dyDescent="0.25">
      <c r="A1900" t="s">
        <v>1904</v>
      </c>
      <c r="B1900">
        <v>0.98876768158843997</v>
      </c>
      <c r="C1900">
        <v>0.93867091788809998</v>
      </c>
      <c r="D1900">
        <v>0.81922194545743598</v>
      </c>
      <c r="E1900">
        <v>0.52495382967302195</v>
      </c>
      <c r="F1900">
        <v>0.209805215589184</v>
      </c>
      <c r="G1900">
        <v>9.8028157254291606E-2</v>
      </c>
      <c r="H1900">
        <v>5.4943595882609601E-2</v>
      </c>
      <c r="I1900">
        <v>4.4383424660069497E-2</v>
      </c>
      <c r="J1900">
        <v>4.5662779339547301E-2</v>
      </c>
      <c r="K1900">
        <v>3.8147817380150897E-2</v>
      </c>
      <c r="L1900">
        <v>992.46421373138298</v>
      </c>
      <c r="M1900">
        <v>19.976455485900999</v>
      </c>
      <c r="N1900">
        <v>49.844342079499199</v>
      </c>
      <c r="O1900">
        <v>49.191859556703498</v>
      </c>
      <c r="P1900">
        <v>-9.8323050496632397E-2</v>
      </c>
      <c r="Q1900">
        <v>3.1552589536627498E-2</v>
      </c>
      <c r="R1900">
        <v>0.99731714413489003</v>
      </c>
      <c r="S1900" t="s">
        <v>5732</v>
      </c>
      <c r="T1900" t="s">
        <v>7662</v>
      </c>
      <c r="U1900" t="s">
        <v>7662</v>
      </c>
      <c r="V1900" t="s">
        <v>7662</v>
      </c>
      <c r="W1900">
        <v>27</v>
      </c>
      <c r="X1900" t="s">
        <v>9562</v>
      </c>
      <c r="Y1900">
        <v>0.35762559782050651</v>
      </c>
      <c r="Z1900" t="str">
        <f>HYPERLINK("Melting_Curves/meltCurve_sp_Q6YN16_HSDL2_HUMAN_.pdf", "Melting_Curves/meltCurve_sp_Q6YN16_HSDL2_HUMAN_.pdf")</f>
        <v>Melting_Curves/meltCurve_sp_Q6YN16_HSDL2_HUMAN_.pdf</v>
      </c>
      <c r="AA1900" t="s">
        <v>13364</v>
      </c>
      <c r="AB1900" t="s">
        <v>17140</v>
      </c>
    </row>
    <row r="1901" spans="1:28" x14ac:dyDescent="0.25">
      <c r="A1901" t="s">
        <v>1905</v>
      </c>
      <c r="B1901">
        <v>0.98876768158843997</v>
      </c>
      <c r="C1901">
        <v>0.93328973997712295</v>
      </c>
      <c r="D1901">
        <v>0.88390069585652598</v>
      </c>
      <c r="E1901">
        <v>0.795941261933791</v>
      </c>
      <c r="F1901">
        <v>0.71897726243757698</v>
      </c>
      <c r="G1901">
        <v>0.54455065732335295</v>
      </c>
      <c r="H1901">
        <v>0.42013746484457198</v>
      </c>
      <c r="I1901">
        <v>0.41124160757915501</v>
      </c>
      <c r="J1901">
        <v>0.30687551979767602</v>
      </c>
      <c r="K1901">
        <v>0.23566258777819801</v>
      </c>
      <c r="L1901">
        <v>441.51199986392402</v>
      </c>
      <c r="M1901">
        <v>7.5319397024578496</v>
      </c>
      <c r="N1901">
        <v>59.134772207312601</v>
      </c>
      <c r="O1901">
        <v>54.913723105643498</v>
      </c>
      <c r="P1901">
        <v>-3.3246023236573399E-2</v>
      </c>
      <c r="Q1901">
        <v>3.1812727702186502E-2</v>
      </c>
      <c r="R1901">
        <v>0.993890832802374</v>
      </c>
      <c r="S1901" t="s">
        <v>5733</v>
      </c>
      <c r="T1901" t="s">
        <v>7662</v>
      </c>
      <c r="U1901" t="s">
        <v>7662</v>
      </c>
      <c r="V1901" t="s">
        <v>7662</v>
      </c>
      <c r="W1901">
        <v>10</v>
      </c>
      <c r="X1901" t="s">
        <v>9563</v>
      </c>
      <c r="Y1901">
        <v>0.6282732420850653</v>
      </c>
      <c r="Z1901" t="str">
        <f>HYPERLINK("Melting_Curves/meltCurve_sp_Q6YP21_3_KAT3_HUMAN_.pdf", "Melting_Curves/meltCurve_sp_Q6YP21_3_KAT3_HUMAN_.pdf")</f>
        <v>Melting_Curves/meltCurve_sp_Q6YP21_3_KAT3_HUMAN_.pdf</v>
      </c>
      <c r="AA1901" t="s">
        <v>13365</v>
      </c>
      <c r="AB1901" t="s">
        <v>17141</v>
      </c>
    </row>
    <row r="1902" spans="1:28" x14ac:dyDescent="0.25">
      <c r="A1902" t="s">
        <v>1906</v>
      </c>
      <c r="B1902">
        <v>0.98876768158843997</v>
      </c>
      <c r="C1902">
        <v>0.97038909313589095</v>
      </c>
      <c r="D1902">
        <v>1.0981325524252299</v>
      </c>
      <c r="E1902">
        <v>0.65513320209526205</v>
      </c>
      <c r="F1902">
        <v>0.37084026966565298</v>
      </c>
      <c r="G1902">
        <v>0.26077455959140899</v>
      </c>
      <c r="H1902">
        <v>0.193736130924925</v>
      </c>
      <c r="I1902">
        <v>0.21836075520467599</v>
      </c>
      <c r="J1902">
        <v>0.23005938971845599</v>
      </c>
      <c r="K1902">
        <v>0.25640241821613002</v>
      </c>
      <c r="L1902">
        <v>1931.5018057274499</v>
      </c>
      <c r="M1902">
        <v>38.283105797001198</v>
      </c>
      <c r="N1902">
        <v>51.296455165959003</v>
      </c>
      <c r="O1902">
        <v>50.316035295584498</v>
      </c>
      <c r="P1902">
        <v>-0.14579056742185301</v>
      </c>
      <c r="Q1902">
        <v>0.233543360372125</v>
      </c>
      <c r="R1902">
        <v>0.98430303332257396</v>
      </c>
      <c r="S1902" t="s">
        <v>5734</v>
      </c>
      <c r="T1902" t="s">
        <v>7662</v>
      </c>
      <c r="U1902" t="s">
        <v>7662</v>
      </c>
      <c r="V1902" t="s">
        <v>7662</v>
      </c>
      <c r="W1902">
        <v>8</v>
      </c>
      <c r="X1902" t="s">
        <v>9564</v>
      </c>
      <c r="Y1902">
        <v>0.50352592484018643</v>
      </c>
      <c r="Z1902" t="str">
        <f>HYPERLINK("Melting_Curves/meltCurve_sp_Q6ZMI0_PPR21_HUMAN_.pdf", "Melting_Curves/meltCurve_sp_Q6ZMI0_PPR21_HUMAN_.pdf")</f>
        <v>Melting_Curves/meltCurve_sp_Q6ZMI0_PPR21_HUMAN_.pdf</v>
      </c>
      <c r="AA1902" t="s">
        <v>13366</v>
      </c>
      <c r="AB1902" t="s">
        <v>17142</v>
      </c>
    </row>
    <row r="1903" spans="1:28" x14ac:dyDescent="0.25">
      <c r="A1903" t="s">
        <v>1907</v>
      </c>
      <c r="B1903">
        <v>0.98876768158843997</v>
      </c>
      <c r="C1903">
        <v>1.1204176028739901</v>
      </c>
      <c r="D1903">
        <v>0.754734773461612</v>
      </c>
      <c r="E1903">
        <v>0.303054993388363</v>
      </c>
      <c r="F1903">
        <v>0.130567698023452</v>
      </c>
      <c r="G1903">
        <v>0.10660058551924601</v>
      </c>
      <c r="H1903">
        <v>5.3323966754481901E-2</v>
      </c>
      <c r="I1903">
        <v>6.13814870648519E-2</v>
      </c>
      <c r="J1903">
        <v>8.2992281019124495E-2</v>
      </c>
      <c r="K1903">
        <v>4.1317692520384502E-2</v>
      </c>
      <c r="L1903">
        <v>1413.93497090088</v>
      </c>
      <c r="M1903">
        <v>29.4546448499623</v>
      </c>
      <c r="N1903">
        <v>48.247968370691297</v>
      </c>
      <c r="O1903">
        <v>47.784169416734301</v>
      </c>
      <c r="P1903">
        <v>-0.14343431643022</v>
      </c>
      <c r="Q1903">
        <v>6.92346067720334E-2</v>
      </c>
      <c r="R1903">
        <v>0.98376781896597598</v>
      </c>
      <c r="S1903" t="s">
        <v>5735</v>
      </c>
      <c r="T1903" t="s">
        <v>7662</v>
      </c>
      <c r="U1903" t="s">
        <v>7662</v>
      </c>
      <c r="V1903" t="s">
        <v>7662</v>
      </c>
      <c r="W1903">
        <v>3</v>
      </c>
      <c r="X1903" t="s">
        <v>9565</v>
      </c>
      <c r="Y1903">
        <v>0.32337785559825072</v>
      </c>
      <c r="Z1903" t="str">
        <f>HYPERLINK("Melting_Curves/meltCurve_sp_Q6ZNW5_GDPP1_HUMAN_.pdf", "Melting_Curves/meltCurve_sp_Q6ZNW5_GDPP1_HUMAN_.pdf")</f>
        <v>Melting_Curves/meltCurve_sp_Q6ZNW5_GDPP1_HUMAN_.pdf</v>
      </c>
      <c r="AA1903" t="s">
        <v>13367</v>
      </c>
      <c r="AB1903" t="s">
        <v>17143</v>
      </c>
    </row>
    <row r="1904" spans="1:28" x14ac:dyDescent="0.25">
      <c r="A1904" t="s">
        <v>1908</v>
      </c>
      <c r="B1904">
        <v>0.98876768158843997</v>
      </c>
      <c r="C1904">
        <v>1.07369648959266</v>
      </c>
      <c r="D1904">
        <v>0.89075979683161699</v>
      </c>
      <c r="E1904">
        <v>0.61953482119161796</v>
      </c>
      <c r="F1904">
        <v>0.70486999759272895</v>
      </c>
      <c r="G1904">
        <v>0.38594360493240598</v>
      </c>
      <c r="H1904">
        <v>0.32285729140764502</v>
      </c>
      <c r="I1904">
        <v>0.37006606440752399</v>
      </c>
      <c r="J1904">
        <v>0.39371727404953299</v>
      </c>
      <c r="K1904">
        <v>0.54059488610670903</v>
      </c>
      <c r="L1904">
        <v>955.85642956410004</v>
      </c>
      <c r="M1904">
        <v>19.083858090307299</v>
      </c>
      <c r="N1904">
        <v>54.713670716149302</v>
      </c>
      <c r="O1904">
        <v>49.546915544934301</v>
      </c>
      <c r="P1904">
        <v>-5.7736414301601202E-2</v>
      </c>
      <c r="Q1904">
        <v>0.40042539024337298</v>
      </c>
      <c r="R1904">
        <v>0.89202228615788803</v>
      </c>
      <c r="S1904" t="s">
        <v>5736</v>
      </c>
      <c r="T1904" t="s">
        <v>7662</v>
      </c>
      <c r="U1904" t="s">
        <v>7662</v>
      </c>
      <c r="V1904" t="s">
        <v>7662</v>
      </c>
      <c r="W1904">
        <v>2</v>
      </c>
      <c r="X1904" t="s">
        <v>9566</v>
      </c>
      <c r="Y1904">
        <v>0.61116161066525576</v>
      </c>
      <c r="Z1904" t="str">
        <f>HYPERLINK("Melting_Curves/meltCurve_sp_Q6ZSJ8_CA122_HUMAN_.pdf", "Melting_Curves/meltCurve_sp_Q6ZSJ8_CA122_HUMAN_.pdf")</f>
        <v>Melting_Curves/meltCurve_sp_Q6ZSJ8_CA122_HUMAN_.pdf</v>
      </c>
      <c r="AA1904" t="s">
        <v>13368</v>
      </c>
      <c r="AB1904" t="s">
        <v>17144</v>
      </c>
    </row>
    <row r="1905" spans="1:28" x14ac:dyDescent="0.25">
      <c r="A1905" t="s">
        <v>1909</v>
      </c>
      <c r="B1905">
        <v>0.98876768158843997</v>
      </c>
      <c r="C1905">
        <v>0.96535583757385401</v>
      </c>
      <c r="D1905">
        <v>1.0188215722799501</v>
      </c>
      <c r="E1905">
        <v>0.78375696613525803</v>
      </c>
      <c r="F1905">
        <v>0.38321894859380801</v>
      </c>
      <c r="G1905">
        <v>0.11233306020099</v>
      </c>
      <c r="H1905">
        <v>8.5324969465403799E-2</v>
      </c>
      <c r="I1905">
        <v>8.7217537923274704E-2</v>
      </c>
      <c r="J1905">
        <v>3.5632895444637498E-2</v>
      </c>
      <c r="K1905">
        <v>3.2250210064594699E-2</v>
      </c>
      <c r="L1905">
        <v>1649.20497901971</v>
      </c>
      <c r="M1905">
        <v>31.750917047007601</v>
      </c>
      <c r="N1905">
        <v>52.141971536343803</v>
      </c>
      <c r="O1905">
        <v>51.737217214287398</v>
      </c>
      <c r="P1905">
        <v>-0.14462851280528599</v>
      </c>
      <c r="Q1905">
        <v>5.7332602968706403E-2</v>
      </c>
      <c r="R1905">
        <v>0.99725735528413195</v>
      </c>
      <c r="S1905" t="s">
        <v>5737</v>
      </c>
      <c r="T1905" t="s">
        <v>7662</v>
      </c>
      <c r="U1905" t="s">
        <v>7662</v>
      </c>
      <c r="V1905" t="s">
        <v>7662</v>
      </c>
      <c r="W1905">
        <v>4</v>
      </c>
      <c r="X1905" t="s">
        <v>9567</v>
      </c>
      <c r="Y1905">
        <v>0.43795139523547799</v>
      </c>
      <c r="Z1905" t="str">
        <f>HYPERLINK("Melting_Curves/meltCurve_sp_Q6ZT12_UBR3_HUMAN_.pdf", "Melting_Curves/meltCurve_sp_Q6ZT12_UBR3_HUMAN_.pdf")</f>
        <v>Melting_Curves/meltCurve_sp_Q6ZT12_UBR3_HUMAN_.pdf</v>
      </c>
      <c r="AA1905" t="s">
        <v>13369</v>
      </c>
      <c r="AB1905" t="s">
        <v>17145</v>
      </c>
    </row>
    <row r="1906" spans="1:28" x14ac:dyDescent="0.25">
      <c r="A1906" t="s">
        <v>1910</v>
      </c>
      <c r="B1906">
        <v>0.98876768158843997</v>
      </c>
      <c r="C1906">
        <v>0.86991778860560298</v>
      </c>
      <c r="D1906">
        <v>0.918665476207708</v>
      </c>
      <c r="E1906">
        <v>0.59724092697841202</v>
      </c>
      <c r="F1906">
        <v>0.247338109797615</v>
      </c>
      <c r="G1906">
        <v>0.12720196120765201</v>
      </c>
      <c r="H1906">
        <v>8.1572871045434495E-2</v>
      </c>
      <c r="I1906">
        <v>7.2513563406377504E-2</v>
      </c>
      <c r="J1906">
        <v>0.10385999949543701</v>
      </c>
      <c r="K1906">
        <v>9.4130997383938597E-2</v>
      </c>
      <c r="L1906">
        <v>1289.93275784666</v>
      </c>
      <c r="M1906">
        <v>25.662590581564199</v>
      </c>
      <c r="N1906">
        <v>50.617938076757099</v>
      </c>
      <c r="O1906">
        <v>49.962860899810998</v>
      </c>
      <c r="P1906">
        <v>-0.117893443451539</v>
      </c>
      <c r="Q1906">
        <v>8.1897510692839695E-2</v>
      </c>
      <c r="R1906">
        <v>0.98788650873980099</v>
      </c>
      <c r="S1906" t="s">
        <v>5738</v>
      </c>
      <c r="T1906" t="s">
        <v>7662</v>
      </c>
      <c r="U1906" t="s">
        <v>7662</v>
      </c>
      <c r="V1906" t="s">
        <v>7662</v>
      </c>
      <c r="W1906">
        <v>19</v>
      </c>
      <c r="X1906" t="s">
        <v>9568</v>
      </c>
      <c r="Y1906">
        <v>0.40385340227639838</v>
      </c>
      <c r="Z1906" t="str">
        <f>HYPERLINK("Melting_Curves/meltCurve_sp_Q6ZUJ8_BCAP_HUMAN_.pdf", "Melting_Curves/meltCurve_sp_Q6ZUJ8_BCAP_HUMAN_.pdf")</f>
        <v>Melting_Curves/meltCurve_sp_Q6ZUJ8_BCAP_HUMAN_.pdf</v>
      </c>
      <c r="AA1906" t="s">
        <v>13370</v>
      </c>
      <c r="AB1906" t="s">
        <v>17146</v>
      </c>
    </row>
    <row r="1907" spans="1:28" x14ac:dyDescent="0.25">
      <c r="A1907" t="s">
        <v>1911</v>
      </c>
      <c r="B1907">
        <v>0.98876768158843997</v>
      </c>
      <c r="C1907">
        <v>0.90437298997788096</v>
      </c>
      <c r="D1907">
        <v>0.97729968494109098</v>
      </c>
      <c r="E1907">
        <v>0.74442193719287097</v>
      </c>
      <c r="F1907">
        <v>0.51861448788123699</v>
      </c>
      <c r="G1907">
        <v>0.39169306116603497</v>
      </c>
      <c r="H1907">
        <v>0.29215610301043399</v>
      </c>
      <c r="I1907">
        <v>0.18152312266227699</v>
      </c>
      <c r="J1907">
        <v>8.5737190226939403E-2</v>
      </c>
      <c r="K1907">
        <v>8.2785453824653202E-2</v>
      </c>
      <c r="L1907">
        <v>622.27639224271798</v>
      </c>
      <c r="M1907">
        <v>11.430498449417</v>
      </c>
      <c r="N1907">
        <v>54.607683353893698</v>
      </c>
      <c r="O1907">
        <v>52.853677093107002</v>
      </c>
      <c r="P1907">
        <v>-5.31497983523678E-2</v>
      </c>
      <c r="Q1907">
        <v>1.7244861512909101E-2</v>
      </c>
      <c r="R1907">
        <v>0.98444165548052698</v>
      </c>
      <c r="S1907" t="s">
        <v>5739</v>
      </c>
      <c r="T1907" t="s">
        <v>7662</v>
      </c>
      <c r="U1907" t="s">
        <v>7662</v>
      </c>
      <c r="V1907" t="s">
        <v>7662</v>
      </c>
      <c r="W1907">
        <v>12</v>
      </c>
      <c r="X1907" t="s">
        <v>9569</v>
      </c>
      <c r="Y1907">
        <v>0.51579704777558233</v>
      </c>
      <c r="Z1907" t="str">
        <f>HYPERLINK("Melting_Curves/meltCurve_sp_Q709C8_3_VP13C_HUMAN_.pdf", "Melting_Curves/meltCurve_sp_Q709C8_3_VP13C_HUMAN_.pdf")</f>
        <v>Melting_Curves/meltCurve_sp_Q709C8_3_VP13C_HUMAN_.pdf</v>
      </c>
      <c r="AA1907" t="s">
        <v>13371</v>
      </c>
      <c r="AB1907" t="s">
        <v>17147</v>
      </c>
    </row>
    <row r="1908" spans="1:28" x14ac:dyDescent="0.25">
      <c r="A1908" t="s">
        <v>1912</v>
      </c>
      <c r="B1908">
        <v>0.98876768158843997</v>
      </c>
      <c r="C1908">
        <v>0.91010659647716197</v>
      </c>
      <c r="D1908">
        <v>0.95690698564891197</v>
      </c>
      <c r="E1908">
        <v>0.65205383536848904</v>
      </c>
      <c r="F1908">
        <v>0.26065000002295002</v>
      </c>
      <c r="G1908">
        <v>9.0448356617936404E-2</v>
      </c>
      <c r="H1908">
        <v>4.4400831007658598E-2</v>
      </c>
      <c r="I1908">
        <v>3.72106909683085E-2</v>
      </c>
      <c r="J1908">
        <v>4.7481953281014101E-2</v>
      </c>
      <c r="K1908">
        <v>3.4387703912511301E-2</v>
      </c>
      <c r="L1908">
        <v>1473.3373101463601</v>
      </c>
      <c r="M1908">
        <v>28.939869038985702</v>
      </c>
      <c r="N1908">
        <v>51.053190424426298</v>
      </c>
      <c r="O1908">
        <v>50.6690671186036</v>
      </c>
      <c r="P1908">
        <v>-0.13723487062478701</v>
      </c>
      <c r="Q1908">
        <v>3.8902306263279403E-2</v>
      </c>
      <c r="R1908">
        <v>0.99513188182309897</v>
      </c>
      <c r="S1908" t="s">
        <v>5740</v>
      </c>
      <c r="T1908" t="s">
        <v>7662</v>
      </c>
      <c r="U1908" t="s">
        <v>7662</v>
      </c>
      <c r="V1908" t="s">
        <v>7662</v>
      </c>
      <c r="W1908">
        <v>26</v>
      </c>
      <c r="X1908" t="s">
        <v>9570</v>
      </c>
      <c r="Y1908">
        <v>0.39491574230034232</v>
      </c>
      <c r="Z1908" t="str">
        <f>HYPERLINK("Melting_Curves/meltCurve_sp_Q709F0_ACD11_HUMAN_.pdf", "Melting_Curves/meltCurve_sp_Q709F0_ACD11_HUMAN_.pdf")</f>
        <v>Melting_Curves/meltCurve_sp_Q709F0_ACD11_HUMAN_.pdf</v>
      </c>
      <c r="AA1908" t="s">
        <v>13372</v>
      </c>
      <c r="AB1908" t="s">
        <v>17148</v>
      </c>
    </row>
    <row r="1909" spans="1:28" x14ac:dyDescent="0.25">
      <c r="A1909" t="s">
        <v>1913</v>
      </c>
      <c r="B1909">
        <v>0.98876768158843997</v>
      </c>
      <c r="C1909">
        <v>1.00085934970665</v>
      </c>
      <c r="D1909">
        <v>0.83775582793719605</v>
      </c>
      <c r="E1909">
        <v>0.65205966115981895</v>
      </c>
      <c r="F1909">
        <v>0.63431615266043295</v>
      </c>
      <c r="G1909">
        <v>0.367610249401774</v>
      </c>
      <c r="H1909">
        <v>0.16058778751757</v>
      </c>
      <c r="I1909">
        <v>0.161769407366574</v>
      </c>
      <c r="J1909">
        <v>0.167136555767051</v>
      </c>
      <c r="K1909">
        <v>0.21180933462347501</v>
      </c>
      <c r="L1909">
        <v>684.01355523250402</v>
      </c>
      <c r="M1909">
        <v>12.97401035923</v>
      </c>
      <c r="N1909">
        <v>53.7763048417752</v>
      </c>
      <c r="O1909">
        <v>51.516431686463903</v>
      </c>
      <c r="P1909">
        <v>-5.5899410620582998E-2</v>
      </c>
      <c r="Q1909">
        <v>0.112309768219803</v>
      </c>
      <c r="R1909">
        <v>0.97422508040830502</v>
      </c>
      <c r="S1909" t="s">
        <v>5741</v>
      </c>
      <c r="T1909" t="s">
        <v>7662</v>
      </c>
      <c r="U1909" t="s">
        <v>7662</v>
      </c>
      <c r="V1909" t="s">
        <v>7662</v>
      </c>
      <c r="W1909">
        <v>7</v>
      </c>
      <c r="X1909" t="s">
        <v>9571</v>
      </c>
      <c r="Y1909">
        <v>0.51223045683783563</v>
      </c>
      <c r="Z1909" t="str">
        <f>HYPERLINK("Melting_Curves/meltCurve_sp_Q70E73_RAPH1_HUMAN_.pdf", "Melting_Curves/meltCurve_sp_Q70E73_RAPH1_HUMAN_.pdf")</f>
        <v>Melting_Curves/meltCurve_sp_Q70E73_RAPH1_HUMAN_.pdf</v>
      </c>
      <c r="AA1909" t="s">
        <v>13373</v>
      </c>
      <c r="AB1909" t="s">
        <v>17149</v>
      </c>
    </row>
    <row r="1910" spans="1:28" x14ac:dyDescent="0.25">
      <c r="A1910" t="s">
        <v>1914</v>
      </c>
      <c r="B1910">
        <v>0.98876768158843997</v>
      </c>
      <c r="C1910">
        <v>1.01765940323994</v>
      </c>
      <c r="D1910">
        <v>0.88938459425055605</v>
      </c>
      <c r="E1910">
        <v>0.69566867973905999</v>
      </c>
      <c r="F1910">
        <v>0.65247581412912103</v>
      </c>
      <c r="G1910">
        <v>0.47031901178796398</v>
      </c>
      <c r="H1910">
        <v>0.28032722484294398</v>
      </c>
      <c r="I1910">
        <v>0.16687273170321301</v>
      </c>
      <c r="J1910">
        <v>0.140938782650084</v>
      </c>
      <c r="K1910">
        <v>8.5718696450029094E-2</v>
      </c>
      <c r="L1910">
        <v>591.36697767390399</v>
      </c>
      <c r="M1910">
        <v>10.650017715952201</v>
      </c>
      <c r="N1910">
        <v>55.527323374319998</v>
      </c>
      <c r="O1910">
        <v>53.676913721481398</v>
      </c>
      <c r="P1910">
        <v>-4.9621364636707903E-2</v>
      </c>
      <c r="Q1910">
        <v>0</v>
      </c>
      <c r="R1910">
        <v>0.98990990814183799</v>
      </c>
      <c r="S1910" t="s">
        <v>5742</v>
      </c>
      <c r="T1910" t="s">
        <v>7662</v>
      </c>
      <c r="U1910" t="s">
        <v>7662</v>
      </c>
      <c r="V1910" t="s">
        <v>7662</v>
      </c>
      <c r="W1910">
        <v>4</v>
      </c>
      <c r="X1910" t="s">
        <v>9572</v>
      </c>
      <c r="Y1910">
        <v>0.540617201582408</v>
      </c>
      <c r="Z1910" t="str">
        <f>HYPERLINK("Melting_Curves/meltCurve_sp_Q712K3_UB2R2_HUMAN_.pdf", "Melting_Curves/meltCurve_sp_Q712K3_UB2R2_HUMAN_.pdf")</f>
        <v>Melting_Curves/meltCurve_sp_Q712K3_UB2R2_HUMAN_.pdf</v>
      </c>
      <c r="AA1910" t="s">
        <v>13374</v>
      </c>
      <c r="AB1910" t="s">
        <v>17150</v>
      </c>
    </row>
    <row r="1911" spans="1:28" x14ac:dyDescent="0.25">
      <c r="A1911" t="s">
        <v>1915</v>
      </c>
      <c r="B1911">
        <v>0.98876768158843997</v>
      </c>
      <c r="C1911">
        <v>1.0277549955548</v>
      </c>
      <c r="D1911">
        <v>0.82808204874931901</v>
      </c>
      <c r="E1911">
        <v>0.53728519698447397</v>
      </c>
      <c r="F1911">
        <v>0.53532762129057399</v>
      </c>
      <c r="G1911">
        <v>0.31726915834964697</v>
      </c>
      <c r="H1911">
        <v>0.207190005628967</v>
      </c>
      <c r="I1911">
        <v>0.19610055015399599</v>
      </c>
      <c r="J1911">
        <v>0.20165143703865299</v>
      </c>
      <c r="K1911">
        <v>0.22344296751336701</v>
      </c>
      <c r="L1911">
        <v>752.037719579076</v>
      </c>
      <c r="M1911">
        <v>14.9151469818169</v>
      </c>
      <c r="N1911">
        <v>52.029499122199397</v>
      </c>
      <c r="O1911">
        <v>49.5407348611785</v>
      </c>
      <c r="P1911">
        <v>-6.1371742715743798E-2</v>
      </c>
      <c r="Q1911">
        <v>0.18469802578823699</v>
      </c>
      <c r="R1911">
        <v>0.97677431167350004</v>
      </c>
      <c r="S1911" t="s">
        <v>5743</v>
      </c>
      <c r="T1911" t="s">
        <v>7662</v>
      </c>
      <c r="U1911" t="s">
        <v>7662</v>
      </c>
      <c r="V1911" t="s">
        <v>7662</v>
      </c>
      <c r="W1911">
        <v>6</v>
      </c>
      <c r="X1911" t="s">
        <v>9573</v>
      </c>
      <c r="Y1911">
        <v>0.48728010415961359</v>
      </c>
      <c r="Z1911" t="str">
        <f>HYPERLINK("Melting_Curves/meltCurve_sp_Q71RC2_6_LARP4_HUMAN_.pdf", "Melting_Curves/meltCurve_sp_Q71RC2_6_LARP4_HUMAN_.pdf")</f>
        <v>Melting_Curves/meltCurve_sp_Q71RC2_6_LARP4_HUMAN_.pdf</v>
      </c>
      <c r="AA1911" t="s">
        <v>13375</v>
      </c>
      <c r="AB1911" t="s">
        <v>17151</v>
      </c>
    </row>
    <row r="1912" spans="1:28" x14ac:dyDescent="0.25">
      <c r="A1912" t="s">
        <v>1916</v>
      </c>
      <c r="B1912">
        <v>0.98876768158843997</v>
      </c>
      <c r="C1912">
        <v>0.89222039791659902</v>
      </c>
      <c r="D1912">
        <v>0.68206848363192496</v>
      </c>
      <c r="E1912">
        <v>0.39636996442780997</v>
      </c>
      <c r="F1912">
        <v>0.228205698103634</v>
      </c>
      <c r="G1912">
        <v>0.122597482193591</v>
      </c>
      <c r="H1912">
        <v>5.82636158420669E-2</v>
      </c>
      <c r="I1912">
        <v>6.2217228614646403E-2</v>
      </c>
      <c r="J1912">
        <v>7.5898449316054703E-2</v>
      </c>
      <c r="K1912">
        <v>7.0895034639755994E-2</v>
      </c>
      <c r="L1912">
        <v>792.67537658778701</v>
      </c>
      <c r="M1912">
        <v>16.471448691023799</v>
      </c>
      <c r="N1912">
        <v>48.461076945987998</v>
      </c>
      <c r="O1912">
        <v>47.431648109139203</v>
      </c>
      <c r="P1912">
        <v>-8.21259685206739E-2</v>
      </c>
      <c r="Q1912">
        <v>5.4097170053209097E-2</v>
      </c>
      <c r="R1912">
        <v>0.99849821100649705</v>
      </c>
      <c r="S1912" t="s">
        <v>5744</v>
      </c>
      <c r="T1912" t="s">
        <v>7662</v>
      </c>
      <c r="U1912" t="s">
        <v>7662</v>
      </c>
      <c r="V1912" t="s">
        <v>7662</v>
      </c>
      <c r="W1912">
        <v>15</v>
      </c>
      <c r="X1912" t="s">
        <v>9574</v>
      </c>
      <c r="Y1912">
        <v>0.33032225144598643</v>
      </c>
      <c r="Z1912" t="str">
        <f>HYPERLINK("Melting_Curves/meltCurve_sp_Q71U36_2_TBA1A_HUMAN_.pdf", "Melting_Curves/meltCurve_sp_Q71U36_2_TBA1A_HUMAN_.pdf")</f>
        <v>Melting_Curves/meltCurve_sp_Q71U36_2_TBA1A_HUMAN_.pdf</v>
      </c>
      <c r="AA1912" t="s">
        <v>13376</v>
      </c>
      <c r="AB1912" t="s">
        <v>17152</v>
      </c>
    </row>
    <row r="1913" spans="1:28" x14ac:dyDescent="0.25">
      <c r="A1913" t="s">
        <v>1917</v>
      </c>
      <c r="B1913">
        <v>0.98876768158843997</v>
      </c>
      <c r="C1913">
        <v>1.00460110544679</v>
      </c>
      <c r="D1913">
        <v>0.85649475214547</v>
      </c>
      <c r="E1913">
        <v>0.69932632578241005</v>
      </c>
      <c r="F1913">
        <v>0.61527616766170601</v>
      </c>
      <c r="G1913">
        <v>0.27414014730359998</v>
      </c>
      <c r="H1913">
        <v>0.19892067292448101</v>
      </c>
      <c r="I1913">
        <v>0.180094467709984</v>
      </c>
      <c r="J1913">
        <v>0.340068200609351</v>
      </c>
      <c r="K1913">
        <v>0.20808596453564099</v>
      </c>
      <c r="L1913">
        <v>888.760851489522</v>
      </c>
      <c r="M1913">
        <v>17.1645000496585</v>
      </c>
      <c r="N1913">
        <v>53.393038343493899</v>
      </c>
      <c r="O1913">
        <v>51.091522059233696</v>
      </c>
      <c r="P1913">
        <v>-6.6993334939830299E-2</v>
      </c>
      <c r="Q1913">
        <v>0.20240314745726401</v>
      </c>
      <c r="R1913">
        <v>0.96204450202980696</v>
      </c>
      <c r="S1913" t="s">
        <v>5745</v>
      </c>
      <c r="T1913" t="s">
        <v>7662</v>
      </c>
      <c r="U1913" t="s">
        <v>7662</v>
      </c>
      <c r="V1913" t="s">
        <v>7662</v>
      </c>
      <c r="W1913">
        <v>10</v>
      </c>
      <c r="X1913" t="s">
        <v>9575</v>
      </c>
      <c r="Y1913">
        <v>0.53000386622984264</v>
      </c>
      <c r="Z1913" t="str">
        <f>HYPERLINK("Melting_Curves/meltCurve_sp_Q765P7_MTSSL_HUMAN_.pdf", "Melting_Curves/meltCurve_sp_Q765P7_MTSSL_HUMAN_.pdf")</f>
        <v>Melting_Curves/meltCurve_sp_Q765P7_MTSSL_HUMAN_.pdf</v>
      </c>
      <c r="AA1913" t="s">
        <v>13377</v>
      </c>
      <c r="AB1913" t="s">
        <v>17153</v>
      </c>
    </row>
    <row r="1914" spans="1:28" x14ac:dyDescent="0.25">
      <c r="A1914" t="s">
        <v>1918</v>
      </c>
      <c r="B1914">
        <v>0.98876768158843997</v>
      </c>
      <c r="C1914">
        <v>0.89488080962374805</v>
      </c>
      <c r="D1914">
        <v>0.967353575121221</v>
      </c>
      <c r="E1914">
        <v>0.63508626823249703</v>
      </c>
      <c r="F1914">
        <v>0.35954468691854702</v>
      </c>
      <c r="G1914">
        <v>0.284464489426349</v>
      </c>
      <c r="H1914">
        <v>0.16663744254285301</v>
      </c>
      <c r="I1914">
        <v>0.11784660945721399</v>
      </c>
      <c r="J1914">
        <v>0.233724569880564</v>
      </c>
      <c r="K1914">
        <v>0.221722789817452</v>
      </c>
      <c r="L1914">
        <v>1262.9089479792899</v>
      </c>
      <c r="M1914">
        <v>25.0482384900181</v>
      </c>
      <c r="N1914">
        <v>51.402468638238098</v>
      </c>
      <c r="O1914">
        <v>50.101009618766803</v>
      </c>
      <c r="P1914">
        <v>-0.101196915583915</v>
      </c>
      <c r="Q1914">
        <v>0.19036228626323401</v>
      </c>
      <c r="R1914">
        <v>0.97918110270838199</v>
      </c>
      <c r="S1914" t="s">
        <v>5746</v>
      </c>
      <c r="T1914" t="s">
        <v>7662</v>
      </c>
      <c r="U1914" t="s">
        <v>7662</v>
      </c>
      <c r="V1914" t="s">
        <v>7662</v>
      </c>
      <c r="W1914">
        <v>6</v>
      </c>
      <c r="X1914" t="s">
        <v>9576</v>
      </c>
      <c r="Y1914">
        <v>0.47879170673027521</v>
      </c>
      <c r="Z1914" t="str">
        <f>HYPERLINK("Melting_Curves/meltCurve_sp_Q7KZ85_SPT6H_HUMAN_.pdf", "Melting_Curves/meltCurve_sp_Q7KZ85_SPT6H_HUMAN_.pdf")</f>
        <v>Melting_Curves/meltCurve_sp_Q7KZ85_SPT6H_HUMAN_.pdf</v>
      </c>
      <c r="AA1914" t="s">
        <v>13378</v>
      </c>
      <c r="AB1914" t="s">
        <v>17154</v>
      </c>
    </row>
    <row r="1915" spans="1:28" x14ac:dyDescent="0.25">
      <c r="A1915" t="s">
        <v>1919</v>
      </c>
      <c r="B1915">
        <v>0.98876768158843997</v>
      </c>
      <c r="C1915">
        <v>0.90797593092861295</v>
      </c>
      <c r="D1915">
        <v>0.60137063555767301</v>
      </c>
      <c r="E1915">
        <v>0.18760241833250499</v>
      </c>
      <c r="F1915">
        <v>9.3877723218260101E-2</v>
      </c>
      <c r="G1915">
        <v>5.3541453260570998E-2</v>
      </c>
      <c r="H1915">
        <v>3.4461572254722198E-2</v>
      </c>
      <c r="I1915">
        <v>2.9390547567599401E-2</v>
      </c>
      <c r="J1915">
        <v>3.9508821090363702E-2</v>
      </c>
      <c r="K1915">
        <v>2.9432356720954098E-2</v>
      </c>
      <c r="L1915">
        <v>1159.37388449893</v>
      </c>
      <c r="M1915">
        <v>24.840793387775499</v>
      </c>
      <c r="N1915">
        <v>46.811590626915397</v>
      </c>
      <c r="O1915">
        <v>46.372861998195297</v>
      </c>
      <c r="P1915">
        <v>-0.12914568356009101</v>
      </c>
      <c r="Q1915">
        <v>3.5655227087029798E-2</v>
      </c>
      <c r="R1915">
        <v>0.99972947257992895</v>
      </c>
      <c r="S1915" t="s">
        <v>5747</v>
      </c>
      <c r="T1915" t="s">
        <v>7662</v>
      </c>
      <c r="U1915" t="s">
        <v>7662</v>
      </c>
      <c r="V1915" t="s">
        <v>7662</v>
      </c>
      <c r="W1915">
        <v>24</v>
      </c>
      <c r="X1915" t="s">
        <v>9577</v>
      </c>
      <c r="Y1915">
        <v>0.25893366225287662</v>
      </c>
      <c r="Z1915" t="str">
        <f>HYPERLINK("Melting_Curves/meltCurve_sp_Q7KZF4_SND1_HUMAN_.pdf", "Melting_Curves/meltCurve_sp_Q7KZF4_SND1_HUMAN_.pdf")</f>
        <v>Melting_Curves/meltCurve_sp_Q7KZF4_SND1_HUMAN_.pdf</v>
      </c>
      <c r="AA1915" t="s">
        <v>13379</v>
      </c>
      <c r="AB1915" t="s">
        <v>17155</v>
      </c>
    </row>
    <row r="1916" spans="1:28" x14ac:dyDescent="0.25">
      <c r="A1916" t="s">
        <v>1920</v>
      </c>
      <c r="B1916">
        <v>0.98876768158843997</v>
      </c>
      <c r="C1916">
        <v>1.04320245418501</v>
      </c>
      <c r="D1916">
        <v>0.88529504079257404</v>
      </c>
      <c r="E1916">
        <v>0.86645467595125003</v>
      </c>
      <c r="F1916">
        <v>0.66893461245033103</v>
      </c>
      <c r="G1916">
        <v>0.45039916275638697</v>
      </c>
      <c r="H1916">
        <v>0.32320636338668002</v>
      </c>
      <c r="I1916">
        <v>0.40206014838139997</v>
      </c>
      <c r="J1916">
        <v>0.53613362007797805</v>
      </c>
      <c r="K1916">
        <v>0.55883779077026596</v>
      </c>
      <c r="L1916">
        <v>1574.72565918687</v>
      </c>
      <c r="M1916">
        <v>30.322282926433701</v>
      </c>
      <c r="N1916">
        <v>56.159826346771197</v>
      </c>
      <c r="O1916">
        <v>51.708644687809802</v>
      </c>
      <c r="P1916">
        <v>-8.0782210441952093E-2</v>
      </c>
      <c r="Q1916">
        <v>0.44897124426649199</v>
      </c>
      <c r="R1916">
        <v>0.909576730987249</v>
      </c>
      <c r="S1916" t="s">
        <v>5748</v>
      </c>
      <c r="T1916" t="s">
        <v>7662</v>
      </c>
      <c r="U1916" t="s">
        <v>7662</v>
      </c>
      <c r="V1916" t="s">
        <v>7662</v>
      </c>
      <c r="W1916">
        <v>1</v>
      </c>
      <c r="X1916" t="s">
        <v>9578</v>
      </c>
      <c r="Y1916">
        <v>0.67159442525275703</v>
      </c>
      <c r="Z1916" t="str">
        <f>HYPERLINK("Melting_Curves/meltCurve_sp_Q7KZI7_12_MARK2_HUMAN_.pdf", "Melting_Curves/meltCurve_sp_Q7KZI7_12_MARK2_HUMAN_.pdf")</f>
        <v>Melting_Curves/meltCurve_sp_Q7KZI7_12_MARK2_HUMAN_.pdf</v>
      </c>
      <c r="AA1916" t="s">
        <v>13380</v>
      </c>
      <c r="AB1916" t="s">
        <v>17156</v>
      </c>
    </row>
    <row r="1917" spans="1:28" x14ac:dyDescent="0.25">
      <c r="A1917" t="s">
        <v>1921</v>
      </c>
      <c r="B1917">
        <v>0.98876768158843997</v>
      </c>
      <c r="C1917">
        <v>0.97900678486377501</v>
      </c>
      <c r="D1917">
        <v>0.72462449474611401</v>
      </c>
      <c r="E1917">
        <v>0.36116498787882401</v>
      </c>
      <c r="F1917">
        <v>0.33059591134327998</v>
      </c>
      <c r="G1917">
        <v>0.19971243775751099</v>
      </c>
      <c r="H1917">
        <v>0.15017381517703099</v>
      </c>
      <c r="I1917">
        <v>0.14573473639319601</v>
      </c>
      <c r="J1917">
        <v>0.157186396722411</v>
      </c>
      <c r="K1917">
        <v>0.15689344531925101</v>
      </c>
      <c r="L1917">
        <v>983.253930506713</v>
      </c>
      <c r="M1917">
        <v>20.568464744730498</v>
      </c>
      <c r="N1917">
        <v>48.713303941106403</v>
      </c>
      <c r="O1917">
        <v>47.358968105427302</v>
      </c>
      <c r="P1917">
        <v>-9.1270632878461197E-2</v>
      </c>
      <c r="Q1917">
        <v>0.159420577783912</v>
      </c>
      <c r="R1917">
        <v>0.99002106205807305</v>
      </c>
      <c r="S1917" t="s">
        <v>5749</v>
      </c>
      <c r="T1917" t="s">
        <v>7662</v>
      </c>
      <c r="U1917" t="s">
        <v>7662</v>
      </c>
      <c r="V1917" t="s">
        <v>7662</v>
      </c>
      <c r="W1917">
        <v>14</v>
      </c>
      <c r="X1917" t="s">
        <v>9579</v>
      </c>
      <c r="Y1917">
        <v>0.38938126344018997</v>
      </c>
      <c r="Z1917" t="str">
        <f>HYPERLINK("Melting_Curves/meltCurve_sp_Q7L014_DDX46_HUMAN_.pdf", "Melting_Curves/meltCurve_sp_Q7L014_DDX46_HUMAN_.pdf")</f>
        <v>Melting_Curves/meltCurve_sp_Q7L014_DDX46_HUMAN_.pdf</v>
      </c>
      <c r="AA1917" t="s">
        <v>13381</v>
      </c>
      <c r="AB1917" t="s">
        <v>17157</v>
      </c>
    </row>
    <row r="1918" spans="1:28" x14ac:dyDescent="0.25">
      <c r="A1918" t="s">
        <v>1922</v>
      </c>
      <c r="B1918">
        <v>0.98876768158843997</v>
      </c>
      <c r="C1918">
        <v>0.95990913443185399</v>
      </c>
      <c r="D1918">
        <v>0.88777285913390702</v>
      </c>
      <c r="E1918">
        <v>0.69696033364155596</v>
      </c>
      <c r="F1918">
        <v>0.70407849696538904</v>
      </c>
      <c r="G1918">
        <v>0.35676459343050598</v>
      </c>
      <c r="H1918">
        <v>0.18634677506287101</v>
      </c>
      <c r="I1918">
        <v>0.13700226487731601</v>
      </c>
      <c r="J1918">
        <v>0.20865910274317201</v>
      </c>
      <c r="K1918">
        <v>0.16603937574087399</v>
      </c>
      <c r="L1918">
        <v>742.27214303580399</v>
      </c>
      <c r="M1918">
        <v>13.830806572176</v>
      </c>
      <c r="N1918">
        <v>54.564405419295099</v>
      </c>
      <c r="O1918">
        <v>52.583397478741801</v>
      </c>
      <c r="P1918">
        <v>-5.9082312302170002E-2</v>
      </c>
      <c r="Q1918">
        <v>0.101623386490987</v>
      </c>
      <c r="R1918">
        <v>0.97448995020637497</v>
      </c>
      <c r="S1918" t="s">
        <v>5750</v>
      </c>
      <c r="T1918" t="s">
        <v>7662</v>
      </c>
      <c r="U1918" t="s">
        <v>7662</v>
      </c>
      <c r="V1918" t="s">
        <v>7662</v>
      </c>
      <c r="W1918">
        <v>4</v>
      </c>
      <c r="X1918" t="s">
        <v>9580</v>
      </c>
      <c r="Y1918">
        <v>0.53165739808603163</v>
      </c>
      <c r="Z1918" t="str">
        <f>HYPERLINK("Melting_Curves/meltCurve_sp_Q7L099_4_RUFY3_HUMAN_.pdf", "Melting_Curves/meltCurve_sp_Q7L099_4_RUFY3_HUMAN_.pdf")</f>
        <v>Melting_Curves/meltCurve_sp_Q7L099_4_RUFY3_HUMAN_.pdf</v>
      </c>
      <c r="AA1918" t="s">
        <v>13382</v>
      </c>
      <c r="AB1918" t="s">
        <v>17158</v>
      </c>
    </row>
    <row r="1919" spans="1:28" x14ac:dyDescent="0.25">
      <c r="A1919" t="s">
        <v>1923</v>
      </c>
      <c r="B1919">
        <v>0.98876768158843997</v>
      </c>
      <c r="C1919">
        <v>0.81328406654135099</v>
      </c>
      <c r="D1919">
        <v>0.857899391615627</v>
      </c>
      <c r="E1919">
        <v>0.37360324806140299</v>
      </c>
      <c r="F1919">
        <v>0.123603141296971</v>
      </c>
      <c r="G1919">
        <v>5.9572627210318002E-2</v>
      </c>
      <c r="H1919">
        <v>3.1758751755737898E-2</v>
      </c>
      <c r="I1919">
        <v>2.8856500989142098E-2</v>
      </c>
      <c r="J1919">
        <v>3.9536156594635802E-2</v>
      </c>
      <c r="K1919">
        <v>4.2835610101196499E-2</v>
      </c>
      <c r="L1919">
        <v>1137.2622145697101</v>
      </c>
      <c r="M1919">
        <v>23.348392094923799</v>
      </c>
      <c r="N1919">
        <v>48.825023573330803</v>
      </c>
      <c r="O1919">
        <v>48.3553112174978</v>
      </c>
      <c r="P1919">
        <v>-0.117440144163866</v>
      </c>
      <c r="Q1919">
        <v>2.7127551384868401E-2</v>
      </c>
      <c r="R1919">
        <v>0.98158289319036096</v>
      </c>
      <c r="S1919" t="s">
        <v>5751</v>
      </c>
      <c r="T1919" t="s">
        <v>7662</v>
      </c>
      <c r="U1919" t="s">
        <v>7662</v>
      </c>
      <c r="V1919" t="s">
        <v>7662</v>
      </c>
      <c r="W1919">
        <v>6</v>
      </c>
      <c r="X1919" t="s">
        <v>9581</v>
      </c>
      <c r="Y1919">
        <v>0.31945293767715521</v>
      </c>
      <c r="Z1919" t="str">
        <f>HYPERLINK("Melting_Curves/meltCurve_sp_Q7L0Y3_MRRP1_HUMAN_.pdf", "Melting_Curves/meltCurve_sp_Q7L0Y3_MRRP1_HUMAN_.pdf")</f>
        <v>Melting_Curves/meltCurve_sp_Q7L0Y3_MRRP1_HUMAN_.pdf</v>
      </c>
      <c r="AA1919" t="s">
        <v>13383</v>
      </c>
      <c r="AB1919" t="s">
        <v>17159</v>
      </c>
    </row>
    <row r="1920" spans="1:28" x14ac:dyDescent="0.25">
      <c r="A1920" t="s">
        <v>1924</v>
      </c>
      <c r="B1920">
        <v>0.98876768158843997</v>
      </c>
      <c r="C1920">
        <v>1.0609424245033301</v>
      </c>
      <c r="D1920">
        <v>0.86620286400950197</v>
      </c>
      <c r="E1920">
        <v>0.66096404645607798</v>
      </c>
      <c r="F1920">
        <v>0.169621359188737</v>
      </c>
      <c r="G1920">
        <v>9.10326696940853E-2</v>
      </c>
      <c r="H1920">
        <v>5.1777339208658797E-2</v>
      </c>
      <c r="I1920">
        <v>4.4715273543237399E-2</v>
      </c>
      <c r="J1920">
        <v>4.8153034153988999E-2</v>
      </c>
      <c r="K1920">
        <v>4.4332803604389702E-2</v>
      </c>
      <c r="L1920">
        <v>1839.2967633813601</v>
      </c>
      <c r="M1920">
        <v>36.3266834683346</v>
      </c>
      <c r="N1920">
        <v>50.773184509019899</v>
      </c>
      <c r="O1920">
        <v>50.479412749266501</v>
      </c>
      <c r="P1920">
        <v>-0.17127142214515001</v>
      </c>
      <c r="Q1920">
        <v>4.8010628259249101E-2</v>
      </c>
      <c r="R1920">
        <v>0.98895336715943405</v>
      </c>
      <c r="S1920" t="s">
        <v>5752</v>
      </c>
      <c r="T1920" t="s">
        <v>7662</v>
      </c>
      <c r="U1920" t="s">
        <v>7662</v>
      </c>
      <c r="V1920" t="s">
        <v>7662</v>
      </c>
      <c r="W1920">
        <v>15</v>
      </c>
      <c r="X1920" t="s">
        <v>9582</v>
      </c>
      <c r="Y1920">
        <v>0.38944554458314162</v>
      </c>
      <c r="Z1920" t="str">
        <f>HYPERLINK("Melting_Curves/meltCurve_sp_Q7L1Q6_BZW1_HUMAN_.pdf", "Melting_Curves/meltCurve_sp_Q7L1Q6_BZW1_HUMAN_.pdf")</f>
        <v>Melting_Curves/meltCurve_sp_Q7L1Q6_BZW1_HUMAN_.pdf</v>
      </c>
      <c r="AA1920" t="s">
        <v>13384</v>
      </c>
      <c r="AB1920" t="s">
        <v>17160</v>
      </c>
    </row>
    <row r="1921" spans="1:28" x14ac:dyDescent="0.25">
      <c r="A1921" t="s">
        <v>1925</v>
      </c>
      <c r="B1921">
        <v>0.98876768158843997</v>
      </c>
      <c r="C1921">
        <v>0.89731019108743104</v>
      </c>
      <c r="D1921">
        <v>1.04689481251239</v>
      </c>
      <c r="E1921">
        <v>0.73547873900133598</v>
      </c>
      <c r="F1921">
        <v>0.32606163418553702</v>
      </c>
      <c r="G1921">
        <v>0.154534757210708</v>
      </c>
      <c r="H1921">
        <v>8.3457668413164404E-2</v>
      </c>
      <c r="I1921">
        <v>6.6515257005286502E-2</v>
      </c>
      <c r="J1921">
        <v>5.5024982257249701E-2</v>
      </c>
      <c r="K1921">
        <v>1.7667040071229899E-2</v>
      </c>
      <c r="L1921">
        <v>1594.27889744449</v>
      </c>
      <c r="M1921">
        <v>30.937365160122301</v>
      </c>
      <c r="N1921">
        <v>51.752418631205003</v>
      </c>
      <c r="O1921">
        <v>51.318619045060302</v>
      </c>
      <c r="P1921">
        <v>-0.141428250624861</v>
      </c>
      <c r="Q1921">
        <v>6.1606275490230601E-2</v>
      </c>
      <c r="R1921">
        <v>0.98806783065804304</v>
      </c>
      <c r="S1921" t="s">
        <v>5753</v>
      </c>
      <c r="T1921" t="s">
        <v>7662</v>
      </c>
      <c r="U1921" t="s">
        <v>7662</v>
      </c>
      <c r="V1921" t="s">
        <v>7662</v>
      </c>
      <c r="W1921">
        <v>2</v>
      </c>
      <c r="X1921" t="s">
        <v>9583</v>
      </c>
      <c r="Y1921">
        <v>0.42793672479946099</v>
      </c>
      <c r="Z1921" t="str">
        <f>HYPERLINK("Melting_Curves/meltCurve_sp_Q7L1W4_LRC8D_HUMAN_.pdf", "Melting_Curves/meltCurve_sp_Q7L1W4_LRC8D_HUMAN_.pdf")</f>
        <v>Melting_Curves/meltCurve_sp_Q7L1W4_LRC8D_HUMAN_.pdf</v>
      </c>
      <c r="AA1921" t="s">
        <v>13385</v>
      </c>
      <c r="AB1921" t="s">
        <v>17161</v>
      </c>
    </row>
    <row r="1922" spans="1:28" x14ac:dyDescent="0.25">
      <c r="A1922" t="s">
        <v>1926</v>
      </c>
      <c r="B1922">
        <v>0.98876768158843997</v>
      </c>
      <c r="C1922">
        <v>0.85792518149349495</v>
      </c>
      <c r="D1922">
        <v>0.91836585824449002</v>
      </c>
      <c r="E1922">
        <v>0.64532060670442903</v>
      </c>
      <c r="F1922">
        <v>0.72044144639549701</v>
      </c>
      <c r="G1922">
        <v>0.38133789088199099</v>
      </c>
      <c r="H1922">
        <v>0.32945514709021001</v>
      </c>
      <c r="I1922">
        <v>0.36371498709899303</v>
      </c>
      <c r="J1922">
        <v>0.54937070318206505</v>
      </c>
      <c r="K1922">
        <v>0.48555145346175099</v>
      </c>
      <c r="L1922">
        <v>780.13112850891298</v>
      </c>
      <c r="M1922">
        <v>15.6578520621352</v>
      </c>
      <c r="N1922">
        <v>56.102225954918197</v>
      </c>
      <c r="O1922">
        <v>49.032178249470398</v>
      </c>
      <c r="P1922">
        <v>-4.6841773827358497E-2</v>
      </c>
      <c r="Q1922">
        <v>0.41331459928917802</v>
      </c>
      <c r="R1922">
        <v>0.84028139597875495</v>
      </c>
      <c r="S1922" t="s">
        <v>5754</v>
      </c>
      <c r="T1922" t="s">
        <v>7662</v>
      </c>
      <c r="U1922" t="s">
        <v>7662</v>
      </c>
      <c r="V1922" t="s">
        <v>7662</v>
      </c>
      <c r="W1922">
        <v>5</v>
      </c>
      <c r="X1922" t="s">
        <v>9584</v>
      </c>
      <c r="Y1922">
        <v>0.6184474107048209</v>
      </c>
      <c r="Z1922" t="str">
        <f>HYPERLINK("Melting_Curves/meltCurve_sp_Q7L2J0_MEPCE_HUMAN_.pdf", "Melting_Curves/meltCurve_sp_Q7L2J0_MEPCE_HUMAN_.pdf")</f>
        <v>Melting_Curves/meltCurve_sp_Q7L2J0_MEPCE_HUMAN_.pdf</v>
      </c>
      <c r="AA1922" t="s">
        <v>13386</v>
      </c>
      <c r="AB1922" t="s">
        <v>17162</v>
      </c>
    </row>
    <row r="1923" spans="1:28" x14ac:dyDescent="0.25">
      <c r="A1923" t="s">
        <v>1927</v>
      </c>
      <c r="B1923">
        <v>0.98876768158843997</v>
      </c>
      <c r="C1923">
        <v>0.90594791657873597</v>
      </c>
      <c r="D1923">
        <v>1.0509322432533601</v>
      </c>
      <c r="E1923">
        <v>0.901571227516202</v>
      </c>
      <c r="F1923">
        <v>0.30880669186959298</v>
      </c>
      <c r="G1923">
        <v>0.129445793830883</v>
      </c>
      <c r="H1923">
        <v>7.15612302737164E-2</v>
      </c>
      <c r="I1923">
        <v>5.7209805303187602E-2</v>
      </c>
      <c r="J1923">
        <v>5.9725280734546402E-2</v>
      </c>
      <c r="K1923">
        <v>4.7395360093261202E-2</v>
      </c>
      <c r="L1923">
        <v>2762.2915221768299</v>
      </c>
      <c r="M1923">
        <v>53.157911202873002</v>
      </c>
      <c r="N1923">
        <v>52.113168860014298</v>
      </c>
      <c r="O1923">
        <v>51.8905018564298</v>
      </c>
      <c r="P1923">
        <v>-0.23801880186994201</v>
      </c>
      <c r="Q1923">
        <v>7.0625158806350494E-2</v>
      </c>
      <c r="R1923">
        <v>0.991611258303017</v>
      </c>
      <c r="S1923" t="s">
        <v>5755</v>
      </c>
      <c r="T1923" t="s">
        <v>7662</v>
      </c>
      <c r="U1923" t="s">
        <v>7662</v>
      </c>
      <c r="V1923" t="s">
        <v>7662</v>
      </c>
      <c r="W1923">
        <v>12</v>
      </c>
      <c r="X1923" t="s">
        <v>9585</v>
      </c>
      <c r="Y1923">
        <v>0.44313964254373561</v>
      </c>
      <c r="Z1923" t="str">
        <f>HYPERLINK("Melting_Curves/meltCurve_sp_Q7L576_CYFP1_HUMAN_.pdf", "Melting_Curves/meltCurve_sp_Q7L576_CYFP1_HUMAN_.pdf")</f>
        <v>Melting_Curves/meltCurve_sp_Q7L576_CYFP1_HUMAN_.pdf</v>
      </c>
      <c r="AA1923" t="s">
        <v>13387</v>
      </c>
      <c r="AB1923" t="s">
        <v>17163</v>
      </c>
    </row>
    <row r="1924" spans="1:28" x14ac:dyDescent="0.25">
      <c r="A1924" t="s">
        <v>1928</v>
      </c>
      <c r="B1924">
        <v>0.98876768158843997</v>
      </c>
      <c r="C1924">
        <v>0.81679688174360798</v>
      </c>
      <c r="D1924">
        <v>0.66358652447628996</v>
      </c>
      <c r="E1924">
        <v>0.43767428161750999</v>
      </c>
      <c r="F1924">
        <v>0.19058472364974299</v>
      </c>
      <c r="G1924">
        <v>0.141752454174983</v>
      </c>
      <c r="H1924">
        <v>7.8669171732339699E-2</v>
      </c>
      <c r="I1924">
        <v>9.3505087799012607E-2</v>
      </c>
      <c r="J1924">
        <v>0.112979931237309</v>
      </c>
      <c r="K1924">
        <v>2.8253190040956201E-2</v>
      </c>
      <c r="L1924">
        <v>697.395934152942</v>
      </c>
      <c r="M1924">
        <v>14.5523293778603</v>
      </c>
      <c r="N1924">
        <v>48.299784531654097</v>
      </c>
      <c r="O1924">
        <v>47.045602585922303</v>
      </c>
      <c r="P1924">
        <v>-7.3193077728341896E-2</v>
      </c>
      <c r="Q1924">
        <v>5.3616103172547697E-2</v>
      </c>
      <c r="R1924">
        <v>0.98934782191590598</v>
      </c>
      <c r="S1924" t="s">
        <v>5756</v>
      </c>
      <c r="T1924" t="s">
        <v>7662</v>
      </c>
      <c r="U1924" t="s">
        <v>7662</v>
      </c>
      <c r="V1924" t="s">
        <v>7662</v>
      </c>
      <c r="W1924">
        <v>2</v>
      </c>
      <c r="X1924" t="s">
        <v>9586</v>
      </c>
      <c r="Y1924">
        <v>0.32951542634537068</v>
      </c>
      <c r="Z1924" t="str">
        <f>HYPERLINK("Melting_Curves/meltCurve_sp_Q7L5D6_GET4_HUMAN_.pdf", "Melting_Curves/meltCurve_sp_Q7L5D6_GET4_HUMAN_.pdf")</f>
        <v>Melting_Curves/meltCurve_sp_Q7L5D6_GET4_HUMAN_.pdf</v>
      </c>
      <c r="AA1924" t="s">
        <v>13388</v>
      </c>
      <c r="AB1924" t="s">
        <v>17164</v>
      </c>
    </row>
    <row r="1925" spans="1:28" x14ac:dyDescent="0.25">
      <c r="A1925" t="s">
        <v>1929</v>
      </c>
      <c r="B1925">
        <v>0.98876768158843997</v>
      </c>
      <c r="C1925">
        <v>1.02328869595095</v>
      </c>
      <c r="D1925">
        <v>0.91429143706420402</v>
      </c>
      <c r="E1925">
        <v>0.78572993434282701</v>
      </c>
      <c r="F1925">
        <v>0.43153185598212401</v>
      </c>
      <c r="G1925">
        <v>0.18290054523996199</v>
      </c>
      <c r="H1925">
        <v>6.3248365870171699E-2</v>
      </c>
      <c r="I1925">
        <v>4.8034368091798001E-2</v>
      </c>
      <c r="J1925">
        <v>4.6413455183752998E-2</v>
      </c>
      <c r="K1925">
        <v>4.0333326176080403E-2</v>
      </c>
      <c r="L1925">
        <v>1199.7505675984801</v>
      </c>
      <c r="M1925">
        <v>22.907609535837398</v>
      </c>
      <c r="N1925">
        <v>52.546603990270299</v>
      </c>
      <c r="O1925">
        <v>51.979253721321399</v>
      </c>
      <c r="P1925">
        <v>-0.106173494538813</v>
      </c>
      <c r="Q1925">
        <v>3.6353127577930501E-2</v>
      </c>
      <c r="R1925">
        <v>0.99706786103856204</v>
      </c>
      <c r="S1925" t="s">
        <v>5757</v>
      </c>
      <c r="T1925" t="s">
        <v>7662</v>
      </c>
      <c r="U1925" t="s">
        <v>7662</v>
      </c>
      <c r="V1925" t="s">
        <v>7662</v>
      </c>
      <c r="W1925">
        <v>19</v>
      </c>
      <c r="X1925" t="s">
        <v>9587</v>
      </c>
      <c r="Y1925">
        <v>0.44421635152341682</v>
      </c>
      <c r="Z1925" t="str">
        <f>HYPERLINK("Melting_Curves/meltCurve_sp_Q7L5Y1_ENOF1_HUMAN_.pdf", "Melting_Curves/meltCurve_sp_Q7L5Y1_ENOF1_HUMAN_.pdf")</f>
        <v>Melting_Curves/meltCurve_sp_Q7L5Y1_ENOF1_HUMAN_.pdf</v>
      </c>
      <c r="AA1925" t="s">
        <v>13389</v>
      </c>
      <c r="AB1925" t="s">
        <v>17165</v>
      </c>
    </row>
    <row r="1926" spans="1:28" x14ac:dyDescent="0.25">
      <c r="A1926" t="s">
        <v>1930</v>
      </c>
      <c r="B1926">
        <v>0.98876768158843997</v>
      </c>
      <c r="C1926">
        <v>0.92978767544556995</v>
      </c>
      <c r="D1926">
        <v>0.98803494840096295</v>
      </c>
      <c r="E1926">
        <v>0.78647380418383395</v>
      </c>
      <c r="F1926">
        <v>0.37642956595247801</v>
      </c>
      <c r="G1926">
        <v>0.194049233717901</v>
      </c>
      <c r="H1926">
        <v>0.119803645773113</v>
      </c>
      <c r="I1926">
        <v>0.101215081581862</v>
      </c>
      <c r="J1926">
        <v>9.2676799513075697E-2</v>
      </c>
      <c r="K1926">
        <v>9.9429801311747806E-2</v>
      </c>
      <c r="L1926">
        <v>1601.9633122227499</v>
      </c>
      <c r="M1926">
        <v>30.9591919399308</v>
      </c>
      <c r="N1926">
        <v>52.149590001884697</v>
      </c>
      <c r="O1926">
        <v>51.529899356936802</v>
      </c>
      <c r="P1926">
        <v>-0.134142727598414</v>
      </c>
      <c r="Q1926">
        <v>0.106911945886091</v>
      </c>
      <c r="R1926">
        <v>0.995030317772993</v>
      </c>
      <c r="S1926" t="s">
        <v>5758</v>
      </c>
      <c r="T1926" t="s">
        <v>7662</v>
      </c>
      <c r="U1926" t="s">
        <v>7662</v>
      </c>
      <c r="V1926" t="s">
        <v>7662</v>
      </c>
      <c r="W1926">
        <v>5</v>
      </c>
      <c r="X1926" t="s">
        <v>9588</v>
      </c>
      <c r="Y1926">
        <v>0.4618747560700901</v>
      </c>
      <c r="Z1926" t="str">
        <f>HYPERLINK("Melting_Curves/meltCurve_sp_Q7L775_EPMIP_HUMAN_.pdf", "Melting_Curves/meltCurve_sp_Q7L775_EPMIP_HUMAN_.pdf")</f>
        <v>Melting_Curves/meltCurve_sp_Q7L775_EPMIP_HUMAN_.pdf</v>
      </c>
      <c r="AA1926" t="s">
        <v>13390</v>
      </c>
      <c r="AB1926" t="s">
        <v>17166</v>
      </c>
    </row>
    <row r="1927" spans="1:28" x14ac:dyDescent="0.25">
      <c r="A1927" t="s">
        <v>1931</v>
      </c>
      <c r="B1927">
        <v>0.98876768158843997</v>
      </c>
      <c r="C1927">
        <v>0.91664862289035898</v>
      </c>
      <c r="D1927">
        <v>0.76303805752014697</v>
      </c>
      <c r="E1927">
        <v>0.47638018566114898</v>
      </c>
      <c r="F1927">
        <v>0.183480845055428</v>
      </c>
      <c r="G1927">
        <v>9.98472578177209E-2</v>
      </c>
      <c r="H1927">
        <v>6.7999482319174395E-2</v>
      </c>
      <c r="I1927">
        <v>5.84762011624596E-2</v>
      </c>
      <c r="J1927">
        <v>5.02557551673369E-2</v>
      </c>
      <c r="K1927">
        <v>5.6860667215637699E-2</v>
      </c>
      <c r="L1927">
        <v>911.49704793856802</v>
      </c>
      <c r="M1927">
        <v>18.615513135435702</v>
      </c>
      <c r="N1927">
        <v>49.196155742535801</v>
      </c>
      <c r="O1927">
        <v>48.4098400490467</v>
      </c>
      <c r="P1927">
        <v>-9.2102886950554005E-2</v>
      </c>
      <c r="Q1927">
        <v>4.1983396172505801E-2</v>
      </c>
      <c r="R1927">
        <v>0.99624973246579895</v>
      </c>
      <c r="S1927" t="s">
        <v>5759</v>
      </c>
      <c r="T1927" t="s">
        <v>7662</v>
      </c>
      <c r="U1927" t="s">
        <v>7662</v>
      </c>
      <c r="V1927" t="s">
        <v>7662</v>
      </c>
      <c r="W1927">
        <v>1</v>
      </c>
      <c r="X1927" t="s">
        <v>9589</v>
      </c>
      <c r="Y1927">
        <v>0.34377336882367387</v>
      </c>
      <c r="Z1927" t="str">
        <f>HYPERLINK("Melting_Curves/meltCurve_sp_Q7L7X3_3_TAOK1_HUMAN_.pdf", "Melting_Curves/meltCurve_sp_Q7L7X3_3_TAOK1_HUMAN_.pdf")</f>
        <v>Melting_Curves/meltCurve_sp_Q7L7X3_3_TAOK1_HUMAN_.pdf</v>
      </c>
      <c r="AA1927" t="s">
        <v>13391</v>
      </c>
      <c r="AB1927" t="s">
        <v>17167</v>
      </c>
    </row>
    <row r="1928" spans="1:28" x14ac:dyDescent="0.25">
      <c r="A1928" t="s">
        <v>1932</v>
      </c>
      <c r="B1928">
        <v>0.98876768158843997</v>
      </c>
      <c r="C1928">
        <v>1.0713137016338401</v>
      </c>
      <c r="D1928">
        <v>0.78400602759934102</v>
      </c>
      <c r="E1928">
        <v>0.36819294252673002</v>
      </c>
      <c r="F1928">
        <v>0.30123043606039301</v>
      </c>
      <c r="G1928">
        <v>0.147807909224905</v>
      </c>
      <c r="H1928">
        <v>7.4427178285135606E-2</v>
      </c>
      <c r="I1928">
        <v>9.70922937133884E-2</v>
      </c>
      <c r="J1928">
        <v>0.11245338910701</v>
      </c>
      <c r="K1928">
        <v>0.20553633194132301</v>
      </c>
      <c r="L1928">
        <v>1190.24397914831</v>
      </c>
      <c r="M1928">
        <v>24.607773987530699</v>
      </c>
      <c r="N1928">
        <v>48.974984798027798</v>
      </c>
      <c r="O1928">
        <v>48.052583964682199</v>
      </c>
      <c r="P1928">
        <v>-0.11121481922606501</v>
      </c>
      <c r="Q1928">
        <v>0.13131794500174601</v>
      </c>
      <c r="R1928">
        <v>0.97710807661756605</v>
      </c>
      <c r="S1928" t="s">
        <v>5760</v>
      </c>
      <c r="T1928" t="s">
        <v>7662</v>
      </c>
      <c r="U1928" t="s">
        <v>7662</v>
      </c>
      <c r="V1928" t="s">
        <v>7662</v>
      </c>
      <c r="W1928">
        <v>1</v>
      </c>
      <c r="X1928" t="s">
        <v>9590</v>
      </c>
      <c r="Y1928">
        <v>0.38157652695441069</v>
      </c>
      <c r="Z1928" t="str">
        <f>HYPERLINK("Melting_Curves/meltCurve_sp_Q7L8L6_FAKD5_HUMAN_.pdf", "Melting_Curves/meltCurve_sp_Q7L8L6_FAKD5_HUMAN_.pdf")</f>
        <v>Melting_Curves/meltCurve_sp_Q7L8L6_FAKD5_HUMAN_.pdf</v>
      </c>
      <c r="AA1928" t="s">
        <v>13392</v>
      </c>
      <c r="AB1928" t="s">
        <v>17168</v>
      </c>
    </row>
    <row r="1929" spans="1:28" x14ac:dyDescent="0.25">
      <c r="A1929" t="s">
        <v>1933</v>
      </c>
      <c r="B1929">
        <v>0.98876768158843997</v>
      </c>
      <c r="C1929">
        <v>1.0147615793424001</v>
      </c>
      <c r="D1929">
        <v>0.82933412901459302</v>
      </c>
      <c r="E1929">
        <v>0.62162869489309303</v>
      </c>
      <c r="F1929">
        <v>0.59430212194566201</v>
      </c>
      <c r="G1929">
        <v>0.29321639010989198</v>
      </c>
      <c r="H1929">
        <v>0.22060205773261199</v>
      </c>
      <c r="I1929">
        <v>0.25014952448844202</v>
      </c>
      <c r="J1929">
        <v>0.24935785957784401</v>
      </c>
      <c r="K1929">
        <v>0.26924593308018702</v>
      </c>
      <c r="L1929">
        <v>777.64241560516598</v>
      </c>
      <c r="M1929">
        <v>15.275579946793901</v>
      </c>
      <c r="N1929">
        <v>52.883670412521099</v>
      </c>
      <c r="O1929">
        <v>50.059014329561002</v>
      </c>
      <c r="P1929">
        <v>-5.9703507575804497E-2</v>
      </c>
      <c r="Q1929">
        <v>0.21746511044870101</v>
      </c>
      <c r="R1929">
        <v>0.973747144027033</v>
      </c>
      <c r="S1929" t="s">
        <v>5761</v>
      </c>
      <c r="T1929" t="s">
        <v>7662</v>
      </c>
      <c r="U1929" t="s">
        <v>7662</v>
      </c>
      <c r="V1929" t="s">
        <v>7662</v>
      </c>
      <c r="W1929">
        <v>3</v>
      </c>
      <c r="X1929" t="s">
        <v>9591</v>
      </c>
      <c r="Y1929">
        <v>0.51957231856008834</v>
      </c>
      <c r="Z1929" t="str">
        <f>HYPERLINK("Melting_Curves/meltCurve_sp_Q7LBC6_KDM3B_HUMAN_.pdf", "Melting_Curves/meltCurve_sp_Q7LBC6_KDM3B_HUMAN_.pdf")</f>
        <v>Melting_Curves/meltCurve_sp_Q7LBC6_KDM3B_HUMAN_.pdf</v>
      </c>
      <c r="AA1929" t="s">
        <v>13393</v>
      </c>
      <c r="AB1929" t="s">
        <v>17169</v>
      </c>
    </row>
    <row r="1930" spans="1:28" x14ac:dyDescent="0.25">
      <c r="A1930" t="s">
        <v>1934</v>
      </c>
      <c r="B1930">
        <v>0.98876768158843997</v>
      </c>
      <c r="C1930">
        <v>1.1231277771894801</v>
      </c>
      <c r="D1930">
        <v>0.87951031938990498</v>
      </c>
      <c r="E1930">
        <v>0.67490951242517105</v>
      </c>
      <c r="F1930">
        <v>0.83396910897370402</v>
      </c>
      <c r="G1930">
        <v>0.40877532635438801</v>
      </c>
      <c r="H1930">
        <v>0.23243512888255899</v>
      </c>
      <c r="I1930">
        <v>0.19603742341597299</v>
      </c>
      <c r="J1930">
        <v>0.268541194735398</v>
      </c>
      <c r="K1930">
        <v>0.27313062260568799</v>
      </c>
      <c r="L1930">
        <v>848.63041995017397</v>
      </c>
      <c r="M1930">
        <v>15.7081196224274</v>
      </c>
      <c r="N1930">
        <v>55.732642992012302</v>
      </c>
      <c r="O1930">
        <v>53.172107736892499</v>
      </c>
      <c r="P1930">
        <v>-5.9752901636926599E-2</v>
      </c>
      <c r="Q1930">
        <v>0.191012159015157</v>
      </c>
      <c r="R1930">
        <v>0.91731323541401899</v>
      </c>
      <c r="S1930" t="s">
        <v>5762</v>
      </c>
      <c r="T1930" t="s">
        <v>7662</v>
      </c>
      <c r="U1930" t="s">
        <v>7662</v>
      </c>
      <c r="V1930" t="s">
        <v>7662</v>
      </c>
      <c r="W1930">
        <v>4</v>
      </c>
      <c r="X1930" t="s">
        <v>9592</v>
      </c>
      <c r="Y1930">
        <v>0.58484717122770791</v>
      </c>
      <c r="Z1930" t="str">
        <f>HYPERLINK("Melting_Curves/meltCurve_sp_Q7LBR1_CHM1B_HUMAN_.pdf", "Melting_Curves/meltCurve_sp_Q7LBR1_CHM1B_HUMAN_.pdf")</f>
        <v>Melting_Curves/meltCurve_sp_Q7LBR1_CHM1B_HUMAN_.pdf</v>
      </c>
      <c r="AA1930" t="s">
        <v>13394</v>
      </c>
      <c r="AB1930" t="s">
        <v>17170</v>
      </c>
    </row>
    <row r="1931" spans="1:28" x14ac:dyDescent="0.25">
      <c r="A1931" t="s">
        <v>1935</v>
      </c>
      <c r="B1931">
        <v>0.98876768158843997</v>
      </c>
      <c r="C1931">
        <v>0.94353474972692297</v>
      </c>
      <c r="D1931">
        <v>0.905106301264479</v>
      </c>
      <c r="E1931">
        <v>0.82300229344376596</v>
      </c>
      <c r="F1931">
        <v>0.73934865878800105</v>
      </c>
      <c r="G1931">
        <v>0.56056278398830195</v>
      </c>
      <c r="H1931">
        <v>0.468935609553847</v>
      </c>
      <c r="I1931">
        <v>0.48867452460139199</v>
      </c>
      <c r="J1931">
        <v>0.603633946156238</v>
      </c>
      <c r="K1931">
        <v>0.46158652908547898</v>
      </c>
      <c r="L1931">
        <v>770.80723126448504</v>
      </c>
      <c r="M1931">
        <v>14.8601864190779</v>
      </c>
      <c r="N1931">
        <v>66.182290519133801</v>
      </c>
      <c r="O1931">
        <v>50.958465422263501</v>
      </c>
      <c r="P1931">
        <v>-3.7921676150882502E-2</v>
      </c>
      <c r="Q1931">
        <v>0.47989133086818098</v>
      </c>
      <c r="R1931">
        <v>0.945923632710433</v>
      </c>
      <c r="S1931" t="s">
        <v>5763</v>
      </c>
      <c r="T1931" t="s">
        <v>7662</v>
      </c>
      <c r="U1931" t="s">
        <v>7662</v>
      </c>
      <c r="V1931" t="s">
        <v>7662</v>
      </c>
      <c r="W1931">
        <v>6</v>
      </c>
      <c r="X1931" t="s">
        <v>9593</v>
      </c>
      <c r="Y1931">
        <v>0.69754155600693768</v>
      </c>
      <c r="Z1931" t="str">
        <f>HYPERLINK("Melting_Curves/meltCurve_sp_Q7LG56_RIR2B_HUMAN_.pdf", "Melting_Curves/meltCurve_sp_Q7LG56_RIR2B_HUMAN_.pdf")</f>
        <v>Melting_Curves/meltCurve_sp_Q7LG56_RIR2B_HUMAN_.pdf</v>
      </c>
      <c r="AA1931" t="s">
        <v>13395</v>
      </c>
      <c r="AB1931" t="s">
        <v>17171</v>
      </c>
    </row>
    <row r="1932" spans="1:28" x14ac:dyDescent="0.25">
      <c r="A1932" t="s">
        <v>1936</v>
      </c>
      <c r="B1932">
        <v>0.98876768158843997</v>
      </c>
      <c r="C1932">
        <v>1.02060112849981</v>
      </c>
      <c r="D1932">
        <v>0.88215952062957204</v>
      </c>
      <c r="E1932">
        <v>0.704401174433129</v>
      </c>
      <c r="F1932">
        <v>0.66968699962948397</v>
      </c>
      <c r="G1932">
        <v>0.46276742479987398</v>
      </c>
      <c r="H1932">
        <v>0.36192627349238998</v>
      </c>
      <c r="I1932">
        <v>0.42343361906883298</v>
      </c>
      <c r="J1932">
        <v>0.55341472944278003</v>
      </c>
      <c r="K1932">
        <v>0.55403511819787599</v>
      </c>
      <c r="L1932">
        <v>979.29751187437</v>
      </c>
      <c r="M1932">
        <v>19.659850071420699</v>
      </c>
      <c r="N1932">
        <v>57.913150590966197</v>
      </c>
      <c r="O1932">
        <v>49.305267451923797</v>
      </c>
      <c r="P1932">
        <v>-5.30300203214987E-2</v>
      </c>
      <c r="Q1932">
        <v>0.46803903753541798</v>
      </c>
      <c r="R1932">
        <v>0.91510293046094704</v>
      </c>
      <c r="S1932" t="s">
        <v>5764</v>
      </c>
      <c r="T1932" t="s">
        <v>7662</v>
      </c>
      <c r="U1932" t="s">
        <v>7662</v>
      </c>
      <c r="V1932" t="s">
        <v>7662</v>
      </c>
      <c r="W1932">
        <v>8</v>
      </c>
      <c r="X1932" t="s">
        <v>9594</v>
      </c>
      <c r="Y1932">
        <v>0.64969182438017914</v>
      </c>
      <c r="Z1932" t="str">
        <f>HYPERLINK("Melting_Curves/meltCurve_sp_Q7RTP6_MICA3_HUMAN_.pdf", "Melting_Curves/meltCurve_sp_Q7RTP6_MICA3_HUMAN_.pdf")</f>
        <v>Melting_Curves/meltCurve_sp_Q7RTP6_MICA3_HUMAN_.pdf</v>
      </c>
      <c r="AA1932" t="s">
        <v>13396</v>
      </c>
      <c r="AB1932" t="s">
        <v>17172</v>
      </c>
    </row>
    <row r="1933" spans="1:28" x14ac:dyDescent="0.25">
      <c r="A1933" t="s">
        <v>1937</v>
      </c>
      <c r="B1933">
        <v>0.98876768158843997</v>
      </c>
      <c r="C1933">
        <v>1.05148598765331</v>
      </c>
      <c r="D1933">
        <v>0.95276246291076705</v>
      </c>
      <c r="E1933">
        <v>0.77374076293418304</v>
      </c>
      <c r="F1933">
        <v>0.87306894836595605</v>
      </c>
      <c r="G1933">
        <v>0.71169871777996097</v>
      </c>
      <c r="H1933">
        <v>0.52434449316633902</v>
      </c>
      <c r="I1933">
        <v>0.63130293834582396</v>
      </c>
      <c r="J1933">
        <v>0.74522529564423901</v>
      </c>
      <c r="K1933">
        <v>0.84227602197683904</v>
      </c>
      <c r="L1933">
        <v>1019.69665733405</v>
      </c>
      <c r="M1933">
        <v>20.480350693349799</v>
      </c>
      <c r="O1933">
        <v>49.321645912104202</v>
      </c>
      <c r="P1933">
        <v>-3.1613035633605402E-2</v>
      </c>
      <c r="Q1933">
        <v>0.69548175772874199</v>
      </c>
      <c r="R1933">
        <v>0.67115049518718495</v>
      </c>
      <c r="S1933" t="s">
        <v>5765</v>
      </c>
      <c r="T1933" t="s">
        <v>7662</v>
      </c>
      <c r="U1933" t="s">
        <v>7662</v>
      </c>
      <c r="V1933" t="s">
        <v>7662</v>
      </c>
      <c r="W1933">
        <v>6</v>
      </c>
      <c r="X1933" t="s">
        <v>9595</v>
      </c>
      <c r="Y1933">
        <v>0.7988953410753481</v>
      </c>
      <c r="Z1933" t="str">
        <f>HYPERLINK("Melting_Curves/meltCurve_sp_Q7RTV0_PHF5A_HUMAN_.pdf", "Melting_Curves/meltCurve_sp_Q7RTV0_PHF5A_HUMAN_.pdf")</f>
        <v>Melting_Curves/meltCurve_sp_Q7RTV0_PHF5A_HUMAN_.pdf</v>
      </c>
      <c r="AA1933" t="s">
        <v>13397</v>
      </c>
      <c r="AB1933" t="s">
        <v>17173</v>
      </c>
    </row>
    <row r="1934" spans="1:28" x14ac:dyDescent="0.25">
      <c r="A1934" t="s">
        <v>1938</v>
      </c>
      <c r="B1934">
        <v>0.98876768158843997</v>
      </c>
      <c r="C1934">
        <v>0.89414940814558697</v>
      </c>
      <c r="D1934">
        <v>0.472084308493189</v>
      </c>
      <c r="E1934">
        <v>0.252313085424334</v>
      </c>
      <c r="F1934">
        <v>0.19652191543675401</v>
      </c>
      <c r="G1934">
        <v>0.1446408305405</v>
      </c>
      <c r="H1934">
        <v>0.107515133345488</v>
      </c>
      <c r="I1934">
        <v>0.113592590329125</v>
      </c>
      <c r="J1934">
        <v>0.179743175582812</v>
      </c>
      <c r="K1934">
        <v>0.16322999362194701</v>
      </c>
      <c r="L1934">
        <v>1310.3964092272599</v>
      </c>
      <c r="M1934">
        <v>28.854236310885</v>
      </c>
      <c r="N1934">
        <v>45.995657897850499</v>
      </c>
      <c r="O1934">
        <v>45.197893594640099</v>
      </c>
      <c r="P1934">
        <v>-0.135215862827296</v>
      </c>
      <c r="Q1934">
        <v>0.15278637536571801</v>
      </c>
      <c r="R1934">
        <v>0.99090134367943905</v>
      </c>
      <c r="S1934" t="s">
        <v>5766</v>
      </c>
      <c r="T1934" t="s">
        <v>7662</v>
      </c>
      <c r="U1934" t="s">
        <v>7662</v>
      </c>
      <c r="V1934" t="s">
        <v>7662</v>
      </c>
      <c r="W1934">
        <v>9</v>
      </c>
      <c r="X1934" t="s">
        <v>9596</v>
      </c>
      <c r="Y1934">
        <v>0.31148915915625691</v>
      </c>
      <c r="Z1934" t="str">
        <f>HYPERLINK("Melting_Curves/meltCurve_sp_Q7Z2W4_ZCCHV_HUMAN_.pdf", "Melting_Curves/meltCurve_sp_Q7Z2W4_ZCCHV_HUMAN_.pdf")</f>
        <v>Melting_Curves/meltCurve_sp_Q7Z2W4_ZCCHV_HUMAN_.pdf</v>
      </c>
      <c r="AA1934" t="s">
        <v>13398</v>
      </c>
      <c r="AB1934" t="s">
        <v>17174</v>
      </c>
    </row>
    <row r="1935" spans="1:28" x14ac:dyDescent="0.25">
      <c r="A1935" t="s">
        <v>1939</v>
      </c>
      <c r="B1935">
        <v>0.98876768158843997</v>
      </c>
      <c r="C1935">
        <v>0.90919847241718499</v>
      </c>
      <c r="D1935">
        <v>0.89148453290313201</v>
      </c>
      <c r="E1935">
        <v>0.549181790819668</v>
      </c>
      <c r="F1935">
        <v>0.22935171857223099</v>
      </c>
      <c r="G1935">
        <v>0.124012098419921</v>
      </c>
      <c r="H1935">
        <v>6.0245121513598898E-2</v>
      </c>
      <c r="I1935">
        <v>6.1078569983011997E-2</v>
      </c>
      <c r="J1935">
        <v>6.3154274576691996E-2</v>
      </c>
      <c r="K1935">
        <v>5.6938475679659699E-2</v>
      </c>
      <c r="L1935">
        <v>1137.6940603553501</v>
      </c>
      <c r="M1935">
        <v>22.749454675022498</v>
      </c>
      <c r="N1935">
        <v>50.2621319356847</v>
      </c>
      <c r="O1935">
        <v>49.628114621370003</v>
      </c>
      <c r="P1935">
        <v>-0.10841579909525</v>
      </c>
      <c r="Q1935">
        <v>5.3978813754318303E-2</v>
      </c>
      <c r="R1935">
        <v>0.99538482456975097</v>
      </c>
      <c r="S1935" t="s">
        <v>5767</v>
      </c>
      <c r="T1935" t="s">
        <v>7662</v>
      </c>
      <c r="U1935" t="s">
        <v>7662</v>
      </c>
      <c r="V1935" t="s">
        <v>7662</v>
      </c>
      <c r="W1935">
        <v>7</v>
      </c>
      <c r="X1935" t="s">
        <v>9597</v>
      </c>
      <c r="Y1935">
        <v>0.37984002290673358</v>
      </c>
      <c r="Z1935" t="str">
        <f>HYPERLINK("Melting_Curves/meltCurve_sp_Q7Z2Z2_ETUD1_HUMAN_.pdf", "Melting_Curves/meltCurve_sp_Q7Z2Z2_ETUD1_HUMAN_.pdf")</f>
        <v>Melting_Curves/meltCurve_sp_Q7Z2Z2_ETUD1_HUMAN_.pdf</v>
      </c>
      <c r="AA1935" t="s">
        <v>13399</v>
      </c>
      <c r="AB1935" t="s">
        <v>17175</v>
      </c>
    </row>
    <row r="1936" spans="1:28" x14ac:dyDescent="0.25">
      <c r="A1936" t="s">
        <v>1940</v>
      </c>
      <c r="B1936">
        <v>0.98876768158843997</v>
      </c>
      <c r="C1936">
        <v>0.90968179769678603</v>
      </c>
      <c r="D1936">
        <v>1.0642256899293701</v>
      </c>
      <c r="E1936">
        <v>0.76721804442937702</v>
      </c>
      <c r="F1936">
        <v>0.17649638555042901</v>
      </c>
      <c r="G1936">
        <v>9.9575507063963398E-2</v>
      </c>
      <c r="H1936">
        <v>6.5538405389729507E-2</v>
      </c>
      <c r="I1936">
        <v>8.0249826272987601E-2</v>
      </c>
      <c r="J1936">
        <v>4.3610646196170902E-2</v>
      </c>
      <c r="K1936">
        <v>6.1031481420611301E-2</v>
      </c>
      <c r="L1936">
        <v>2786.8908432250801</v>
      </c>
      <c r="M1936">
        <v>54.6300357637055</v>
      </c>
      <c r="N1936">
        <v>51.153877272154801</v>
      </c>
      <c r="O1936">
        <v>50.945689296849999</v>
      </c>
      <c r="P1936">
        <v>-0.24946856372411799</v>
      </c>
      <c r="Q1936">
        <v>6.9425006791264204E-2</v>
      </c>
      <c r="R1936">
        <v>0.99191415890869605</v>
      </c>
      <c r="S1936" t="s">
        <v>5768</v>
      </c>
      <c r="T1936" t="s">
        <v>7662</v>
      </c>
      <c r="U1936" t="s">
        <v>7662</v>
      </c>
      <c r="V1936" t="s">
        <v>7662</v>
      </c>
      <c r="W1936">
        <v>6</v>
      </c>
      <c r="X1936" t="s">
        <v>9598</v>
      </c>
      <c r="Y1936">
        <v>0.41281931011159989</v>
      </c>
      <c r="Z1936" t="str">
        <f>HYPERLINK("Melting_Curves/meltCurve_sp_Q7Z3J2_CP062_HUMAN_.pdf", "Melting_Curves/meltCurve_sp_Q7Z3J2_CP062_HUMAN_.pdf")</f>
        <v>Melting_Curves/meltCurve_sp_Q7Z3J2_CP062_HUMAN_.pdf</v>
      </c>
      <c r="AA1936" t="s">
        <v>13400</v>
      </c>
      <c r="AB1936" t="s">
        <v>17176</v>
      </c>
    </row>
    <row r="1937" spans="1:28" x14ac:dyDescent="0.25">
      <c r="A1937" t="s">
        <v>1941</v>
      </c>
      <c r="B1937">
        <v>0.98876768158843997</v>
      </c>
      <c r="C1937">
        <v>0.82736433446578395</v>
      </c>
      <c r="D1937">
        <v>0.89872249124533599</v>
      </c>
      <c r="E1937">
        <v>0.69718183758088004</v>
      </c>
      <c r="F1937">
        <v>0.73153434736536505</v>
      </c>
      <c r="G1937">
        <v>0.48487273153222898</v>
      </c>
      <c r="H1937">
        <v>0.38102058815005102</v>
      </c>
      <c r="I1937">
        <v>0.39655311589099201</v>
      </c>
      <c r="J1937">
        <v>0.52663380412545502</v>
      </c>
      <c r="K1937">
        <v>0.58778195900403796</v>
      </c>
      <c r="L1937">
        <v>632.69567330768905</v>
      </c>
      <c r="M1937">
        <v>12.735493630718301</v>
      </c>
      <c r="N1937">
        <v>60.938851507647698</v>
      </c>
      <c r="O1937">
        <v>48.502581910030102</v>
      </c>
      <c r="P1937">
        <v>-3.5949276053479501E-2</v>
      </c>
      <c r="Q1937">
        <v>0.45245944744636002</v>
      </c>
      <c r="R1937">
        <v>0.828615621329856</v>
      </c>
      <c r="S1937" t="s">
        <v>5769</v>
      </c>
      <c r="T1937" t="s">
        <v>7662</v>
      </c>
      <c r="U1937" t="s">
        <v>7662</v>
      </c>
      <c r="V1937" t="s">
        <v>7662</v>
      </c>
      <c r="W1937">
        <v>9</v>
      </c>
      <c r="X1937" t="s">
        <v>9599</v>
      </c>
      <c r="Y1937">
        <v>0.64665765898463889</v>
      </c>
      <c r="Z1937" t="str">
        <f>HYPERLINK("Melting_Curves/meltCurve_sp_Q7Z3T8_ZFY16_HUMAN_.pdf", "Melting_Curves/meltCurve_sp_Q7Z3T8_ZFY16_HUMAN_.pdf")</f>
        <v>Melting_Curves/meltCurve_sp_Q7Z3T8_ZFY16_HUMAN_.pdf</v>
      </c>
      <c r="AA1937" t="s">
        <v>13401</v>
      </c>
      <c r="AB1937" t="s">
        <v>17177</v>
      </c>
    </row>
    <row r="1938" spans="1:28" x14ac:dyDescent="0.25">
      <c r="A1938" t="s">
        <v>1942</v>
      </c>
      <c r="B1938">
        <v>0.98876768158843997</v>
      </c>
      <c r="C1938">
        <v>0.85191520264585796</v>
      </c>
      <c r="D1938">
        <v>0.969656171526595</v>
      </c>
      <c r="E1938">
        <v>0.48464262717696499</v>
      </c>
      <c r="F1938">
        <v>0.177096221005802</v>
      </c>
      <c r="G1938">
        <v>8.4849420184246196E-2</v>
      </c>
      <c r="H1938">
        <v>5.4779844727435703E-2</v>
      </c>
      <c r="I1938">
        <v>4.9705563329175202E-2</v>
      </c>
      <c r="J1938">
        <v>6.0564803451786699E-2</v>
      </c>
      <c r="K1938">
        <v>4.3677956217938303E-2</v>
      </c>
      <c r="L1938">
        <v>1583.3140729311699</v>
      </c>
      <c r="M1938">
        <v>31.8137495123364</v>
      </c>
      <c r="N1938">
        <v>49.9501462792837</v>
      </c>
      <c r="O1938">
        <v>49.572827943053198</v>
      </c>
      <c r="P1938">
        <v>-0.15166405106512501</v>
      </c>
      <c r="Q1938">
        <v>5.4700908202147298E-2</v>
      </c>
      <c r="R1938">
        <v>0.98541055147504097</v>
      </c>
      <c r="S1938" t="s">
        <v>5770</v>
      </c>
      <c r="T1938" t="s">
        <v>7662</v>
      </c>
      <c r="U1938" t="s">
        <v>7662</v>
      </c>
      <c r="V1938" t="s">
        <v>7662</v>
      </c>
      <c r="W1938">
        <v>34</v>
      </c>
      <c r="X1938" t="s">
        <v>9600</v>
      </c>
      <c r="Y1938">
        <v>0.36766878109613299</v>
      </c>
      <c r="Z1938" t="str">
        <f>HYPERLINK("Melting_Curves/meltCurve_sp_Q7Z406_6_MYH14_HUMAN_.pdf", "Melting_Curves/meltCurve_sp_Q7Z406_6_MYH14_HUMAN_.pdf")</f>
        <v>Melting_Curves/meltCurve_sp_Q7Z406_6_MYH14_HUMAN_.pdf</v>
      </c>
      <c r="AA1938" t="s">
        <v>13402</v>
      </c>
      <c r="AB1938" t="s">
        <v>17178</v>
      </c>
    </row>
    <row r="1939" spans="1:28" x14ac:dyDescent="0.25">
      <c r="A1939" t="s">
        <v>1943</v>
      </c>
      <c r="B1939">
        <v>0.98876768158843997</v>
      </c>
      <c r="C1939">
        <v>0.99319031464396301</v>
      </c>
      <c r="D1939">
        <v>0.88321566126148299</v>
      </c>
      <c r="E1939">
        <v>0.67833118766261902</v>
      </c>
      <c r="F1939">
        <v>0.77651761167039302</v>
      </c>
      <c r="G1939">
        <v>0.58497102931038902</v>
      </c>
      <c r="H1939">
        <v>0.43366821492033802</v>
      </c>
      <c r="I1939">
        <v>0.51155295669342604</v>
      </c>
      <c r="J1939">
        <v>0.59359364626911004</v>
      </c>
      <c r="K1939">
        <v>0.74284168548812002</v>
      </c>
      <c r="L1939">
        <v>881.80461686161095</v>
      </c>
      <c r="M1939">
        <v>18.131357804491198</v>
      </c>
      <c r="O1939">
        <v>48.054201555949</v>
      </c>
      <c r="P1939">
        <v>-3.9863633666678701E-2</v>
      </c>
      <c r="Q1939">
        <v>0.57741206536268397</v>
      </c>
      <c r="R1939">
        <v>0.77750804913112204</v>
      </c>
      <c r="S1939" t="s">
        <v>5771</v>
      </c>
      <c r="T1939" t="s">
        <v>7662</v>
      </c>
      <c r="U1939" t="s">
        <v>7662</v>
      </c>
      <c r="V1939" t="s">
        <v>7662</v>
      </c>
      <c r="W1939">
        <v>9</v>
      </c>
      <c r="X1939" t="s">
        <v>9601</v>
      </c>
      <c r="Y1939">
        <v>0.70630273388925813</v>
      </c>
      <c r="Z1939" t="str">
        <f>HYPERLINK("Melting_Curves/meltCurve_sp_Q7Z417_NUFP2_HUMAN_.pdf", "Melting_Curves/meltCurve_sp_Q7Z417_NUFP2_HUMAN_.pdf")</f>
        <v>Melting_Curves/meltCurve_sp_Q7Z417_NUFP2_HUMAN_.pdf</v>
      </c>
      <c r="AA1939" t="s">
        <v>13403</v>
      </c>
      <c r="AB1939" t="s">
        <v>17179</v>
      </c>
    </row>
    <row r="1940" spans="1:28" x14ac:dyDescent="0.25">
      <c r="A1940" t="s">
        <v>1944</v>
      </c>
      <c r="B1940">
        <v>0.98876768158843997</v>
      </c>
      <c r="C1940">
        <v>1.1060057446611</v>
      </c>
      <c r="D1940">
        <v>0.88447000752441596</v>
      </c>
      <c r="E1940">
        <v>0.83051107620331499</v>
      </c>
      <c r="F1940">
        <v>0.86570091601955101</v>
      </c>
      <c r="G1940">
        <v>0.70594203225253804</v>
      </c>
      <c r="H1940">
        <v>0.54768969113598098</v>
      </c>
      <c r="I1940">
        <v>0.66292521185953901</v>
      </c>
      <c r="J1940">
        <v>0.91097546112490102</v>
      </c>
      <c r="K1940">
        <v>0.96030761560873401</v>
      </c>
      <c r="L1940">
        <v>1256.5833937746399</v>
      </c>
      <c r="M1940">
        <v>26.3826334291854</v>
      </c>
      <c r="O1940">
        <v>47.3580667856113</v>
      </c>
      <c r="P1940">
        <v>-3.18209032926077E-2</v>
      </c>
      <c r="Q1940">
        <v>0.77152241488932805</v>
      </c>
      <c r="R1940">
        <v>0.41898439115917802</v>
      </c>
      <c r="S1940" t="s">
        <v>5772</v>
      </c>
      <c r="T1940" t="s">
        <v>7662</v>
      </c>
      <c r="U1940" t="s">
        <v>7662</v>
      </c>
      <c r="V1940" t="s">
        <v>7662</v>
      </c>
      <c r="W1940">
        <v>2</v>
      </c>
      <c r="X1940" t="s">
        <v>9602</v>
      </c>
      <c r="Y1940">
        <v>0.83142794827497835</v>
      </c>
      <c r="Z1940" t="str">
        <f>HYPERLINK("Melting_Curves/meltCurve_sp_Q7Z422_2_SZRD1_HUMAN_.pdf", "Melting_Curves/meltCurve_sp_Q7Z422_2_SZRD1_HUMAN_.pdf")</f>
        <v>Melting_Curves/meltCurve_sp_Q7Z422_2_SZRD1_HUMAN_.pdf</v>
      </c>
      <c r="AA1940" t="s">
        <v>13404</v>
      </c>
      <c r="AB1940" t="s">
        <v>17180</v>
      </c>
    </row>
    <row r="1941" spans="1:28" x14ac:dyDescent="0.25">
      <c r="A1941" t="s">
        <v>1945</v>
      </c>
      <c r="B1941">
        <v>0.98876768158843997</v>
      </c>
      <c r="C1941">
        <v>1.3332778104004701</v>
      </c>
      <c r="D1941">
        <v>0.902434687785997</v>
      </c>
      <c r="E1941">
        <v>0.84959524300828404</v>
      </c>
      <c r="F1941">
        <v>1.2445972469723501</v>
      </c>
      <c r="G1941">
        <v>0.74839018921259404</v>
      </c>
      <c r="H1941">
        <v>0.54984918340587996</v>
      </c>
      <c r="I1941">
        <v>0.56268178352589504</v>
      </c>
      <c r="J1941">
        <v>0.42586352670763999</v>
      </c>
      <c r="K1941">
        <v>0.59358362626133498</v>
      </c>
      <c r="L1941">
        <v>14241.1420429062</v>
      </c>
      <c r="M1941">
        <v>250</v>
      </c>
      <c r="O1941">
        <v>56.960922552117601</v>
      </c>
      <c r="P1941">
        <v>-0.51241870859961902</v>
      </c>
      <c r="Q1941">
        <v>0.53299452037793404</v>
      </c>
      <c r="R1941">
        <v>0.73582489301280896</v>
      </c>
      <c r="S1941" t="s">
        <v>5773</v>
      </c>
      <c r="T1941" t="s">
        <v>7662</v>
      </c>
      <c r="U1941" t="s">
        <v>7662</v>
      </c>
      <c r="V1941" t="s">
        <v>7662</v>
      </c>
      <c r="W1941">
        <v>4</v>
      </c>
      <c r="X1941" t="s">
        <v>9603</v>
      </c>
      <c r="Y1941">
        <v>0.79712608433635102</v>
      </c>
      <c r="Z1941" t="str">
        <f>HYPERLINK("Melting_Curves/meltCurve_sp_Q7Z434_MAVS_HUMAN_.pdf", "Melting_Curves/meltCurve_sp_Q7Z434_MAVS_HUMAN_.pdf")</f>
        <v>Melting_Curves/meltCurve_sp_Q7Z434_MAVS_HUMAN_.pdf</v>
      </c>
      <c r="AA1941" t="s">
        <v>13405</v>
      </c>
      <c r="AB1941" t="s">
        <v>17181</v>
      </c>
    </row>
    <row r="1942" spans="1:28" x14ac:dyDescent="0.25">
      <c r="A1942" t="s">
        <v>1946</v>
      </c>
      <c r="B1942">
        <v>0.98876768158843997</v>
      </c>
      <c r="C1942">
        <v>1.0822726396513001</v>
      </c>
      <c r="D1942">
        <v>0.87700660105412598</v>
      </c>
      <c r="E1942">
        <v>0.56723093362094101</v>
      </c>
      <c r="F1942">
        <v>0.57985940854470497</v>
      </c>
      <c r="G1942">
        <v>0.33458287331164599</v>
      </c>
      <c r="H1942">
        <v>0.20881361437279999</v>
      </c>
      <c r="I1942">
        <v>0.205704834056152</v>
      </c>
      <c r="J1942">
        <v>0.240721363023117</v>
      </c>
      <c r="K1942">
        <v>0.260370651930241</v>
      </c>
      <c r="L1942">
        <v>840.23839006381604</v>
      </c>
      <c r="M1942">
        <v>16.5162521498229</v>
      </c>
      <c r="N1942">
        <v>52.656019115036401</v>
      </c>
      <c r="O1942">
        <v>50.145181432684801</v>
      </c>
      <c r="P1942">
        <v>-6.4713269373008905E-2</v>
      </c>
      <c r="Q1942">
        <v>0.21414763309071699</v>
      </c>
      <c r="R1942">
        <v>0.96328233289345</v>
      </c>
      <c r="S1942" t="s">
        <v>5774</v>
      </c>
      <c r="T1942" t="s">
        <v>7662</v>
      </c>
      <c r="U1942" t="s">
        <v>7662</v>
      </c>
      <c r="V1942" t="s">
        <v>7662</v>
      </c>
      <c r="W1942">
        <v>11</v>
      </c>
      <c r="X1942" t="s">
        <v>9604</v>
      </c>
      <c r="Y1942">
        <v>0.51443855863880938</v>
      </c>
      <c r="Z1942" t="str">
        <f>HYPERLINK("Melting_Curves/meltCurve_sp_Q7Z460_2_CLAP1_HUMAN_.pdf", "Melting_Curves/meltCurve_sp_Q7Z460_2_CLAP1_HUMAN_.pdf")</f>
        <v>Melting_Curves/meltCurve_sp_Q7Z460_2_CLAP1_HUMAN_.pdf</v>
      </c>
      <c r="AA1942" t="s">
        <v>13406</v>
      </c>
      <c r="AB1942" t="s">
        <v>17182</v>
      </c>
    </row>
    <row r="1943" spans="1:28" x14ac:dyDescent="0.25">
      <c r="A1943" t="s">
        <v>1947</v>
      </c>
      <c r="B1943">
        <v>0.98876768158843997</v>
      </c>
      <c r="C1943">
        <v>1.2176027846559101</v>
      </c>
      <c r="D1943">
        <v>0.84526672136148795</v>
      </c>
      <c r="E1943">
        <v>0.64258920491250004</v>
      </c>
      <c r="F1943">
        <v>0.91863640876613994</v>
      </c>
      <c r="G1943">
        <v>0.61743831088603196</v>
      </c>
      <c r="H1943">
        <v>0.382727115624096</v>
      </c>
      <c r="I1943">
        <v>0.66236894918933198</v>
      </c>
      <c r="J1943">
        <v>0.68181508711940098</v>
      </c>
      <c r="K1943">
        <v>0.76436602104483398</v>
      </c>
      <c r="L1943">
        <v>11506.4778902701</v>
      </c>
      <c r="M1943">
        <v>250</v>
      </c>
      <c r="O1943">
        <v>46.022965982915103</v>
      </c>
      <c r="P1943">
        <v>-0.45203730037445999</v>
      </c>
      <c r="Q1943">
        <v>0.66713444199162897</v>
      </c>
      <c r="R1943">
        <v>0.57841978566478103</v>
      </c>
      <c r="S1943" t="s">
        <v>5775</v>
      </c>
      <c r="T1943" t="s">
        <v>7662</v>
      </c>
      <c r="U1943" t="s">
        <v>7662</v>
      </c>
      <c r="V1943" t="s">
        <v>7662</v>
      </c>
      <c r="W1943">
        <v>3</v>
      </c>
      <c r="X1943" t="s">
        <v>9605</v>
      </c>
      <c r="Y1943">
        <v>0.73402194293628353</v>
      </c>
      <c r="Z1943" t="str">
        <f>HYPERLINK("Melting_Curves/meltCurve_sp_Q7Z478_DHX29_HUMAN_.pdf", "Melting_Curves/meltCurve_sp_Q7Z478_DHX29_HUMAN_.pdf")</f>
        <v>Melting_Curves/meltCurve_sp_Q7Z478_DHX29_HUMAN_.pdf</v>
      </c>
      <c r="AA1943" t="s">
        <v>13407</v>
      </c>
      <c r="AB1943" t="s">
        <v>17183</v>
      </c>
    </row>
    <row r="1944" spans="1:28" x14ac:dyDescent="0.25">
      <c r="A1944" t="s">
        <v>1948</v>
      </c>
      <c r="B1944">
        <v>0.98876768158843997</v>
      </c>
      <c r="C1944">
        <v>0.99644144648668098</v>
      </c>
      <c r="D1944">
        <v>1.00833042732311</v>
      </c>
      <c r="E1944">
        <v>0.75077185681102299</v>
      </c>
      <c r="F1944">
        <v>0.43598856956318799</v>
      </c>
      <c r="G1944">
        <v>0.33354983377394098</v>
      </c>
      <c r="H1944">
        <v>0.19248334721961399</v>
      </c>
      <c r="I1944">
        <v>0.16582365643047001</v>
      </c>
      <c r="J1944">
        <v>0.16258875312569701</v>
      </c>
      <c r="K1944">
        <v>0.16176033078777199</v>
      </c>
      <c r="L1944">
        <v>1195.7448881320299</v>
      </c>
      <c r="M1944">
        <v>23.089684891701701</v>
      </c>
      <c r="N1944">
        <v>52.743300572616903</v>
      </c>
      <c r="O1944">
        <v>51.4032240587646</v>
      </c>
      <c r="P1944">
        <v>-9.3091920270191697E-2</v>
      </c>
      <c r="Q1944">
        <v>0.171034891757149</v>
      </c>
      <c r="R1944">
        <v>0.99177594254990997</v>
      </c>
      <c r="S1944" t="s">
        <v>5776</v>
      </c>
      <c r="T1944" t="s">
        <v>7662</v>
      </c>
      <c r="U1944" t="s">
        <v>7662</v>
      </c>
      <c r="V1944" t="s">
        <v>7662</v>
      </c>
      <c r="W1944">
        <v>2</v>
      </c>
      <c r="X1944" t="s">
        <v>9606</v>
      </c>
      <c r="Y1944">
        <v>0.50552889344471263</v>
      </c>
      <c r="Z1944" t="str">
        <f>HYPERLINK("Melting_Curves/meltCurve_sp_Q7Z4G1_COMD6_HUMAN_.pdf", "Melting_Curves/meltCurve_sp_Q7Z4G1_COMD6_HUMAN_.pdf")</f>
        <v>Melting_Curves/meltCurve_sp_Q7Z4G1_COMD6_HUMAN_.pdf</v>
      </c>
      <c r="AA1944" t="s">
        <v>13408</v>
      </c>
      <c r="AB1944" t="s">
        <v>17184</v>
      </c>
    </row>
    <row r="1945" spans="1:28" x14ac:dyDescent="0.25">
      <c r="A1945" t="s">
        <v>1949</v>
      </c>
      <c r="B1945">
        <v>0.98876768158843997</v>
      </c>
      <c r="C1945">
        <v>0.94840440192743602</v>
      </c>
      <c r="D1945">
        <v>0.87654478852807605</v>
      </c>
      <c r="E1945">
        <v>0.74458479803187805</v>
      </c>
      <c r="F1945">
        <v>0.47814042490187503</v>
      </c>
      <c r="G1945">
        <v>0.15034323293850499</v>
      </c>
      <c r="H1945">
        <v>9.2145973361749706E-2</v>
      </c>
      <c r="I1945">
        <v>7.3354910716197402E-2</v>
      </c>
      <c r="J1945">
        <v>0.121165617131526</v>
      </c>
      <c r="K1945">
        <v>5.85950106763111E-2</v>
      </c>
      <c r="L1945">
        <v>1070.0110613351701</v>
      </c>
      <c r="M1945">
        <v>20.523976569415002</v>
      </c>
      <c r="N1945">
        <v>52.461973012240598</v>
      </c>
      <c r="O1945">
        <v>51.647312449854802</v>
      </c>
      <c r="P1945">
        <v>-9.3379680988800506E-2</v>
      </c>
      <c r="Q1945">
        <v>6.0090925117044801E-2</v>
      </c>
      <c r="R1945">
        <v>0.99125296805155405</v>
      </c>
      <c r="S1945" t="s">
        <v>5777</v>
      </c>
      <c r="T1945" t="s">
        <v>7662</v>
      </c>
      <c r="U1945" t="s">
        <v>7662</v>
      </c>
      <c r="V1945" t="s">
        <v>7662</v>
      </c>
      <c r="W1945">
        <v>3</v>
      </c>
      <c r="X1945" t="s">
        <v>9607</v>
      </c>
      <c r="Y1945">
        <v>0.45268540710747812</v>
      </c>
      <c r="Z1945" t="str">
        <f>HYPERLINK("Melting_Curves/meltCurve_sp_Q7Z4G4_2_TRM11_HUMAN_.pdf", "Melting_Curves/meltCurve_sp_Q7Z4G4_2_TRM11_HUMAN_.pdf")</f>
        <v>Melting_Curves/meltCurve_sp_Q7Z4G4_2_TRM11_HUMAN_.pdf</v>
      </c>
      <c r="AA1945" t="s">
        <v>13409</v>
      </c>
      <c r="AB1945" t="s">
        <v>17185</v>
      </c>
    </row>
    <row r="1946" spans="1:28" x14ac:dyDescent="0.25">
      <c r="A1946" t="s">
        <v>1950</v>
      </c>
      <c r="B1946">
        <v>0.98876768158843997</v>
      </c>
      <c r="C1946">
        <v>1.10414449662285</v>
      </c>
      <c r="D1946">
        <v>0.89566299782518899</v>
      </c>
      <c r="E1946">
        <v>0.735119457101583</v>
      </c>
      <c r="F1946">
        <v>0.54385902701331201</v>
      </c>
      <c r="G1946">
        <v>0.356460716050647</v>
      </c>
      <c r="H1946">
        <v>0.230904649367357</v>
      </c>
      <c r="I1946">
        <v>0.13313716491046301</v>
      </c>
      <c r="J1946">
        <v>0.11641356010269201</v>
      </c>
      <c r="K1946">
        <v>0.13109539783534299</v>
      </c>
      <c r="L1946">
        <v>806.11339109648998</v>
      </c>
      <c r="M1946">
        <v>15.1683783295273</v>
      </c>
      <c r="N1946">
        <v>53.895950998576303</v>
      </c>
      <c r="O1946">
        <v>52.246315022953503</v>
      </c>
      <c r="P1946">
        <v>-6.5668374429687107E-2</v>
      </c>
      <c r="Q1946">
        <v>9.5328782371437104E-2</v>
      </c>
      <c r="R1946">
        <v>0.98523457456403296</v>
      </c>
      <c r="S1946" t="s">
        <v>5778</v>
      </c>
      <c r="T1946" t="s">
        <v>7662</v>
      </c>
      <c r="U1946" t="s">
        <v>7662</v>
      </c>
      <c r="V1946" t="s">
        <v>7662</v>
      </c>
      <c r="W1946">
        <v>2</v>
      </c>
      <c r="X1946" t="s">
        <v>9608</v>
      </c>
      <c r="Y1946">
        <v>0.51075749551035399</v>
      </c>
      <c r="Z1946" t="str">
        <f>HYPERLINK("Melting_Curves/meltCurve_sp_Q7Z4H3_2_HDDC2_HUMAN_.pdf", "Melting_Curves/meltCurve_sp_Q7Z4H3_2_HDDC2_HUMAN_.pdf")</f>
        <v>Melting_Curves/meltCurve_sp_Q7Z4H3_2_HDDC2_HUMAN_.pdf</v>
      </c>
      <c r="AA1946" t="s">
        <v>13410</v>
      </c>
      <c r="AB1946" t="s">
        <v>17186</v>
      </c>
    </row>
    <row r="1947" spans="1:28" x14ac:dyDescent="0.25">
      <c r="A1947" t="s">
        <v>1951</v>
      </c>
      <c r="B1947">
        <v>0.98876768158843997</v>
      </c>
      <c r="C1947">
        <v>0.99894082107631399</v>
      </c>
      <c r="D1947">
        <v>1.03745219675935</v>
      </c>
      <c r="E1947">
        <v>0.87816479560535499</v>
      </c>
      <c r="F1947">
        <v>0.181059296119816</v>
      </c>
      <c r="G1947">
        <v>0.113826499674335</v>
      </c>
      <c r="H1947">
        <v>7.24661865751004E-2</v>
      </c>
      <c r="I1947">
        <v>5.5705806090291597E-2</v>
      </c>
      <c r="J1947">
        <v>6.5262898196659605E-2</v>
      </c>
      <c r="K1947">
        <v>2.2586665784673901E-2</v>
      </c>
      <c r="L1947">
        <v>3391.0369874047901</v>
      </c>
      <c r="M1947">
        <v>65.927035672830002</v>
      </c>
      <c r="N1947">
        <v>51.545889711703701</v>
      </c>
      <c r="O1947">
        <v>51.388970064373403</v>
      </c>
      <c r="P1947">
        <v>-0.299737485347502</v>
      </c>
      <c r="Q1947">
        <v>6.5440186706057002E-2</v>
      </c>
      <c r="R1947">
        <v>0.99703122738417305</v>
      </c>
      <c r="S1947" t="s">
        <v>5779</v>
      </c>
      <c r="T1947" t="s">
        <v>7662</v>
      </c>
      <c r="U1947" t="s">
        <v>7662</v>
      </c>
      <c r="V1947" t="s">
        <v>7662</v>
      </c>
      <c r="W1947">
        <v>1</v>
      </c>
      <c r="X1947" t="s">
        <v>9609</v>
      </c>
      <c r="Y1947">
        <v>0.4229177239001799</v>
      </c>
      <c r="Z1947" t="str">
        <f>HYPERLINK("Melting_Curves/meltCurve_sp_Q7Z4H8_KDEL2_HUMAN_.pdf", "Melting_Curves/meltCurve_sp_Q7Z4H8_KDEL2_HUMAN_.pdf")</f>
        <v>Melting_Curves/meltCurve_sp_Q7Z4H8_KDEL2_HUMAN_.pdf</v>
      </c>
      <c r="AA1947" t="s">
        <v>13411</v>
      </c>
      <c r="AB1947" t="s">
        <v>17187</v>
      </c>
    </row>
    <row r="1948" spans="1:28" x14ac:dyDescent="0.25">
      <c r="A1948" t="s">
        <v>1952</v>
      </c>
      <c r="B1948">
        <v>0.98876768158843997</v>
      </c>
      <c r="C1948">
        <v>0.94499282870331902</v>
      </c>
      <c r="D1948">
        <v>0.93147768609933801</v>
      </c>
      <c r="E1948">
        <v>0.78675285380341697</v>
      </c>
      <c r="F1948">
        <v>0.62881934250409899</v>
      </c>
      <c r="G1948">
        <v>0.370382750066726</v>
      </c>
      <c r="H1948">
        <v>0.23926837167190201</v>
      </c>
      <c r="I1948">
        <v>0.196456633934741</v>
      </c>
      <c r="J1948">
        <v>0.24464568304808501</v>
      </c>
      <c r="K1948">
        <v>0.20858344799475101</v>
      </c>
      <c r="L1948">
        <v>916.31548899430004</v>
      </c>
      <c r="M1948">
        <v>17.2451250430274</v>
      </c>
      <c r="N1948">
        <v>54.597219615740897</v>
      </c>
      <c r="O1948">
        <v>52.435702173646597</v>
      </c>
      <c r="P1948">
        <v>-6.7016082331343305E-2</v>
      </c>
      <c r="Q1948">
        <v>0.184968490088152</v>
      </c>
      <c r="R1948">
        <v>0.99412760818750801</v>
      </c>
      <c r="S1948" t="s">
        <v>5780</v>
      </c>
      <c r="T1948" t="s">
        <v>7662</v>
      </c>
      <c r="U1948" t="s">
        <v>7662</v>
      </c>
      <c r="V1948" t="s">
        <v>7662</v>
      </c>
      <c r="W1948">
        <v>12</v>
      </c>
      <c r="X1948" t="s">
        <v>9610</v>
      </c>
      <c r="Y1948">
        <v>0.55604137385896191</v>
      </c>
      <c r="Z1948" t="str">
        <f>HYPERLINK("Melting_Curves/meltCurve_sp_Q7Z4I7_3_LIMS2_HUMAN_.pdf", "Melting_Curves/meltCurve_sp_Q7Z4I7_3_LIMS2_HUMAN_.pdf")</f>
        <v>Melting_Curves/meltCurve_sp_Q7Z4I7_3_LIMS2_HUMAN_.pdf</v>
      </c>
      <c r="AA1948" t="s">
        <v>13412</v>
      </c>
      <c r="AB1948" t="s">
        <v>17188</v>
      </c>
    </row>
    <row r="1949" spans="1:28" x14ac:dyDescent="0.25">
      <c r="A1949" t="s">
        <v>1953</v>
      </c>
      <c r="B1949">
        <v>0.98876768158843997</v>
      </c>
      <c r="C1949">
        <v>0.81134422815485496</v>
      </c>
      <c r="D1949">
        <v>0.65069081513053695</v>
      </c>
      <c r="E1949">
        <v>0.33231829909451199</v>
      </c>
      <c r="F1949">
        <v>0.28726513870339598</v>
      </c>
      <c r="G1949">
        <v>0.18678403661589399</v>
      </c>
      <c r="H1949">
        <v>9.0277348238280097E-2</v>
      </c>
      <c r="I1949">
        <v>6.5044273823565604E-2</v>
      </c>
      <c r="J1949">
        <v>0</v>
      </c>
      <c r="K1949">
        <v>0</v>
      </c>
      <c r="L1949">
        <v>586.822443808603</v>
      </c>
      <c r="M1949">
        <v>12.157184770929099</v>
      </c>
      <c r="N1949">
        <v>48.293141643437799</v>
      </c>
      <c r="O1949">
        <v>47.019250566605201</v>
      </c>
      <c r="P1949">
        <v>-6.4463202586991897E-2</v>
      </c>
      <c r="Q1949">
        <v>2.9543984462037098E-3</v>
      </c>
      <c r="R1949">
        <v>0.98740610859522704</v>
      </c>
      <c r="S1949" t="s">
        <v>5781</v>
      </c>
      <c r="T1949" t="s">
        <v>7662</v>
      </c>
      <c r="U1949" t="s">
        <v>7662</v>
      </c>
      <c r="V1949" t="s">
        <v>7662</v>
      </c>
      <c r="W1949">
        <v>4</v>
      </c>
      <c r="X1949" t="s">
        <v>9611</v>
      </c>
      <c r="Y1949">
        <v>0.31526661157123281</v>
      </c>
      <c r="Z1949" t="str">
        <f>HYPERLINK("Melting_Curves/meltCurve_sp_Q7Z4S6_3_KI21A_HUMAN_.pdf", "Melting_Curves/meltCurve_sp_Q7Z4S6_3_KI21A_HUMAN_.pdf")</f>
        <v>Melting_Curves/meltCurve_sp_Q7Z4S6_3_KI21A_HUMAN_.pdf</v>
      </c>
      <c r="AA1949" t="s">
        <v>13413</v>
      </c>
      <c r="AB1949" t="s">
        <v>17189</v>
      </c>
    </row>
    <row r="1950" spans="1:28" x14ac:dyDescent="0.25">
      <c r="A1950" t="s">
        <v>1954</v>
      </c>
      <c r="B1950">
        <v>0.98876768158843997</v>
      </c>
      <c r="C1950">
        <v>0.94833756462294405</v>
      </c>
      <c r="D1950">
        <v>0.91958763321623405</v>
      </c>
      <c r="E1950">
        <v>0.67077813337226699</v>
      </c>
      <c r="F1950">
        <v>0.63667351498517999</v>
      </c>
      <c r="G1950">
        <v>0.43363416714310499</v>
      </c>
      <c r="H1950">
        <v>0.37242624116686601</v>
      </c>
      <c r="I1950">
        <v>0.40821620094149003</v>
      </c>
      <c r="J1950">
        <v>0.48778277432664702</v>
      </c>
      <c r="K1950">
        <v>0.55909309304323296</v>
      </c>
      <c r="L1950">
        <v>1012.1170734937</v>
      </c>
      <c r="M1950">
        <v>20.419844869841501</v>
      </c>
      <c r="N1950">
        <v>55.867199527281798</v>
      </c>
      <c r="O1950">
        <v>49.097334189266</v>
      </c>
      <c r="P1950">
        <v>-5.7184633875859502E-2</v>
      </c>
      <c r="Q1950">
        <v>0.45003896660376602</v>
      </c>
      <c r="R1950">
        <v>0.933538149954661</v>
      </c>
      <c r="S1950" t="s">
        <v>5782</v>
      </c>
      <c r="T1950" t="s">
        <v>7662</v>
      </c>
      <c r="U1950" t="s">
        <v>7662</v>
      </c>
      <c r="V1950" t="s">
        <v>7662</v>
      </c>
      <c r="W1950">
        <v>7</v>
      </c>
      <c r="X1950" t="s">
        <v>9612</v>
      </c>
      <c r="Y1950">
        <v>0.63275271765187957</v>
      </c>
      <c r="Z1950" t="str">
        <f>HYPERLINK("Melting_Curves/meltCurve_sp_Q7Z4V5_HDGR2_HUMAN_.pdf", "Melting_Curves/meltCurve_sp_Q7Z4V5_HDGR2_HUMAN_.pdf")</f>
        <v>Melting_Curves/meltCurve_sp_Q7Z4V5_HDGR2_HUMAN_.pdf</v>
      </c>
      <c r="AA1950" t="s">
        <v>13414</v>
      </c>
      <c r="AB1950" t="s">
        <v>17190</v>
      </c>
    </row>
    <row r="1951" spans="1:28" x14ac:dyDescent="0.25">
      <c r="A1951" t="s">
        <v>1955</v>
      </c>
      <c r="B1951">
        <v>0.98876768158843997</v>
      </c>
      <c r="C1951">
        <v>1.1031570439403799</v>
      </c>
      <c r="D1951">
        <v>0.89713354892571096</v>
      </c>
      <c r="E1951">
        <v>0.86361021102672297</v>
      </c>
      <c r="F1951">
        <v>0.60760663752046196</v>
      </c>
      <c r="G1951">
        <v>0.19190767573947901</v>
      </c>
      <c r="H1951">
        <v>9.1089136897185993E-2</v>
      </c>
      <c r="I1951">
        <v>7.2269478787458805E-2</v>
      </c>
      <c r="J1951">
        <v>6.4093891577797199E-2</v>
      </c>
      <c r="K1951">
        <v>4.6376761570980397E-2</v>
      </c>
      <c r="L1951">
        <v>1384.19336841622</v>
      </c>
      <c r="M1951">
        <v>25.8496301988021</v>
      </c>
      <c r="N1951">
        <v>53.768803562314098</v>
      </c>
      <c r="O1951">
        <v>53.230511352793201</v>
      </c>
      <c r="P1951">
        <v>-0.11528942335791099</v>
      </c>
      <c r="Q1951">
        <v>5.0378257186187103E-2</v>
      </c>
      <c r="R1951">
        <v>0.98843459396633404</v>
      </c>
      <c r="S1951" t="s">
        <v>5783</v>
      </c>
      <c r="T1951" t="s">
        <v>7662</v>
      </c>
      <c r="U1951" t="s">
        <v>7662</v>
      </c>
      <c r="V1951" t="s">
        <v>7662</v>
      </c>
      <c r="W1951">
        <v>20</v>
      </c>
      <c r="X1951" t="s">
        <v>9613</v>
      </c>
      <c r="Y1951">
        <v>0.4874680366992033</v>
      </c>
      <c r="Z1951" t="str">
        <f>HYPERLINK("Melting_Curves/meltCurve_sp_Q7Z4W1_DCXR_HUMAN_.pdf", "Melting_Curves/meltCurve_sp_Q7Z4W1_DCXR_HUMAN_.pdf")</f>
        <v>Melting_Curves/meltCurve_sp_Q7Z4W1_DCXR_HUMAN_.pdf</v>
      </c>
      <c r="AA1951" t="s">
        <v>13415</v>
      </c>
      <c r="AB1951" t="s">
        <v>17191</v>
      </c>
    </row>
    <row r="1952" spans="1:28" x14ac:dyDescent="0.25">
      <c r="A1952" t="s">
        <v>1956</v>
      </c>
      <c r="B1952">
        <v>0.98876768158843997</v>
      </c>
      <c r="C1952">
        <v>0.98672238678998103</v>
      </c>
      <c r="D1952">
        <v>0.89014423462237102</v>
      </c>
      <c r="E1952">
        <v>0.71879128105073098</v>
      </c>
      <c r="F1952">
        <v>0.53012476588393997</v>
      </c>
      <c r="G1952">
        <v>0.393395456617887</v>
      </c>
      <c r="H1952">
        <v>0.288815143142028</v>
      </c>
      <c r="I1952">
        <v>0.30176028172019997</v>
      </c>
      <c r="J1952">
        <v>0.36548365351555401</v>
      </c>
      <c r="K1952">
        <v>0.352537401776571</v>
      </c>
      <c r="L1952">
        <v>977.81976675973499</v>
      </c>
      <c r="M1952">
        <v>19.2821229935508</v>
      </c>
      <c r="N1952">
        <v>53.517048927171501</v>
      </c>
      <c r="O1952">
        <v>50.175218994150796</v>
      </c>
      <c r="P1952">
        <v>-6.5518865450454405E-2</v>
      </c>
      <c r="Q1952">
        <v>0.31806268596224802</v>
      </c>
      <c r="R1952">
        <v>0.98994746050869198</v>
      </c>
      <c r="S1952" t="s">
        <v>5784</v>
      </c>
      <c r="T1952" t="s">
        <v>7662</v>
      </c>
      <c r="U1952" t="s">
        <v>7662</v>
      </c>
      <c r="V1952" t="s">
        <v>7662</v>
      </c>
      <c r="W1952">
        <v>4</v>
      </c>
      <c r="X1952" t="s">
        <v>9614</v>
      </c>
      <c r="Y1952">
        <v>0.57169044030958149</v>
      </c>
      <c r="Z1952" t="str">
        <f>HYPERLINK("Melting_Curves/meltCurve_sp_Q7Z5K2_3_WAPL_HUMAN_.pdf", "Melting_Curves/meltCurve_sp_Q7Z5K2_3_WAPL_HUMAN_.pdf")</f>
        <v>Melting_Curves/meltCurve_sp_Q7Z5K2_3_WAPL_HUMAN_.pdf</v>
      </c>
      <c r="AA1952" t="s">
        <v>13416</v>
      </c>
      <c r="AB1952" t="s">
        <v>17192</v>
      </c>
    </row>
    <row r="1953" spans="1:28" x14ac:dyDescent="0.25">
      <c r="A1953" t="s">
        <v>1957</v>
      </c>
      <c r="B1953">
        <v>0.98876768158843997</v>
      </c>
      <c r="C1953">
        <v>1.0806039304053701</v>
      </c>
      <c r="D1953">
        <v>0.83530254809858995</v>
      </c>
      <c r="E1953">
        <v>0.54562766554252795</v>
      </c>
      <c r="F1953">
        <v>0.64262001556972603</v>
      </c>
      <c r="G1953">
        <v>0.46136618746361402</v>
      </c>
      <c r="H1953">
        <v>0.335005863200668</v>
      </c>
      <c r="I1953">
        <v>0.39465367045188399</v>
      </c>
      <c r="J1953">
        <v>0.46265320848133201</v>
      </c>
      <c r="K1953">
        <v>0.53635386843931099</v>
      </c>
      <c r="L1953">
        <v>1141.1561597812799</v>
      </c>
      <c r="M1953">
        <v>23.7446411873477</v>
      </c>
      <c r="N1953">
        <v>53.244572198863402</v>
      </c>
      <c r="O1953">
        <v>47.722537164869799</v>
      </c>
      <c r="P1953">
        <v>-6.83550034955583E-2</v>
      </c>
      <c r="Q1953">
        <v>0.45048309340007298</v>
      </c>
      <c r="R1953">
        <v>0.89722846033612103</v>
      </c>
      <c r="S1953" t="s">
        <v>5785</v>
      </c>
      <c r="T1953" t="s">
        <v>7662</v>
      </c>
      <c r="U1953" t="s">
        <v>7662</v>
      </c>
      <c r="V1953" t="s">
        <v>7662</v>
      </c>
      <c r="W1953">
        <v>6</v>
      </c>
      <c r="X1953" t="s">
        <v>9615</v>
      </c>
      <c r="Y1953">
        <v>0.60352873590618938</v>
      </c>
      <c r="Z1953" t="str">
        <f>HYPERLINK("Melting_Curves/meltCurve_sp_Q7Z5L9_2_I2BP2_HUMAN_.pdf", "Melting_Curves/meltCurve_sp_Q7Z5L9_2_I2BP2_HUMAN_.pdf")</f>
        <v>Melting_Curves/meltCurve_sp_Q7Z5L9_2_I2BP2_HUMAN_.pdf</v>
      </c>
      <c r="AA1953" t="s">
        <v>13417</v>
      </c>
      <c r="AB1953" t="s">
        <v>17193</v>
      </c>
    </row>
    <row r="1954" spans="1:28" x14ac:dyDescent="0.25">
      <c r="A1954" t="s">
        <v>1958</v>
      </c>
      <c r="B1954">
        <v>0.98876768158843997</v>
      </c>
      <c r="C1954">
        <v>0.917502483005458</v>
      </c>
      <c r="D1954">
        <v>0.871681838713248</v>
      </c>
      <c r="E1954">
        <v>0.27947226822528998</v>
      </c>
      <c r="F1954">
        <v>0.13027286096965701</v>
      </c>
      <c r="G1954">
        <v>8.1997212075970299E-2</v>
      </c>
      <c r="H1954">
        <v>5.4203422669717699E-2</v>
      </c>
      <c r="I1954">
        <v>4.65017014304413E-2</v>
      </c>
      <c r="J1954">
        <v>6.5942031650132099E-2</v>
      </c>
      <c r="K1954">
        <v>4.4992492530362901E-2</v>
      </c>
      <c r="L1954">
        <v>1588.1423777954401</v>
      </c>
      <c r="M1954">
        <v>32.857770367422297</v>
      </c>
      <c r="N1954">
        <v>48.520401268134798</v>
      </c>
      <c r="O1954">
        <v>48.155887879519497</v>
      </c>
      <c r="P1954">
        <v>-0.16045875188441799</v>
      </c>
      <c r="Q1954">
        <v>5.9340263555251002E-2</v>
      </c>
      <c r="R1954">
        <v>0.99552979821163201</v>
      </c>
      <c r="S1954" t="s">
        <v>5786</v>
      </c>
      <c r="T1954" t="s">
        <v>7662</v>
      </c>
      <c r="U1954" t="s">
        <v>7662</v>
      </c>
      <c r="V1954" t="s">
        <v>7662</v>
      </c>
      <c r="W1954">
        <v>9</v>
      </c>
      <c r="X1954" t="s">
        <v>9616</v>
      </c>
      <c r="Y1954">
        <v>0.3253576344962929</v>
      </c>
      <c r="Z1954" t="str">
        <f>HYPERLINK("Melting_Curves/meltCurve_sp_Q7Z5P4_DHB13_HUMAN_.pdf", "Melting_Curves/meltCurve_sp_Q7Z5P4_DHB13_HUMAN_.pdf")</f>
        <v>Melting_Curves/meltCurve_sp_Q7Z5P4_DHB13_HUMAN_.pdf</v>
      </c>
      <c r="AA1954" t="s">
        <v>13418</v>
      </c>
      <c r="AB1954" t="s">
        <v>17194</v>
      </c>
    </row>
    <row r="1955" spans="1:28" x14ac:dyDescent="0.25">
      <c r="A1955" t="s">
        <v>1959</v>
      </c>
      <c r="B1955">
        <v>0.98876768158843997</v>
      </c>
      <c r="C1955">
        <v>1.0512356982111599</v>
      </c>
      <c r="D1955">
        <v>0.86026088915733501</v>
      </c>
      <c r="E1955">
        <v>0.69077819344142699</v>
      </c>
      <c r="F1955">
        <v>0.447533908517325</v>
      </c>
      <c r="G1955">
        <v>0.18822894792436601</v>
      </c>
      <c r="H1955">
        <v>0.128088049766935</v>
      </c>
      <c r="I1955">
        <v>0.13650254271135201</v>
      </c>
      <c r="J1955">
        <v>0.17158704928678001</v>
      </c>
      <c r="K1955">
        <v>0.15292513035281699</v>
      </c>
      <c r="L1955">
        <v>1066.89369557643</v>
      </c>
      <c r="M1955">
        <v>20.807811051377001</v>
      </c>
      <c r="N1955">
        <v>52.025701997663397</v>
      </c>
      <c r="O1955">
        <v>50.8071748967579</v>
      </c>
      <c r="P1955">
        <v>-8.9091503694414403E-2</v>
      </c>
      <c r="Q1955">
        <v>0.12987251837977701</v>
      </c>
      <c r="R1955">
        <v>0.98947287930913996</v>
      </c>
      <c r="S1955" t="s">
        <v>5787</v>
      </c>
      <c r="T1955" t="s">
        <v>7662</v>
      </c>
      <c r="U1955" t="s">
        <v>7662</v>
      </c>
      <c r="V1955" t="s">
        <v>7662</v>
      </c>
      <c r="W1955">
        <v>11</v>
      </c>
      <c r="X1955" t="s">
        <v>9617</v>
      </c>
      <c r="Y1955">
        <v>0.46807035122367602</v>
      </c>
      <c r="Z1955" t="str">
        <f>HYPERLINK("Melting_Curves/meltCurve_sp_Q7Z5R6_AB1IP_HUMAN_.pdf", "Melting_Curves/meltCurve_sp_Q7Z5R6_AB1IP_HUMAN_.pdf")</f>
        <v>Melting_Curves/meltCurve_sp_Q7Z5R6_AB1IP_HUMAN_.pdf</v>
      </c>
      <c r="AA1955" t="s">
        <v>13419</v>
      </c>
      <c r="AB1955" t="s">
        <v>17195</v>
      </c>
    </row>
    <row r="1956" spans="1:28" x14ac:dyDescent="0.25">
      <c r="A1956" t="s">
        <v>1960</v>
      </c>
      <c r="B1956">
        <v>0.98876768158843997</v>
      </c>
      <c r="C1956">
        <v>1.0189520899170299</v>
      </c>
      <c r="D1956">
        <v>1.10428408104403</v>
      </c>
      <c r="E1956">
        <v>0.89886484749936801</v>
      </c>
      <c r="F1956">
        <v>0.89906654985833301</v>
      </c>
      <c r="G1956">
        <v>0.58457554950301005</v>
      </c>
      <c r="H1956">
        <v>0.47949641660689302</v>
      </c>
      <c r="I1956">
        <v>0.52138788063471497</v>
      </c>
      <c r="J1956">
        <v>0.66973511385191697</v>
      </c>
      <c r="K1956">
        <v>0.84533559275646797</v>
      </c>
      <c r="L1956">
        <v>5990.5504931001897</v>
      </c>
      <c r="M1956">
        <v>112.017747642958</v>
      </c>
      <c r="O1956">
        <v>53.461553515373701</v>
      </c>
      <c r="P1956">
        <v>-0.19902647976217999</v>
      </c>
      <c r="Q1956">
        <v>0.62005082318092997</v>
      </c>
      <c r="R1956">
        <v>0.76092898402789499</v>
      </c>
      <c r="S1956" t="s">
        <v>5788</v>
      </c>
      <c r="T1956" t="s">
        <v>7662</v>
      </c>
      <c r="U1956" t="s">
        <v>7662</v>
      </c>
      <c r="V1956" t="s">
        <v>7662</v>
      </c>
      <c r="W1956">
        <v>5</v>
      </c>
      <c r="X1956" t="s">
        <v>9618</v>
      </c>
      <c r="Y1956">
        <v>0.79093448983910852</v>
      </c>
      <c r="Z1956" t="str">
        <f>HYPERLINK("Melting_Curves/meltCurve_sp_Q7Z6B0_2_CCD91_HUMAN_.pdf", "Melting_Curves/meltCurve_sp_Q7Z6B0_2_CCD91_HUMAN_.pdf")</f>
        <v>Melting_Curves/meltCurve_sp_Q7Z6B0_2_CCD91_HUMAN_.pdf</v>
      </c>
      <c r="AA1956" t="s">
        <v>13420</v>
      </c>
      <c r="AB1956" t="s">
        <v>17196</v>
      </c>
    </row>
    <row r="1957" spans="1:28" x14ac:dyDescent="0.25">
      <c r="A1957" t="s">
        <v>1961</v>
      </c>
      <c r="B1957">
        <v>0.98876768158843997</v>
      </c>
      <c r="C1957">
        <v>1.1482915790761601</v>
      </c>
      <c r="D1957">
        <v>0.86427718987082502</v>
      </c>
      <c r="E1957">
        <v>0.71630673213620999</v>
      </c>
      <c r="F1957">
        <v>0.905035294900705</v>
      </c>
      <c r="G1957">
        <v>0.63963925120044896</v>
      </c>
      <c r="H1957">
        <v>0.465793927165084</v>
      </c>
      <c r="I1957">
        <v>0.50135054657413103</v>
      </c>
      <c r="J1957">
        <v>0.60707834452140796</v>
      </c>
      <c r="K1957">
        <v>0.73499856576661804</v>
      </c>
      <c r="L1957">
        <v>814.09591774452701</v>
      </c>
      <c r="M1957">
        <v>15.929287340380201</v>
      </c>
      <c r="O1957">
        <v>50.3217626467709</v>
      </c>
      <c r="P1957">
        <v>-3.3324871381212602E-2</v>
      </c>
      <c r="Q1957">
        <v>0.57893097901942603</v>
      </c>
      <c r="R1957">
        <v>0.70120390591147397</v>
      </c>
      <c r="S1957" t="s">
        <v>5789</v>
      </c>
      <c r="T1957" t="s">
        <v>7662</v>
      </c>
      <c r="U1957" t="s">
        <v>7662</v>
      </c>
      <c r="V1957" t="s">
        <v>7662</v>
      </c>
      <c r="W1957">
        <v>5</v>
      </c>
      <c r="X1957" t="s">
        <v>9619</v>
      </c>
      <c r="Y1957">
        <v>0.74359369889651394</v>
      </c>
      <c r="Z1957" t="str">
        <f>HYPERLINK("Melting_Curves/meltCurve_sp_Q7Z6E9_2_RBBP6_HUMAN_.pdf", "Melting_Curves/meltCurve_sp_Q7Z6E9_2_RBBP6_HUMAN_.pdf")</f>
        <v>Melting_Curves/meltCurve_sp_Q7Z6E9_2_RBBP6_HUMAN_.pdf</v>
      </c>
      <c r="AA1957" t="s">
        <v>13421</v>
      </c>
      <c r="AB1957" t="s">
        <v>17197</v>
      </c>
    </row>
    <row r="1958" spans="1:28" x14ac:dyDescent="0.25">
      <c r="A1958" t="s">
        <v>1962</v>
      </c>
      <c r="B1958">
        <v>0.98876768158843997</v>
      </c>
      <c r="C1958">
        <v>1.00783824955554</v>
      </c>
      <c r="D1958">
        <v>0.87432865149900496</v>
      </c>
      <c r="E1958">
        <v>0.81180565504773805</v>
      </c>
      <c r="F1958">
        <v>0.51672025421538403</v>
      </c>
      <c r="G1958">
        <v>0.34214463630587899</v>
      </c>
      <c r="H1958">
        <v>0.24931940573658501</v>
      </c>
      <c r="I1958">
        <v>0.206406301051344</v>
      </c>
      <c r="J1958">
        <v>0.24225547604900699</v>
      </c>
      <c r="K1958">
        <v>0.22665189511734499</v>
      </c>
      <c r="L1958">
        <v>1027.80279783328</v>
      </c>
      <c r="M1958">
        <v>19.71627816302</v>
      </c>
      <c r="N1958">
        <v>53.632222812199998</v>
      </c>
      <c r="O1958">
        <v>51.602269574144003</v>
      </c>
      <c r="P1958">
        <v>-7.5252695721384905E-2</v>
      </c>
      <c r="Q1958">
        <v>0.21220909551819001</v>
      </c>
      <c r="R1958">
        <v>0.99020801183121798</v>
      </c>
      <c r="S1958" t="s">
        <v>5790</v>
      </c>
      <c r="T1958" t="s">
        <v>7662</v>
      </c>
      <c r="U1958" t="s">
        <v>7662</v>
      </c>
      <c r="V1958" t="s">
        <v>7662</v>
      </c>
      <c r="W1958">
        <v>5</v>
      </c>
      <c r="X1958" t="s">
        <v>9620</v>
      </c>
      <c r="Y1958">
        <v>0.54190602229456819</v>
      </c>
      <c r="Z1958" t="str">
        <f>HYPERLINK("Melting_Curves/meltCurve_sp_Q7Z6K3_PTAR1_HUMAN_.pdf", "Melting_Curves/meltCurve_sp_Q7Z6K3_PTAR1_HUMAN_.pdf")</f>
        <v>Melting_Curves/meltCurve_sp_Q7Z6K3_PTAR1_HUMAN_.pdf</v>
      </c>
      <c r="AA1958" t="s">
        <v>13422</v>
      </c>
      <c r="AB1958" t="s">
        <v>17198</v>
      </c>
    </row>
    <row r="1959" spans="1:28" x14ac:dyDescent="0.25">
      <c r="A1959" t="s">
        <v>1963</v>
      </c>
      <c r="B1959">
        <v>0.98876768158843997</v>
      </c>
      <c r="C1959">
        <v>1.02162619540843</v>
      </c>
      <c r="D1959">
        <v>0.80742978659828901</v>
      </c>
      <c r="E1959">
        <v>0.71395559764893501</v>
      </c>
      <c r="F1959">
        <v>0.76072956465334596</v>
      </c>
      <c r="G1959">
        <v>0.46009460819317799</v>
      </c>
      <c r="H1959">
        <v>0.227063707715634</v>
      </c>
      <c r="I1959">
        <v>0.107493670765322</v>
      </c>
      <c r="J1959">
        <v>6.3342757559793905E-2</v>
      </c>
      <c r="K1959">
        <v>6.1228846058707501E-2</v>
      </c>
      <c r="L1959">
        <v>703.05830300216996</v>
      </c>
      <c r="M1959">
        <v>12.653723541195401</v>
      </c>
      <c r="N1959">
        <v>55.561394492220302</v>
      </c>
      <c r="O1959">
        <v>54.228510084861597</v>
      </c>
      <c r="P1959">
        <v>-5.8346644997948699E-2</v>
      </c>
      <c r="Q1959">
        <v>0</v>
      </c>
      <c r="R1959">
        <v>0.96649302679047999</v>
      </c>
      <c r="S1959" t="s">
        <v>5791</v>
      </c>
      <c r="T1959" t="s">
        <v>7662</v>
      </c>
      <c r="U1959" t="s">
        <v>7662</v>
      </c>
      <c r="V1959" t="s">
        <v>7662</v>
      </c>
      <c r="W1959">
        <v>10</v>
      </c>
      <c r="X1959" t="s">
        <v>9621</v>
      </c>
      <c r="Y1959">
        <v>0.539834323906911</v>
      </c>
      <c r="Z1959" t="str">
        <f>HYPERLINK("Melting_Curves/meltCurve_sp_Q7Z6M1_RABEK_HUMAN_.pdf", "Melting_Curves/meltCurve_sp_Q7Z6M1_RABEK_HUMAN_.pdf")</f>
        <v>Melting_Curves/meltCurve_sp_Q7Z6M1_RABEK_HUMAN_.pdf</v>
      </c>
      <c r="AA1959" t="s">
        <v>13423</v>
      </c>
      <c r="AB1959" t="s">
        <v>17199</v>
      </c>
    </row>
    <row r="1960" spans="1:28" x14ac:dyDescent="0.25">
      <c r="A1960" t="s">
        <v>1964</v>
      </c>
      <c r="B1960">
        <v>0.98876768158843997</v>
      </c>
      <c r="C1960">
        <v>0.95198434565696499</v>
      </c>
      <c r="D1960">
        <v>1.06147745740347</v>
      </c>
      <c r="E1960">
        <v>0.69943921723810298</v>
      </c>
      <c r="F1960">
        <v>0.36460932500829402</v>
      </c>
      <c r="G1960">
        <v>0.17555594391920601</v>
      </c>
      <c r="H1960">
        <v>7.44697942296529E-2</v>
      </c>
      <c r="I1960">
        <v>6.6204013167899395E-2</v>
      </c>
      <c r="J1960">
        <v>7.4531925838186797E-2</v>
      </c>
      <c r="K1960">
        <v>7.3827937659885795E-2</v>
      </c>
      <c r="L1960">
        <v>1438.8341896198599</v>
      </c>
      <c r="M1960">
        <v>27.931939436175998</v>
      </c>
      <c r="N1960">
        <v>51.818887451357099</v>
      </c>
      <c r="O1960">
        <v>51.250282965366999</v>
      </c>
      <c r="P1960">
        <v>-0.12587151070125799</v>
      </c>
      <c r="Q1960">
        <v>7.6198095963902396E-2</v>
      </c>
      <c r="R1960">
        <v>0.99184289958676197</v>
      </c>
      <c r="S1960" t="s">
        <v>5792</v>
      </c>
      <c r="T1960" t="s">
        <v>7662</v>
      </c>
      <c r="U1960" t="s">
        <v>7662</v>
      </c>
      <c r="V1960" t="s">
        <v>7662</v>
      </c>
      <c r="W1960">
        <v>33</v>
      </c>
      <c r="X1960" t="s">
        <v>9622</v>
      </c>
      <c r="Y1960">
        <v>0.43744590943059097</v>
      </c>
      <c r="Z1960" t="str">
        <f>HYPERLINK("Melting_Curves/meltCurve_sp_Q7Z6Z7_2_HUWE1_HUMAN_.pdf", "Melting_Curves/meltCurve_sp_Q7Z6Z7_2_HUWE1_HUMAN_.pdf")</f>
        <v>Melting_Curves/meltCurve_sp_Q7Z6Z7_2_HUWE1_HUMAN_.pdf</v>
      </c>
      <c r="AA1960" t="s">
        <v>13424</v>
      </c>
      <c r="AB1960" t="s">
        <v>17200</v>
      </c>
    </row>
    <row r="1961" spans="1:28" x14ac:dyDescent="0.25">
      <c r="A1961" t="s">
        <v>1965</v>
      </c>
      <c r="B1961">
        <v>0.98876768158843997</v>
      </c>
      <c r="C1961">
        <v>1.08965341989987</v>
      </c>
      <c r="D1961">
        <v>0.79032833497445998</v>
      </c>
      <c r="E1961">
        <v>0.665248609634423</v>
      </c>
      <c r="F1961">
        <v>0.57759713823091097</v>
      </c>
      <c r="G1961">
        <v>0.207755966906465</v>
      </c>
      <c r="H1961">
        <v>8.3651121355300506E-2</v>
      </c>
      <c r="I1961">
        <v>7.71789556221191E-2</v>
      </c>
      <c r="J1961">
        <v>9.5345107730625794E-2</v>
      </c>
      <c r="K1961">
        <v>8.6634621682898996E-2</v>
      </c>
      <c r="L1961">
        <v>800.65985127062902</v>
      </c>
      <c r="M1961">
        <v>15.2598428638616</v>
      </c>
      <c r="N1961">
        <v>52.706308105519199</v>
      </c>
      <c r="O1961">
        <v>51.592125055664503</v>
      </c>
      <c r="P1961">
        <v>-7.1490561436052605E-2</v>
      </c>
      <c r="Q1961">
        <v>3.3279260088121002E-2</v>
      </c>
      <c r="R1961">
        <v>0.97028446321566197</v>
      </c>
      <c r="S1961" t="s">
        <v>5793</v>
      </c>
      <c r="T1961" t="s">
        <v>7662</v>
      </c>
      <c r="U1961" t="s">
        <v>7662</v>
      </c>
      <c r="V1961" t="s">
        <v>7662</v>
      </c>
      <c r="W1961">
        <v>1</v>
      </c>
      <c r="X1961" t="s">
        <v>9623</v>
      </c>
      <c r="Y1961">
        <v>0.45577869149328409</v>
      </c>
      <c r="Z1961" t="str">
        <f>HYPERLINK("Melting_Curves/meltCurve_sp_Q7Z7E8_UB2Q1_HUMAN_.pdf", "Melting_Curves/meltCurve_sp_Q7Z7E8_UB2Q1_HUMAN_.pdf")</f>
        <v>Melting_Curves/meltCurve_sp_Q7Z7E8_UB2Q1_HUMAN_.pdf</v>
      </c>
      <c r="AA1961" t="s">
        <v>13425</v>
      </c>
      <c r="AB1961" t="s">
        <v>17201</v>
      </c>
    </row>
    <row r="1962" spans="1:28" x14ac:dyDescent="0.25">
      <c r="A1962" t="s">
        <v>1966</v>
      </c>
      <c r="B1962">
        <v>0.98876768158843997</v>
      </c>
      <c r="C1962">
        <v>1.0680067020823101</v>
      </c>
      <c r="D1962">
        <v>0.830690957784463</v>
      </c>
      <c r="E1962">
        <v>0.623934124640798</v>
      </c>
      <c r="F1962">
        <v>0.936195449312346</v>
      </c>
      <c r="G1962">
        <v>0.68909631705577301</v>
      </c>
      <c r="H1962">
        <v>0.51392577806552897</v>
      </c>
      <c r="I1962">
        <v>0.60206072936708699</v>
      </c>
      <c r="J1962">
        <v>0.70273819055674203</v>
      </c>
      <c r="K1962">
        <v>0.74291251022705096</v>
      </c>
      <c r="L1962">
        <v>11492.367920381999</v>
      </c>
      <c r="M1962">
        <v>250</v>
      </c>
      <c r="O1962">
        <v>45.966530010482103</v>
      </c>
      <c r="P1962">
        <v>-0.42521950763752198</v>
      </c>
      <c r="Q1962">
        <v>0.68726615670258695</v>
      </c>
      <c r="R1962">
        <v>0.62231722244219001</v>
      </c>
      <c r="S1962" t="s">
        <v>5794</v>
      </c>
      <c r="T1962" t="s">
        <v>7662</v>
      </c>
      <c r="U1962" t="s">
        <v>7662</v>
      </c>
      <c r="V1962" t="s">
        <v>7662</v>
      </c>
      <c r="W1962">
        <v>2</v>
      </c>
      <c r="X1962" t="s">
        <v>9624</v>
      </c>
      <c r="Y1962">
        <v>0.74951991410725383</v>
      </c>
      <c r="Z1962" t="str">
        <f>HYPERLINK("Melting_Curves/meltCurve_sp_Q7Z7K0_COXM1_HUMAN_.pdf", "Melting_Curves/meltCurve_sp_Q7Z7K0_COXM1_HUMAN_.pdf")</f>
        <v>Melting_Curves/meltCurve_sp_Q7Z7K0_COXM1_HUMAN_.pdf</v>
      </c>
      <c r="AA1962" t="s">
        <v>13426</v>
      </c>
      <c r="AB1962" t="s">
        <v>17202</v>
      </c>
    </row>
    <row r="1963" spans="1:28" x14ac:dyDescent="0.25">
      <c r="A1963" t="s">
        <v>1967</v>
      </c>
      <c r="B1963">
        <v>0.98876768158843997</v>
      </c>
      <c r="C1963">
        <v>1.05582067290905</v>
      </c>
      <c r="D1963">
        <v>0.856731459917213</v>
      </c>
      <c r="E1963">
        <v>0.68480969331393204</v>
      </c>
      <c r="F1963">
        <v>0.747285005714731</v>
      </c>
      <c r="G1963">
        <v>0.48024188321879702</v>
      </c>
      <c r="H1963">
        <v>0.32447283718921799</v>
      </c>
      <c r="I1963">
        <v>0.33390225511883598</v>
      </c>
      <c r="J1963">
        <v>0.37940792813869401</v>
      </c>
      <c r="K1963">
        <v>0.52513904034201897</v>
      </c>
      <c r="L1963">
        <v>788.34529114835595</v>
      </c>
      <c r="M1963">
        <v>15.3249751992482</v>
      </c>
      <c r="N1963">
        <v>56.578308537884404</v>
      </c>
      <c r="O1963">
        <v>50.589801590154401</v>
      </c>
      <c r="P1963">
        <v>-4.7289542777243898E-2</v>
      </c>
      <c r="Q1963">
        <v>0.37562146764091697</v>
      </c>
      <c r="R1963">
        <v>0.89768172991275497</v>
      </c>
      <c r="S1963" t="s">
        <v>5795</v>
      </c>
      <c r="T1963" t="s">
        <v>7662</v>
      </c>
      <c r="U1963" t="s">
        <v>7662</v>
      </c>
      <c r="V1963" t="s">
        <v>7662</v>
      </c>
      <c r="W1963">
        <v>17</v>
      </c>
      <c r="X1963" t="s">
        <v>9625</v>
      </c>
      <c r="Y1963">
        <v>0.6274977628574544</v>
      </c>
      <c r="Z1963" t="str">
        <f>HYPERLINK("Melting_Curves/meltCurve_sp_Q86SQ0_3_PHLB2_HUMAN_.pdf", "Melting_Curves/meltCurve_sp_Q86SQ0_3_PHLB2_HUMAN_.pdf")</f>
        <v>Melting_Curves/meltCurve_sp_Q86SQ0_3_PHLB2_HUMAN_.pdf</v>
      </c>
      <c r="AA1963" t="s">
        <v>13427</v>
      </c>
      <c r="AB1963" t="s">
        <v>17203</v>
      </c>
    </row>
    <row r="1964" spans="1:28" x14ac:dyDescent="0.25">
      <c r="A1964" t="s">
        <v>1968</v>
      </c>
      <c r="B1964">
        <v>0.98876768158843997</v>
      </c>
      <c r="C1964">
        <v>1.0120779454294</v>
      </c>
      <c r="D1964">
        <v>0.90841786777094102</v>
      </c>
      <c r="E1964">
        <v>0.65936983051193998</v>
      </c>
      <c r="F1964">
        <v>0.66222057989665595</v>
      </c>
      <c r="G1964">
        <v>0.462863838643298</v>
      </c>
      <c r="H1964">
        <v>0.37157838433963403</v>
      </c>
      <c r="I1964">
        <v>0.41120547423526399</v>
      </c>
      <c r="J1964">
        <v>0.55815258843054605</v>
      </c>
      <c r="K1964">
        <v>0.570499949070985</v>
      </c>
      <c r="L1964">
        <v>1058.53207168013</v>
      </c>
      <c r="M1964">
        <v>21.4527873505447</v>
      </c>
      <c r="N1964">
        <v>57.596649250925203</v>
      </c>
      <c r="O1964">
        <v>48.919653276545802</v>
      </c>
      <c r="P1964">
        <v>-5.7351198526944903E-2</v>
      </c>
      <c r="Q1964">
        <v>0.476891902742624</v>
      </c>
      <c r="R1964">
        <v>0.90901333751182001</v>
      </c>
      <c r="S1964" t="s">
        <v>5796</v>
      </c>
      <c r="T1964" t="s">
        <v>7662</v>
      </c>
      <c r="U1964" t="s">
        <v>7662</v>
      </c>
      <c r="V1964" t="s">
        <v>7662</v>
      </c>
      <c r="W1964">
        <v>17</v>
      </c>
      <c r="X1964" t="s">
        <v>9626</v>
      </c>
      <c r="Y1964">
        <v>0.64613958315515319</v>
      </c>
      <c r="Z1964" t="str">
        <f>HYPERLINK("Melting_Curves/meltCurve_sp_Q86SQ0_PHLB2_HUMAN_.pdf", "Melting_Curves/meltCurve_sp_Q86SQ0_PHLB2_HUMAN_.pdf")</f>
        <v>Melting_Curves/meltCurve_sp_Q86SQ0_PHLB2_HUMAN_.pdf</v>
      </c>
      <c r="AA1964" t="s">
        <v>13427</v>
      </c>
      <c r="AB1964" t="s">
        <v>17204</v>
      </c>
    </row>
    <row r="1965" spans="1:28" x14ac:dyDescent="0.25">
      <c r="A1965" t="s">
        <v>1969</v>
      </c>
      <c r="B1965">
        <v>0.98876768158843997</v>
      </c>
      <c r="C1965">
        <v>1.4039835148308999</v>
      </c>
      <c r="D1965">
        <v>1.1395168087499801</v>
      </c>
      <c r="E1965">
        <v>0.88801536648794199</v>
      </c>
      <c r="F1965">
        <v>1.0249784008521901</v>
      </c>
      <c r="G1965">
        <v>0.72802232804456701</v>
      </c>
      <c r="H1965">
        <v>0.50947268754774899</v>
      </c>
      <c r="I1965">
        <v>0.52813262200761102</v>
      </c>
      <c r="J1965">
        <v>0.62968517476877905</v>
      </c>
      <c r="K1965">
        <v>0.69362134350817595</v>
      </c>
      <c r="L1965">
        <v>14211.2424175253</v>
      </c>
      <c r="M1965">
        <v>250</v>
      </c>
      <c r="O1965">
        <v>56.841332009650003</v>
      </c>
      <c r="P1965">
        <v>-0.45056566961323502</v>
      </c>
      <c r="Q1965">
        <v>0.590227955674552</v>
      </c>
      <c r="R1965">
        <v>0.70830328708222501</v>
      </c>
      <c r="S1965" t="s">
        <v>5797</v>
      </c>
      <c r="T1965" t="s">
        <v>7662</v>
      </c>
      <c r="U1965" t="s">
        <v>7662</v>
      </c>
      <c r="V1965" t="s">
        <v>7662</v>
      </c>
      <c r="W1965">
        <v>5</v>
      </c>
      <c r="X1965" t="s">
        <v>9627</v>
      </c>
      <c r="Y1965">
        <v>0.82035542397901173</v>
      </c>
      <c r="Z1965" t="str">
        <f>HYPERLINK("Melting_Curves/meltCurve_sp_Q86SX6_GLRX5_HUMAN_.pdf", "Melting_Curves/meltCurve_sp_Q86SX6_GLRX5_HUMAN_.pdf")</f>
        <v>Melting_Curves/meltCurve_sp_Q86SX6_GLRX5_HUMAN_.pdf</v>
      </c>
      <c r="AA1965" t="s">
        <v>13428</v>
      </c>
      <c r="AB1965" t="s">
        <v>17205</v>
      </c>
    </row>
    <row r="1966" spans="1:28" x14ac:dyDescent="0.25">
      <c r="A1966" t="s">
        <v>1970</v>
      </c>
      <c r="B1966">
        <v>0.98876768158843997</v>
      </c>
      <c r="C1966">
        <v>0.85904664262701902</v>
      </c>
      <c r="D1966">
        <v>0.98736794363216496</v>
      </c>
      <c r="E1966">
        <v>0.749932300191959</v>
      </c>
      <c r="F1966">
        <v>0.54148089923296105</v>
      </c>
      <c r="G1966">
        <v>0.23159566067569301</v>
      </c>
      <c r="H1966">
        <v>7.6995458117759194E-2</v>
      </c>
      <c r="I1966">
        <v>4.8662955057271702E-2</v>
      </c>
      <c r="J1966">
        <v>7.8473723791075103E-2</v>
      </c>
      <c r="K1966">
        <v>5.3825711386168297E-2</v>
      </c>
      <c r="L1966">
        <v>1015.72914370769</v>
      </c>
      <c r="M1966">
        <v>19.1537931250312</v>
      </c>
      <c r="N1966">
        <v>53.217209786153703</v>
      </c>
      <c r="O1966">
        <v>52.462280200630403</v>
      </c>
      <c r="P1966">
        <v>-8.8306635377403797E-2</v>
      </c>
      <c r="Q1966">
        <v>3.2549106633295202E-2</v>
      </c>
      <c r="R1966">
        <v>0.98553753130258204</v>
      </c>
      <c r="S1966" t="s">
        <v>5798</v>
      </c>
      <c r="T1966" t="s">
        <v>7662</v>
      </c>
      <c r="U1966" t="s">
        <v>7662</v>
      </c>
      <c r="V1966" t="s">
        <v>7662</v>
      </c>
      <c r="W1966">
        <v>1</v>
      </c>
      <c r="X1966" t="s">
        <v>9628</v>
      </c>
      <c r="Y1966">
        <v>0.46705793621778952</v>
      </c>
      <c r="Z1966" t="str">
        <f>HYPERLINK("Melting_Curves/meltCurve_sp_Q86SZ2_2_TPC6B_HUMAN_.pdf", "Melting_Curves/meltCurve_sp_Q86SZ2_2_TPC6B_HUMAN_.pdf")</f>
        <v>Melting_Curves/meltCurve_sp_Q86SZ2_2_TPC6B_HUMAN_.pdf</v>
      </c>
      <c r="AA1966" t="s">
        <v>13429</v>
      </c>
      <c r="AB1966" t="s">
        <v>17206</v>
      </c>
    </row>
    <row r="1967" spans="1:28" x14ac:dyDescent="0.25">
      <c r="A1967" t="s">
        <v>1971</v>
      </c>
      <c r="B1967">
        <v>0.98876768158843997</v>
      </c>
      <c r="C1967">
        <v>0.96166213890672603</v>
      </c>
      <c r="D1967">
        <v>0.87957423578147398</v>
      </c>
      <c r="E1967">
        <v>0.61181546739018</v>
      </c>
      <c r="F1967">
        <v>0.65526939184908795</v>
      </c>
      <c r="G1967">
        <v>0.532949394911164</v>
      </c>
      <c r="H1967">
        <v>0.37501061935040197</v>
      </c>
      <c r="I1967">
        <v>0.42091117319455101</v>
      </c>
      <c r="J1967">
        <v>0.60136533189265895</v>
      </c>
      <c r="K1967">
        <v>0.69306376565939298</v>
      </c>
      <c r="L1967">
        <v>1123.5301039405299</v>
      </c>
      <c r="M1967">
        <v>23.521487138814901</v>
      </c>
      <c r="O1967">
        <v>47.424878512583497</v>
      </c>
      <c r="P1967">
        <v>-5.8092741800626298E-2</v>
      </c>
      <c r="Q1967">
        <v>0.53149322195054205</v>
      </c>
      <c r="R1967">
        <v>0.80970289012211205</v>
      </c>
      <c r="S1967" t="s">
        <v>5799</v>
      </c>
      <c r="T1967" t="s">
        <v>7662</v>
      </c>
      <c r="U1967" t="s">
        <v>7662</v>
      </c>
      <c r="V1967" t="s">
        <v>7662</v>
      </c>
      <c r="W1967">
        <v>2</v>
      </c>
      <c r="X1967" t="s">
        <v>9629</v>
      </c>
      <c r="Y1967">
        <v>0.65749955866220544</v>
      </c>
      <c r="Z1967" t="str">
        <f>HYPERLINK("Melting_Curves/meltCurve_sp_Q86TB9_4_PATL1_HUMAN_.pdf", "Melting_Curves/meltCurve_sp_Q86TB9_4_PATL1_HUMAN_.pdf")</f>
        <v>Melting_Curves/meltCurve_sp_Q86TB9_4_PATL1_HUMAN_.pdf</v>
      </c>
      <c r="AA1967" t="s">
        <v>13430</v>
      </c>
      <c r="AB1967" t="s">
        <v>17207</v>
      </c>
    </row>
    <row r="1968" spans="1:28" x14ac:dyDescent="0.25">
      <c r="A1968" t="s">
        <v>1972</v>
      </c>
      <c r="B1968">
        <v>0.98876768158843997</v>
      </c>
      <c r="C1968">
        <v>0.88836866796541503</v>
      </c>
      <c r="D1968">
        <v>1.0183654492045</v>
      </c>
      <c r="E1968">
        <v>0.945699935834729</v>
      </c>
      <c r="F1968">
        <v>0.50696054385881295</v>
      </c>
      <c r="G1968">
        <v>0.26077453785504201</v>
      </c>
      <c r="H1968">
        <v>9.6479622901608497E-2</v>
      </c>
      <c r="I1968">
        <v>6.8136767326498607E-2</v>
      </c>
      <c r="J1968">
        <v>7.5290273510702305E-2</v>
      </c>
      <c r="K1968">
        <v>7.3730154076392093E-2</v>
      </c>
      <c r="L1968">
        <v>1577.4654631609201</v>
      </c>
      <c r="M1968">
        <v>29.6548029214261</v>
      </c>
      <c r="N1968">
        <v>53.514865046677798</v>
      </c>
      <c r="O1968">
        <v>52.954134413603498</v>
      </c>
      <c r="P1968">
        <v>-0.128609043659874</v>
      </c>
      <c r="Q1968">
        <v>8.1385442417842596E-2</v>
      </c>
      <c r="R1968">
        <v>0.98395062849829396</v>
      </c>
      <c r="S1968" t="s">
        <v>5800</v>
      </c>
      <c r="T1968" t="s">
        <v>7662</v>
      </c>
      <c r="U1968" t="s">
        <v>7662</v>
      </c>
      <c r="V1968" t="s">
        <v>7662</v>
      </c>
      <c r="W1968">
        <v>11</v>
      </c>
      <c r="X1968" t="s">
        <v>9630</v>
      </c>
      <c r="Y1968">
        <v>0.49150991808365069</v>
      </c>
      <c r="Z1968" t="str">
        <f>HYPERLINK("Melting_Curves/meltCurve_sp_Q86TI2_DPP9_HUMAN_.pdf", "Melting_Curves/meltCurve_sp_Q86TI2_DPP9_HUMAN_.pdf")</f>
        <v>Melting_Curves/meltCurve_sp_Q86TI2_DPP9_HUMAN_.pdf</v>
      </c>
      <c r="AA1968" t="s">
        <v>13431</v>
      </c>
      <c r="AB1968" t="s">
        <v>17208</v>
      </c>
    </row>
    <row r="1969" spans="1:28" x14ac:dyDescent="0.25">
      <c r="A1969" t="s">
        <v>1973</v>
      </c>
      <c r="B1969">
        <v>0.98876768158843997</v>
      </c>
      <c r="C1969">
        <v>0.99608653475453302</v>
      </c>
      <c r="D1969">
        <v>0.78782393052292898</v>
      </c>
      <c r="E1969">
        <v>0.51357583015355701</v>
      </c>
      <c r="F1969">
        <v>0.25375443714125401</v>
      </c>
      <c r="G1969">
        <v>0.12201793200472801</v>
      </c>
      <c r="H1969">
        <v>8.0747532346463605E-2</v>
      </c>
      <c r="I1969">
        <v>5.9223114634346402E-2</v>
      </c>
      <c r="J1969">
        <v>6.6996756342905098E-2</v>
      </c>
      <c r="K1969">
        <v>3.39387958386628E-2</v>
      </c>
      <c r="L1969">
        <v>929.74143789502295</v>
      </c>
      <c r="M1969">
        <v>18.7306851987755</v>
      </c>
      <c r="N1969">
        <v>49.891791221002698</v>
      </c>
      <c r="O1969">
        <v>49.081938270858799</v>
      </c>
      <c r="P1969">
        <v>-9.10630380676683E-2</v>
      </c>
      <c r="Q1969">
        <v>4.5552923584869003E-2</v>
      </c>
      <c r="R1969">
        <v>0.99689431977373999</v>
      </c>
      <c r="S1969" t="s">
        <v>5801</v>
      </c>
      <c r="T1969" t="s">
        <v>7662</v>
      </c>
      <c r="U1969" t="s">
        <v>7662</v>
      </c>
      <c r="V1969" t="s">
        <v>7662</v>
      </c>
      <c r="W1969">
        <v>4</v>
      </c>
      <c r="X1969" t="s">
        <v>9631</v>
      </c>
      <c r="Y1969">
        <v>0.36730507578275789</v>
      </c>
      <c r="Z1969" t="str">
        <f>HYPERLINK("Melting_Curves/meltCurve_sp_Q86TP1_PRUNE_HUMAN_.pdf", "Melting_Curves/meltCurve_sp_Q86TP1_PRUNE_HUMAN_.pdf")</f>
        <v>Melting_Curves/meltCurve_sp_Q86TP1_PRUNE_HUMAN_.pdf</v>
      </c>
      <c r="AA1969" t="s">
        <v>13432</v>
      </c>
      <c r="AB1969" t="s">
        <v>17209</v>
      </c>
    </row>
    <row r="1970" spans="1:28" x14ac:dyDescent="0.25">
      <c r="A1970" t="s">
        <v>1974</v>
      </c>
      <c r="B1970">
        <v>0.98876768158843997</v>
      </c>
      <c r="C1970">
        <v>0.90927380779728295</v>
      </c>
      <c r="D1970">
        <v>0.88100341231002199</v>
      </c>
      <c r="E1970">
        <v>0.56480346697616601</v>
      </c>
      <c r="F1970">
        <v>0.23626156228932099</v>
      </c>
      <c r="G1970">
        <v>0.129080572788695</v>
      </c>
      <c r="H1970">
        <v>7.51138333190388E-2</v>
      </c>
      <c r="I1970">
        <v>7.4862752770696206E-2</v>
      </c>
      <c r="J1970">
        <v>0.111060576827908</v>
      </c>
      <c r="K1970">
        <v>7.7258309748231904E-2</v>
      </c>
      <c r="L1970">
        <v>1153.2102649252699</v>
      </c>
      <c r="M1970">
        <v>23.085572314890001</v>
      </c>
      <c r="N1970">
        <v>50.313635357754897</v>
      </c>
      <c r="O1970">
        <v>49.5834200859844</v>
      </c>
      <c r="P1970">
        <v>-0.107540340453844</v>
      </c>
      <c r="Q1970">
        <v>7.6112247276370795E-2</v>
      </c>
      <c r="R1970">
        <v>0.99373744718509804</v>
      </c>
      <c r="S1970" t="s">
        <v>5802</v>
      </c>
      <c r="T1970" t="s">
        <v>7662</v>
      </c>
      <c r="U1970" t="s">
        <v>7662</v>
      </c>
      <c r="V1970" t="s">
        <v>7662</v>
      </c>
      <c r="W1970">
        <v>5</v>
      </c>
      <c r="X1970" t="s">
        <v>9632</v>
      </c>
      <c r="Y1970">
        <v>0.39233395129626641</v>
      </c>
      <c r="Z1970" t="str">
        <f>HYPERLINK("Melting_Curves/meltCurve_sp_Q86TU7_SETD3_HUMAN_.pdf", "Melting_Curves/meltCurve_sp_Q86TU7_SETD3_HUMAN_.pdf")</f>
        <v>Melting_Curves/meltCurve_sp_Q86TU7_SETD3_HUMAN_.pdf</v>
      </c>
      <c r="AA1970" t="s">
        <v>13433</v>
      </c>
      <c r="AB1970" t="s">
        <v>17210</v>
      </c>
    </row>
    <row r="1971" spans="1:28" x14ac:dyDescent="0.25">
      <c r="A1971" t="s">
        <v>1975</v>
      </c>
      <c r="B1971">
        <v>0.98876768158843997</v>
      </c>
      <c r="C1971">
        <v>1.0871582815491401</v>
      </c>
      <c r="D1971">
        <v>0.84752201247923298</v>
      </c>
      <c r="E1971">
        <v>0.704232146039101</v>
      </c>
      <c r="F1971">
        <v>0.29618223776476299</v>
      </c>
      <c r="G1971">
        <v>7.8642892206196496E-2</v>
      </c>
      <c r="H1971">
        <v>3.8798782461223397E-2</v>
      </c>
      <c r="I1971">
        <v>2.98510042134933E-2</v>
      </c>
      <c r="J1971">
        <v>3.5033259155502601E-2</v>
      </c>
      <c r="K1971">
        <v>3.1803604925893E-2</v>
      </c>
      <c r="L1971">
        <v>1317.4266337112799</v>
      </c>
      <c r="M1971">
        <v>25.707386664477799</v>
      </c>
      <c r="N1971">
        <v>51.343619848174001</v>
      </c>
      <c r="O1971">
        <v>50.939921444092697</v>
      </c>
      <c r="P1971">
        <v>-0.123187889310091</v>
      </c>
      <c r="Q1971">
        <v>2.36104611164796E-2</v>
      </c>
      <c r="R1971">
        <v>0.98756221874443895</v>
      </c>
      <c r="S1971" t="s">
        <v>5803</v>
      </c>
      <c r="T1971" t="s">
        <v>7662</v>
      </c>
      <c r="U1971" t="s">
        <v>7662</v>
      </c>
      <c r="V1971" t="s">
        <v>7662</v>
      </c>
      <c r="W1971">
        <v>22</v>
      </c>
      <c r="X1971" t="s">
        <v>9633</v>
      </c>
      <c r="Y1971">
        <v>0.39803242491412621</v>
      </c>
      <c r="Z1971" t="str">
        <f>HYPERLINK("Melting_Curves/meltCurve_sp_Q86TX2_ACOT1_HUMAN_.pdf", "Melting_Curves/meltCurve_sp_Q86TX2_ACOT1_HUMAN_.pdf")</f>
        <v>Melting_Curves/meltCurve_sp_Q86TX2_ACOT1_HUMAN_.pdf</v>
      </c>
      <c r="AA1971" t="s">
        <v>13434</v>
      </c>
      <c r="AB1971" t="s">
        <v>17211</v>
      </c>
    </row>
    <row r="1972" spans="1:28" x14ac:dyDescent="0.25">
      <c r="A1972" t="s">
        <v>1976</v>
      </c>
      <c r="B1972">
        <v>0.98876768158843997</v>
      </c>
      <c r="C1972">
        <v>1.03151421351162</v>
      </c>
      <c r="D1972">
        <v>0.90999287745893498</v>
      </c>
      <c r="E1972">
        <v>0.71806258888176</v>
      </c>
      <c r="F1972">
        <v>0.58642344090659904</v>
      </c>
      <c r="G1972">
        <v>0.347160532757185</v>
      </c>
      <c r="H1972">
        <v>0.30365234797352503</v>
      </c>
      <c r="I1972">
        <v>0.26611608338165599</v>
      </c>
      <c r="J1972">
        <v>0.35960865536824099</v>
      </c>
      <c r="K1972">
        <v>0.332233885825166</v>
      </c>
      <c r="L1972">
        <v>1028.59088799301</v>
      </c>
      <c r="M1972">
        <v>20.067500262369698</v>
      </c>
      <c r="N1972">
        <v>53.724943811478099</v>
      </c>
      <c r="O1972">
        <v>50.755698141118501</v>
      </c>
      <c r="P1972">
        <v>-6.90801646162751E-2</v>
      </c>
      <c r="Q1972">
        <v>0.30113875881705099</v>
      </c>
      <c r="R1972">
        <v>0.98443730690849995</v>
      </c>
      <c r="S1972" t="s">
        <v>5804</v>
      </c>
      <c r="T1972" t="s">
        <v>7662</v>
      </c>
      <c r="U1972" t="s">
        <v>7662</v>
      </c>
      <c r="V1972" t="s">
        <v>7662</v>
      </c>
      <c r="W1972">
        <v>5</v>
      </c>
      <c r="X1972" t="s">
        <v>9634</v>
      </c>
      <c r="Y1972">
        <v>0.57299902777128109</v>
      </c>
      <c r="Z1972" t="str">
        <f>HYPERLINK("Melting_Curves/meltCurve_sp_Q86U17_SPA11_HUMAN_.pdf", "Melting_Curves/meltCurve_sp_Q86U17_SPA11_HUMAN_.pdf")</f>
        <v>Melting_Curves/meltCurve_sp_Q86U17_SPA11_HUMAN_.pdf</v>
      </c>
      <c r="AA1972" t="s">
        <v>13435</v>
      </c>
      <c r="AB1972" t="s">
        <v>17212</v>
      </c>
    </row>
    <row r="1973" spans="1:28" x14ac:dyDescent="0.25">
      <c r="A1973" t="s">
        <v>1977</v>
      </c>
      <c r="B1973">
        <v>0.98876768158843997</v>
      </c>
      <c r="C1973">
        <v>1.11685296773927</v>
      </c>
      <c r="D1973">
        <v>0.85985534951766096</v>
      </c>
      <c r="E1973">
        <v>0.70991919433169204</v>
      </c>
      <c r="F1973">
        <v>0.87863252736283803</v>
      </c>
      <c r="G1973">
        <v>0.59762665921555203</v>
      </c>
      <c r="H1973">
        <v>0.44531891169481302</v>
      </c>
      <c r="I1973">
        <v>0.46103545216598601</v>
      </c>
      <c r="J1973">
        <v>0.66537474347890402</v>
      </c>
      <c r="K1973">
        <v>0.61149983310048295</v>
      </c>
      <c r="L1973">
        <v>788.44191147265997</v>
      </c>
      <c r="M1973">
        <v>15.424916122864699</v>
      </c>
      <c r="O1973">
        <v>50.278820914047799</v>
      </c>
      <c r="P1973">
        <v>-3.5186168539531097E-2</v>
      </c>
      <c r="Q1973">
        <v>0.54127234897898102</v>
      </c>
      <c r="R1973">
        <v>0.75892152957890402</v>
      </c>
      <c r="S1973" t="s">
        <v>5805</v>
      </c>
      <c r="T1973" t="s">
        <v>7662</v>
      </c>
      <c r="U1973" t="s">
        <v>7662</v>
      </c>
      <c r="V1973" t="s">
        <v>7662</v>
      </c>
      <c r="W1973">
        <v>8</v>
      </c>
      <c r="X1973" t="s">
        <v>9635</v>
      </c>
      <c r="Y1973">
        <v>0.72131222043148924</v>
      </c>
      <c r="Z1973" t="str">
        <f>HYPERLINK("Melting_Curves/meltCurve_sp_Q86U28_ISCA2_HUMAN_.pdf", "Melting_Curves/meltCurve_sp_Q86U28_ISCA2_HUMAN_.pdf")</f>
        <v>Melting_Curves/meltCurve_sp_Q86U28_ISCA2_HUMAN_.pdf</v>
      </c>
      <c r="AA1973" t="s">
        <v>13436</v>
      </c>
      <c r="AB1973" t="s">
        <v>17213</v>
      </c>
    </row>
    <row r="1974" spans="1:28" x14ac:dyDescent="0.25">
      <c r="A1974" t="s">
        <v>1978</v>
      </c>
      <c r="B1974">
        <v>0.98876768158843997</v>
      </c>
      <c r="C1974">
        <v>0.93851718729922196</v>
      </c>
      <c r="D1974">
        <v>0.94823213827883901</v>
      </c>
      <c r="E1974">
        <v>0.71202536209356004</v>
      </c>
      <c r="F1974">
        <v>0.47468777449023503</v>
      </c>
      <c r="G1974">
        <v>0.24086481001488699</v>
      </c>
      <c r="H1974">
        <v>0.235075120193728</v>
      </c>
      <c r="I1974">
        <v>0.25662131229979301</v>
      </c>
      <c r="J1974">
        <v>0.41484563093888699</v>
      </c>
      <c r="K1974">
        <v>0.29327875463508402</v>
      </c>
      <c r="L1974">
        <v>1464.2034677090101</v>
      </c>
      <c r="M1974">
        <v>28.870884834212699</v>
      </c>
      <c r="N1974">
        <v>52.247420081563597</v>
      </c>
      <c r="O1974">
        <v>50.474134246314598</v>
      </c>
      <c r="P1974">
        <v>-0.10216795395935301</v>
      </c>
      <c r="Q1974">
        <v>0.28553643385903199</v>
      </c>
      <c r="R1974">
        <v>0.96592457982629498</v>
      </c>
      <c r="S1974" t="s">
        <v>5806</v>
      </c>
      <c r="T1974" t="s">
        <v>7662</v>
      </c>
      <c r="U1974" t="s">
        <v>7662</v>
      </c>
      <c r="V1974" t="s">
        <v>7662</v>
      </c>
      <c r="W1974">
        <v>1</v>
      </c>
      <c r="X1974" t="s">
        <v>9636</v>
      </c>
      <c r="Y1974">
        <v>0.54556166057856104</v>
      </c>
      <c r="Z1974" t="str">
        <f>HYPERLINK("Melting_Curves/meltCurve_sp_Q86U42_2_PABP2_HUMAN_.pdf", "Melting_Curves/meltCurve_sp_Q86U42_2_PABP2_HUMAN_.pdf")</f>
        <v>Melting_Curves/meltCurve_sp_Q86U42_2_PABP2_HUMAN_.pdf</v>
      </c>
      <c r="AA1974" t="s">
        <v>13437</v>
      </c>
      <c r="AB1974" t="s">
        <v>17214</v>
      </c>
    </row>
    <row r="1975" spans="1:28" x14ac:dyDescent="0.25">
      <c r="A1975" t="s">
        <v>1979</v>
      </c>
      <c r="B1975">
        <v>0.98876768158843997</v>
      </c>
      <c r="C1975">
        <v>1.1543459374410701</v>
      </c>
      <c r="D1975">
        <v>0.89359532793127805</v>
      </c>
      <c r="E1975">
        <v>0.63185502448612496</v>
      </c>
      <c r="F1975">
        <v>0.54715335545450505</v>
      </c>
      <c r="G1975">
        <v>0.27114511763513799</v>
      </c>
      <c r="H1975">
        <v>0.220176358327107</v>
      </c>
      <c r="I1975">
        <v>0.24656782352852399</v>
      </c>
      <c r="J1975">
        <v>0.25394783626950401</v>
      </c>
      <c r="K1975">
        <v>0.34629855093369599</v>
      </c>
      <c r="L1975">
        <v>1099.51514235473</v>
      </c>
      <c r="M1975">
        <v>21.706949477774799</v>
      </c>
      <c r="N1975">
        <v>52.405594164589701</v>
      </c>
      <c r="O1975">
        <v>50.228666082943597</v>
      </c>
      <c r="P1975">
        <v>-8.0157495057309E-2</v>
      </c>
      <c r="Q1975">
        <v>0.25809759668071702</v>
      </c>
      <c r="R1975">
        <v>0.95194455517145204</v>
      </c>
      <c r="S1975" t="s">
        <v>5807</v>
      </c>
      <c r="T1975" t="s">
        <v>7662</v>
      </c>
      <c r="U1975" t="s">
        <v>7662</v>
      </c>
      <c r="V1975" t="s">
        <v>7662</v>
      </c>
      <c r="W1975">
        <v>1</v>
      </c>
      <c r="X1975" t="s">
        <v>9637</v>
      </c>
      <c r="Y1975">
        <v>0.53034782617629861</v>
      </c>
      <c r="Z1975" t="str">
        <f>HYPERLINK("Melting_Curves/meltCurve_sp_Q86U44_MTA70_HUMAN_.pdf", "Melting_Curves/meltCurve_sp_Q86U44_MTA70_HUMAN_.pdf")</f>
        <v>Melting_Curves/meltCurve_sp_Q86U44_MTA70_HUMAN_.pdf</v>
      </c>
      <c r="AA1975" t="s">
        <v>13438</v>
      </c>
      <c r="AB1975" t="s">
        <v>17215</v>
      </c>
    </row>
    <row r="1976" spans="1:28" x14ac:dyDescent="0.25">
      <c r="A1976" t="s">
        <v>1980</v>
      </c>
      <c r="B1976">
        <v>0.98876768158843997</v>
      </c>
      <c r="C1976">
        <v>1.05363685710098</v>
      </c>
      <c r="D1976">
        <v>0.81987800752431605</v>
      </c>
      <c r="E1976">
        <v>0.65872470285124196</v>
      </c>
      <c r="F1976">
        <v>0.35019355592690099</v>
      </c>
      <c r="G1976">
        <v>0.164286577262346</v>
      </c>
      <c r="H1976">
        <v>6.4533850393910505E-2</v>
      </c>
      <c r="I1976">
        <v>8.7363561631866801E-2</v>
      </c>
      <c r="J1976">
        <v>0.11362890156713699</v>
      </c>
      <c r="K1976">
        <v>8.6371186298823094E-2</v>
      </c>
      <c r="L1976">
        <v>1012.30860624888</v>
      </c>
      <c r="M1976">
        <v>19.8931422769923</v>
      </c>
      <c r="N1976">
        <v>51.290694378104199</v>
      </c>
      <c r="O1976">
        <v>50.381464508180102</v>
      </c>
      <c r="P1976">
        <v>-9.1567555890020899E-2</v>
      </c>
      <c r="Q1976">
        <v>7.2413237943703093E-2</v>
      </c>
      <c r="R1976">
        <v>0.98826504510047897</v>
      </c>
      <c r="S1976" t="s">
        <v>5808</v>
      </c>
      <c r="T1976" t="s">
        <v>7662</v>
      </c>
      <c r="U1976" t="s">
        <v>7662</v>
      </c>
      <c r="V1976" t="s">
        <v>7662</v>
      </c>
      <c r="W1976">
        <v>1</v>
      </c>
      <c r="X1976" t="s">
        <v>9638</v>
      </c>
      <c r="Y1976">
        <v>0.42205444785694379</v>
      </c>
      <c r="Z1976" t="str">
        <f>HYPERLINK("Melting_Curves/meltCurve_sp_Q86U90_YRDC_HUMAN_.pdf", "Melting_Curves/meltCurve_sp_Q86U90_YRDC_HUMAN_.pdf")</f>
        <v>Melting_Curves/meltCurve_sp_Q86U90_YRDC_HUMAN_.pdf</v>
      </c>
      <c r="AA1976" t="s">
        <v>13439</v>
      </c>
      <c r="AB1976" t="s">
        <v>17216</v>
      </c>
    </row>
    <row r="1977" spans="1:28" x14ac:dyDescent="0.25">
      <c r="A1977" t="s">
        <v>1981</v>
      </c>
      <c r="B1977">
        <v>0.98876768158843997</v>
      </c>
      <c r="C1977">
        <v>0.86100822407865696</v>
      </c>
      <c r="D1977">
        <v>0.874840556624356</v>
      </c>
      <c r="E1977">
        <v>0.47449995978376203</v>
      </c>
      <c r="F1977">
        <v>0.20187835325440401</v>
      </c>
      <c r="G1977">
        <v>0.14144833111628899</v>
      </c>
      <c r="H1977">
        <v>0.10090967729296201</v>
      </c>
      <c r="I1977">
        <v>0.10338714077832201</v>
      </c>
      <c r="J1977">
        <v>9.5754653937701106E-2</v>
      </c>
      <c r="K1977">
        <v>7.3044173277359598E-2</v>
      </c>
      <c r="L1977">
        <v>1103.1688709078801</v>
      </c>
      <c r="M1977">
        <v>22.425911994153299</v>
      </c>
      <c r="N1977">
        <v>49.611777361064902</v>
      </c>
      <c r="O1977">
        <v>48.805566858460502</v>
      </c>
      <c r="P1977">
        <v>-0.104942536736</v>
      </c>
      <c r="Q1977">
        <v>8.6472108427682298E-2</v>
      </c>
      <c r="R1977">
        <v>0.98853303283162497</v>
      </c>
      <c r="S1977" t="s">
        <v>5809</v>
      </c>
      <c r="T1977" t="s">
        <v>7662</v>
      </c>
      <c r="U1977" t="s">
        <v>7662</v>
      </c>
      <c r="V1977" t="s">
        <v>7662</v>
      </c>
      <c r="W1977">
        <v>5</v>
      </c>
      <c r="X1977" t="s">
        <v>9639</v>
      </c>
      <c r="Y1977">
        <v>0.37649324994452249</v>
      </c>
      <c r="Z1977" t="str">
        <f>HYPERLINK("Melting_Curves/meltCurve_sp_Q86UA1_PRP39_HUMAN_.pdf", "Melting_Curves/meltCurve_sp_Q86UA1_PRP39_HUMAN_.pdf")</f>
        <v>Melting_Curves/meltCurve_sp_Q86UA1_PRP39_HUMAN_.pdf</v>
      </c>
      <c r="AA1977" t="s">
        <v>13440</v>
      </c>
      <c r="AB1977" t="s">
        <v>17217</v>
      </c>
    </row>
    <row r="1978" spans="1:28" x14ac:dyDescent="0.25">
      <c r="A1978" t="s">
        <v>1982</v>
      </c>
      <c r="B1978">
        <v>0.98876768158843997</v>
      </c>
      <c r="C1978">
        <v>0.97701417707075</v>
      </c>
      <c r="D1978">
        <v>0.94695772638242803</v>
      </c>
      <c r="E1978">
        <v>0.781963618951239</v>
      </c>
      <c r="F1978">
        <v>0.466190600449023</v>
      </c>
      <c r="G1978">
        <v>0.194900097162377</v>
      </c>
      <c r="H1978">
        <v>0.11567236634318399</v>
      </c>
      <c r="I1978">
        <v>0.114660414902486</v>
      </c>
      <c r="J1978">
        <v>0.12802631224685501</v>
      </c>
      <c r="K1978">
        <v>0.1363172041082</v>
      </c>
      <c r="L1978">
        <v>1354.7766766959401</v>
      </c>
      <c r="M1978">
        <v>26.002741430619299</v>
      </c>
      <c r="N1978">
        <v>52.633055053909104</v>
      </c>
      <c r="O1978">
        <v>51.796093098722999</v>
      </c>
      <c r="P1978">
        <v>-0.111008727524208</v>
      </c>
      <c r="Q1978">
        <v>0.115516215055015</v>
      </c>
      <c r="R1978">
        <v>0.99846165007832099</v>
      </c>
      <c r="S1978" t="s">
        <v>5810</v>
      </c>
      <c r="T1978" t="s">
        <v>7662</v>
      </c>
      <c r="U1978" t="s">
        <v>7662</v>
      </c>
      <c r="V1978" t="s">
        <v>7662</v>
      </c>
      <c r="W1978">
        <v>6</v>
      </c>
      <c r="X1978" t="s">
        <v>9640</v>
      </c>
      <c r="Y1978">
        <v>0.47978837495965099</v>
      </c>
      <c r="Z1978" t="str">
        <f>HYPERLINK("Melting_Curves/meltCurve_sp_Q86UK7_2_ZN598_HUMAN_.pdf", "Melting_Curves/meltCurve_sp_Q86UK7_2_ZN598_HUMAN_.pdf")</f>
        <v>Melting_Curves/meltCurve_sp_Q86UK7_2_ZN598_HUMAN_.pdf</v>
      </c>
      <c r="AA1978" t="s">
        <v>13441</v>
      </c>
      <c r="AB1978" t="s">
        <v>17218</v>
      </c>
    </row>
    <row r="1979" spans="1:28" x14ac:dyDescent="0.25">
      <c r="A1979" t="s">
        <v>1983</v>
      </c>
      <c r="B1979">
        <v>0.98876768158843997</v>
      </c>
      <c r="C1979">
        <v>0.96714893718315298</v>
      </c>
      <c r="D1979">
        <v>0.96485937175099901</v>
      </c>
      <c r="E1979">
        <v>0.81122022012199801</v>
      </c>
      <c r="F1979">
        <v>0.73063968743468499</v>
      </c>
      <c r="G1979">
        <v>0.57134137782252103</v>
      </c>
      <c r="H1979">
        <v>0.52528794171686899</v>
      </c>
      <c r="I1979">
        <v>0.60797448762186601</v>
      </c>
      <c r="J1979">
        <v>0.746261853912211</v>
      </c>
      <c r="K1979">
        <v>0.80844412097902296</v>
      </c>
      <c r="L1979">
        <v>1530.4164182361501</v>
      </c>
      <c r="M1979">
        <v>30.780833796109501</v>
      </c>
      <c r="O1979">
        <v>49.511342020629499</v>
      </c>
      <c r="P1979">
        <v>-5.35328914393546E-2</v>
      </c>
      <c r="Q1979">
        <v>0.65556882449284304</v>
      </c>
      <c r="R1979">
        <v>0.75958435640620903</v>
      </c>
      <c r="S1979" t="s">
        <v>5811</v>
      </c>
      <c r="T1979" t="s">
        <v>7662</v>
      </c>
      <c r="U1979" t="s">
        <v>7662</v>
      </c>
      <c r="V1979" t="s">
        <v>7662</v>
      </c>
      <c r="W1979">
        <v>70</v>
      </c>
      <c r="X1979" t="s">
        <v>9641</v>
      </c>
      <c r="Y1979">
        <v>0.76917507594340451</v>
      </c>
      <c r="Z1979" t="str">
        <f>HYPERLINK("Melting_Curves/meltCurve_sp_Q86UP2_KTN1_HUMAN_.pdf", "Melting_Curves/meltCurve_sp_Q86UP2_KTN1_HUMAN_.pdf")</f>
        <v>Melting_Curves/meltCurve_sp_Q86UP2_KTN1_HUMAN_.pdf</v>
      </c>
      <c r="AA1979" t="s">
        <v>13442</v>
      </c>
      <c r="AB1979" t="s">
        <v>17219</v>
      </c>
    </row>
    <row r="1980" spans="1:28" x14ac:dyDescent="0.25">
      <c r="A1980" t="s">
        <v>1984</v>
      </c>
      <c r="B1980">
        <v>0.98876768158843997</v>
      </c>
      <c r="C1980">
        <v>1.3106103492789301</v>
      </c>
      <c r="D1980">
        <v>0.96133086982475102</v>
      </c>
      <c r="E1980">
        <v>0.65268999882433199</v>
      </c>
      <c r="F1980">
        <v>0.66204055616124002</v>
      </c>
      <c r="G1980">
        <v>0.36918027695752298</v>
      </c>
      <c r="H1980">
        <v>0.16642234404921</v>
      </c>
      <c r="I1980">
        <v>0.25342098047386402</v>
      </c>
      <c r="J1980">
        <v>0.33516341164958502</v>
      </c>
      <c r="K1980">
        <v>0.36495411078156698</v>
      </c>
      <c r="L1980">
        <v>1109.91609409135</v>
      </c>
      <c r="M1980">
        <v>21.441378695222902</v>
      </c>
      <c r="N1980">
        <v>53.8132613274677</v>
      </c>
      <c r="O1980">
        <v>51.321176540465103</v>
      </c>
      <c r="P1980">
        <v>-7.5317186049799395E-2</v>
      </c>
      <c r="Q1980">
        <v>0.27891370992848502</v>
      </c>
      <c r="R1980">
        <v>0.87626552466998697</v>
      </c>
      <c r="S1980" t="s">
        <v>5812</v>
      </c>
      <c r="T1980" t="s">
        <v>7662</v>
      </c>
      <c r="U1980" t="s">
        <v>7662</v>
      </c>
      <c r="V1980" t="s">
        <v>7662</v>
      </c>
      <c r="W1980">
        <v>1</v>
      </c>
      <c r="X1980" t="s">
        <v>9642</v>
      </c>
      <c r="Y1980">
        <v>0.57049395006145553</v>
      </c>
      <c r="Z1980" t="str">
        <f>HYPERLINK("Melting_Curves/meltCurve_sp_Q86UR1_3_NOXA1_HUMAN_.pdf", "Melting_Curves/meltCurve_sp_Q86UR1_3_NOXA1_HUMAN_.pdf")</f>
        <v>Melting_Curves/meltCurve_sp_Q86UR1_3_NOXA1_HUMAN_.pdf</v>
      </c>
      <c r="AA1980" t="s">
        <v>13443</v>
      </c>
      <c r="AB1980" t="s">
        <v>17220</v>
      </c>
    </row>
    <row r="1981" spans="1:28" x14ac:dyDescent="0.25">
      <c r="A1981" t="s">
        <v>1985</v>
      </c>
      <c r="B1981">
        <v>0.98876768158843997</v>
      </c>
      <c r="C1981">
        <v>0.97767572160115201</v>
      </c>
      <c r="D1981">
        <v>0.80216701980477301</v>
      </c>
      <c r="E1981">
        <v>0.697803475897671</v>
      </c>
      <c r="F1981">
        <v>0.63445416670855004</v>
      </c>
      <c r="G1981">
        <v>0.43888595423029397</v>
      </c>
      <c r="H1981">
        <v>0.33453355117486799</v>
      </c>
      <c r="I1981">
        <v>0.33679672039427899</v>
      </c>
      <c r="J1981">
        <v>0.39438150470403699</v>
      </c>
      <c r="K1981">
        <v>0.49962359859691402</v>
      </c>
      <c r="L1981">
        <v>727.47599347229504</v>
      </c>
      <c r="M1981">
        <v>14.545920387761401</v>
      </c>
      <c r="N1981">
        <v>55.271272679088803</v>
      </c>
      <c r="O1981">
        <v>49.095656437273803</v>
      </c>
      <c r="P1981">
        <v>-4.6319830555816503E-2</v>
      </c>
      <c r="Q1981">
        <v>0.37471334678687401</v>
      </c>
      <c r="R1981">
        <v>0.93938579279394396</v>
      </c>
      <c r="S1981" t="s">
        <v>5813</v>
      </c>
      <c r="T1981" t="s">
        <v>7662</v>
      </c>
      <c r="U1981" t="s">
        <v>7662</v>
      </c>
      <c r="V1981" t="s">
        <v>7662</v>
      </c>
      <c r="W1981">
        <v>3</v>
      </c>
      <c r="X1981" t="s">
        <v>9643</v>
      </c>
      <c r="Y1981">
        <v>0.59913205179131868</v>
      </c>
      <c r="Z1981" t="str">
        <f>HYPERLINK("Melting_Curves/meltCurve_sp_Q86UU0_4_BCL9L_HUMAN_.pdf", "Melting_Curves/meltCurve_sp_Q86UU0_4_BCL9L_HUMAN_.pdf")</f>
        <v>Melting_Curves/meltCurve_sp_Q86UU0_4_BCL9L_HUMAN_.pdf</v>
      </c>
      <c r="AA1981" t="s">
        <v>13444</v>
      </c>
      <c r="AB1981" t="s">
        <v>17221</v>
      </c>
    </row>
    <row r="1982" spans="1:28" x14ac:dyDescent="0.25">
      <c r="A1982" t="s">
        <v>1986</v>
      </c>
      <c r="B1982">
        <v>0.98876768158843997</v>
      </c>
      <c r="C1982">
        <v>1.0095436708761201</v>
      </c>
      <c r="D1982">
        <v>0.99089716976275299</v>
      </c>
      <c r="E1982">
        <v>0.86092477725190797</v>
      </c>
      <c r="F1982">
        <v>0.46920334113838102</v>
      </c>
      <c r="G1982">
        <v>0.27478553736051903</v>
      </c>
      <c r="H1982">
        <v>0.18816221284201201</v>
      </c>
      <c r="I1982">
        <v>0.115743827869928</v>
      </c>
      <c r="J1982">
        <v>0.15351737585146599</v>
      </c>
      <c r="K1982">
        <v>8.7514758529052203E-2</v>
      </c>
      <c r="L1982">
        <v>1430.9426907013799</v>
      </c>
      <c r="M1982">
        <v>27.247123293347698</v>
      </c>
      <c r="N1982">
        <v>53.132493351175398</v>
      </c>
      <c r="O1982">
        <v>52.236748420103801</v>
      </c>
      <c r="P1982">
        <v>-0.112759865180692</v>
      </c>
      <c r="Q1982">
        <v>0.135298983402347</v>
      </c>
      <c r="R1982">
        <v>0.99280801036323196</v>
      </c>
      <c r="S1982" t="s">
        <v>5814</v>
      </c>
      <c r="T1982" t="s">
        <v>7662</v>
      </c>
      <c r="U1982" t="s">
        <v>7662</v>
      </c>
      <c r="V1982" t="s">
        <v>7662</v>
      </c>
      <c r="W1982">
        <v>2</v>
      </c>
      <c r="X1982" t="s">
        <v>9644</v>
      </c>
      <c r="Y1982">
        <v>0.50280937255692149</v>
      </c>
      <c r="Z1982" t="str">
        <f>HYPERLINK("Melting_Curves/meltCurve_sp_Q86UX7_2_URP2_HUMAN_.pdf", "Melting_Curves/meltCurve_sp_Q86UX7_2_URP2_HUMAN_.pdf")</f>
        <v>Melting_Curves/meltCurve_sp_Q86UX7_2_URP2_HUMAN_.pdf</v>
      </c>
      <c r="AA1982" t="s">
        <v>13445</v>
      </c>
      <c r="AB1982" t="s">
        <v>17222</v>
      </c>
    </row>
    <row r="1983" spans="1:28" x14ac:dyDescent="0.25">
      <c r="A1983" t="s">
        <v>1987</v>
      </c>
      <c r="B1983">
        <v>0.98876768158843997</v>
      </c>
      <c r="C1983">
        <v>0.80902858974821801</v>
      </c>
      <c r="D1983">
        <v>0.73821853912593804</v>
      </c>
      <c r="E1983">
        <v>0.51982782198632405</v>
      </c>
      <c r="F1983">
        <v>0.34598182316800702</v>
      </c>
      <c r="G1983">
        <v>0.16926866738402499</v>
      </c>
      <c r="H1983">
        <v>5.2251801680334303E-2</v>
      </c>
      <c r="I1983">
        <v>5.8930215245897498E-2</v>
      </c>
      <c r="J1983">
        <v>5.7293614588158299E-2</v>
      </c>
      <c r="K1983">
        <v>7.1555165642802898E-2</v>
      </c>
      <c r="L1983">
        <v>594.41692357531997</v>
      </c>
      <c r="M1983">
        <v>11.9198983576413</v>
      </c>
      <c r="N1983">
        <v>49.877802193474203</v>
      </c>
      <c r="O1983">
        <v>48.526212226721199</v>
      </c>
      <c r="P1983">
        <v>-6.1350088523033398E-2</v>
      </c>
      <c r="Q1983">
        <v>1.2155863937983399E-3</v>
      </c>
      <c r="R1983">
        <v>0.990270676834756</v>
      </c>
      <c r="S1983" t="s">
        <v>5815</v>
      </c>
      <c r="T1983" t="s">
        <v>7662</v>
      </c>
      <c r="U1983" t="s">
        <v>7662</v>
      </c>
      <c r="V1983" t="s">
        <v>7662</v>
      </c>
      <c r="W1983">
        <v>2</v>
      </c>
      <c r="X1983" t="s">
        <v>9645</v>
      </c>
      <c r="Y1983">
        <v>0.36495034024820222</v>
      </c>
      <c r="Z1983" t="str">
        <f>HYPERLINK("Melting_Curves/meltCurve_sp_Q86UY8_2_NT5D3_HUMAN_.pdf", "Melting_Curves/meltCurve_sp_Q86UY8_2_NT5D3_HUMAN_.pdf")</f>
        <v>Melting_Curves/meltCurve_sp_Q86UY8_2_NT5D3_HUMAN_.pdf</v>
      </c>
      <c r="AA1983" t="s">
        <v>13446</v>
      </c>
      <c r="AB1983" t="s">
        <v>17223</v>
      </c>
    </row>
    <row r="1984" spans="1:28" x14ac:dyDescent="0.25">
      <c r="A1984" t="s">
        <v>1988</v>
      </c>
      <c r="B1984">
        <v>0.98876768158843997</v>
      </c>
      <c r="C1984">
        <v>0.93351952149617601</v>
      </c>
      <c r="D1984">
        <v>0.85236210996304096</v>
      </c>
      <c r="E1984">
        <v>0.63075998948768797</v>
      </c>
      <c r="F1984">
        <v>0.48351774171117901</v>
      </c>
      <c r="G1984">
        <v>0.350412051969967</v>
      </c>
      <c r="H1984">
        <v>0.26778367290336902</v>
      </c>
      <c r="I1984">
        <v>0.31039441559258002</v>
      </c>
      <c r="J1984">
        <v>0.33278216609755401</v>
      </c>
      <c r="K1984">
        <v>0.343974639695453</v>
      </c>
      <c r="L1984">
        <v>868.14665815816102</v>
      </c>
      <c r="M1984">
        <v>17.529801730165499</v>
      </c>
      <c r="N1984">
        <v>52.283437774805499</v>
      </c>
      <c r="O1984">
        <v>48.893028912769502</v>
      </c>
      <c r="P1984">
        <v>-6.2588156458927402E-2</v>
      </c>
      <c r="Q1984">
        <v>0.301770146595569</v>
      </c>
      <c r="R1984">
        <v>0.99078188995897698</v>
      </c>
      <c r="S1984" t="s">
        <v>5816</v>
      </c>
      <c r="T1984" t="s">
        <v>7662</v>
      </c>
      <c r="U1984" t="s">
        <v>7662</v>
      </c>
      <c r="V1984" t="s">
        <v>7662</v>
      </c>
      <c r="W1984">
        <v>2</v>
      </c>
      <c r="X1984" t="s">
        <v>9646</v>
      </c>
      <c r="Y1984">
        <v>0.53605371112517697</v>
      </c>
      <c r="Z1984" t="str">
        <f>HYPERLINK("Melting_Curves/meltCurve_sp_Q86V81_THOC4_HUMAN_.pdf", "Melting_Curves/meltCurve_sp_Q86V81_THOC4_HUMAN_.pdf")</f>
        <v>Melting_Curves/meltCurve_sp_Q86V81_THOC4_HUMAN_.pdf</v>
      </c>
      <c r="AA1984" t="s">
        <v>13447</v>
      </c>
      <c r="AB1984" t="s">
        <v>17224</v>
      </c>
    </row>
    <row r="1985" spans="1:28" x14ac:dyDescent="0.25">
      <c r="A1985" t="s">
        <v>1989</v>
      </c>
      <c r="B1985">
        <v>0.98876768158843997</v>
      </c>
      <c r="C1985">
        <v>1.11328708840827</v>
      </c>
      <c r="D1985">
        <v>0.86127232629828498</v>
      </c>
      <c r="E1985">
        <v>0.77667062979837298</v>
      </c>
      <c r="F1985">
        <v>0.82840749558540006</v>
      </c>
      <c r="G1985">
        <v>0.67329116801210298</v>
      </c>
      <c r="H1985">
        <v>0.52870063778455501</v>
      </c>
      <c r="I1985">
        <v>0.62311845209482997</v>
      </c>
      <c r="J1985">
        <v>0.737334602156407</v>
      </c>
      <c r="K1985">
        <v>0.85362500241421901</v>
      </c>
      <c r="L1985">
        <v>1065.0675835074501</v>
      </c>
      <c r="M1985">
        <v>22.056728602467398</v>
      </c>
      <c r="O1985">
        <v>47.8959856851938</v>
      </c>
      <c r="P1985">
        <v>-3.5233002945002999E-2</v>
      </c>
      <c r="Q1985">
        <v>0.69397418805891598</v>
      </c>
      <c r="R1985">
        <v>0.65320576905870098</v>
      </c>
      <c r="S1985" t="s">
        <v>5817</v>
      </c>
      <c r="T1985" t="s">
        <v>7662</v>
      </c>
      <c r="U1985" t="s">
        <v>7662</v>
      </c>
      <c r="V1985" t="s">
        <v>7662</v>
      </c>
      <c r="W1985">
        <v>2</v>
      </c>
      <c r="X1985" t="s">
        <v>9647</v>
      </c>
      <c r="Y1985">
        <v>0.78203651904668325</v>
      </c>
      <c r="Z1985" t="str">
        <f>HYPERLINK("Melting_Curves/meltCurve_sp_Q86VM9_2_ZCH18_HUMAN_.pdf", "Melting_Curves/meltCurve_sp_Q86VM9_2_ZCH18_HUMAN_.pdf")</f>
        <v>Melting_Curves/meltCurve_sp_Q86VM9_2_ZCH18_HUMAN_.pdf</v>
      </c>
      <c r="AA1985" t="s">
        <v>13448</v>
      </c>
      <c r="AB1985" t="s">
        <v>17225</v>
      </c>
    </row>
    <row r="1986" spans="1:28" x14ac:dyDescent="0.25">
      <c r="A1986" t="s">
        <v>1990</v>
      </c>
      <c r="B1986">
        <v>0.98876768158843997</v>
      </c>
      <c r="C1986">
        <v>0.955817352209266</v>
      </c>
      <c r="D1986">
        <v>0.89761279120727999</v>
      </c>
      <c r="E1986">
        <v>0.74125962959994096</v>
      </c>
      <c r="F1986">
        <v>0.34868934794405398</v>
      </c>
      <c r="G1986">
        <v>0.14317908903527099</v>
      </c>
      <c r="H1986">
        <v>8.7340560142962806E-2</v>
      </c>
      <c r="I1986">
        <v>8.9353049981792998E-2</v>
      </c>
      <c r="J1986">
        <v>9.3901744420723104E-2</v>
      </c>
      <c r="K1986">
        <v>9.5229789623516997E-2</v>
      </c>
      <c r="L1986">
        <v>1394.1603270062701</v>
      </c>
      <c r="M1986">
        <v>27.114801224358601</v>
      </c>
      <c r="N1986">
        <v>51.772101967342401</v>
      </c>
      <c r="O1986">
        <v>51.139732658624503</v>
      </c>
      <c r="P1986">
        <v>-0.121304563716014</v>
      </c>
      <c r="Q1986">
        <v>8.4865737071720002E-2</v>
      </c>
      <c r="R1986">
        <v>0.99471182783298795</v>
      </c>
      <c r="S1986" t="s">
        <v>5818</v>
      </c>
      <c r="T1986" t="s">
        <v>7662</v>
      </c>
      <c r="U1986" t="s">
        <v>7662</v>
      </c>
      <c r="V1986" t="s">
        <v>7662</v>
      </c>
      <c r="W1986">
        <v>8</v>
      </c>
      <c r="X1986" t="s">
        <v>9648</v>
      </c>
      <c r="Y1986">
        <v>0.4402147863211166</v>
      </c>
      <c r="Z1986" t="str">
        <f>HYPERLINK("Melting_Curves/meltCurve_sp_Q86VN1_2_VPS36_HUMAN_.pdf", "Melting_Curves/meltCurve_sp_Q86VN1_2_VPS36_HUMAN_.pdf")</f>
        <v>Melting_Curves/meltCurve_sp_Q86VN1_2_VPS36_HUMAN_.pdf</v>
      </c>
      <c r="AA1986" t="s">
        <v>13449</v>
      </c>
      <c r="AB1986" t="s">
        <v>17226</v>
      </c>
    </row>
    <row r="1987" spans="1:28" x14ac:dyDescent="0.25">
      <c r="A1987" t="s">
        <v>1991</v>
      </c>
      <c r="B1987">
        <v>0.98876768158843997</v>
      </c>
      <c r="C1987">
        <v>0.82775563565432198</v>
      </c>
      <c r="D1987">
        <v>1.11983277156345</v>
      </c>
      <c r="E1987">
        <v>1.0404415339634401</v>
      </c>
      <c r="F1987">
        <v>0.60979643170153297</v>
      </c>
      <c r="G1987">
        <v>0.53747517381563004</v>
      </c>
      <c r="H1987">
        <v>0.18995471289850199</v>
      </c>
      <c r="I1987">
        <v>6.2795635209826298E-2</v>
      </c>
      <c r="J1987">
        <v>6.5172887342024505E-2</v>
      </c>
      <c r="K1987">
        <v>4.8858041912029797E-2</v>
      </c>
      <c r="L1987">
        <v>1042.6240989073999</v>
      </c>
      <c r="M1987">
        <v>18.500002468423101</v>
      </c>
      <c r="N1987">
        <v>56.397508642704999</v>
      </c>
      <c r="O1987">
        <v>55.7119241166384</v>
      </c>
      <c r="P1987">
        <v>-8.24862263461352E-2</v>
      </c>
      <c r="Q1987">
        <v>6.4297805674954599E-3</v>
      </c>
      <c r="R1987">
        <v>0.94280477890811798</v>
      </c>
      <c r="S1987" t="s">
        <v>5819</v>
      </c>
      <c r="T1987" t="s">
        <v>7662</v>
      </c>
      <c r="U1987" t="s">
        <v>7662</v>
      </c>
      <c r="V1987" t="s">
        <v>7662</v>
      </c>
      <c r="W1987">
        <v>42</v>
      </c>
      <c r="X1987" t="s">
        <v>9649</v>
      </c>
      <c r="Y1987">
        <v>0.56206313666765828</v>
      </c>
      <c r="Z1987" t="str">
        <f>HYPERLINK("Melting_Curves/meltCurve_sp_Q86VP6_CAND1_HUMAN_.pdf", "Melting_Curves/meltCurve_sp_Q86VP6_CAND1_HUMAN_.pdf")</f>
        <v>Melting_Curves/meltCurve_sp_Q86VP6_CAND1_HUMAN_.pdf</v>
      </c>
      <c r="AA1987" t="s">
        <v>13450</v>
      </c>
      <c r="AB1987" t="s">
        <v>17227</v>
      </c>
    </row>
    <row r="1988" spans="1:28" x14ac:dyDescent="0.25">
      <c r="A1988" t="s">
        <v>1992</v>
      </c>
      <c r="B1988">
        <v>0.98876768158843997</v>
      </c>
      <c r="C1988">
        <v>0.92872823052154796</v>
      </c>
      <c r="D1988">
        <v>0.92419682029915096</v>
      </c>
      <c r="E1988">
        <v>0.887194332318888</v>
      </c>
      <c r="F1988">
        <v>0.71104772806129701</v>
      </c>
      <c r="G1988">
        <v>0.56616896655884896</v>
      </c>
      <c r="H1988">
        <v>0.23209988352468899</v>
      </c>
      <c r="I1988">
        <v>0.13416042398327199</v>
      </c>
      <c r="J1988">
        <v>9.0997292843447306E-2</v>
      </c>
      <c r="K1988">
        <v>0.16338300443839901</v>
      </c>
      <c r="L1988">
        <v>859.66681773730602</v>
      </c>
      <c r="M1988">
        <v>15.2317633282406</v>
      </c>
      <c r="N1988">
        <v>56.782323423936099</v>
      </c>
      <c r="O1988">
        <v>55.493094762195199</v>
      </c>
      <c r="P1988">
        <v>-6.5608498723245506E-2</v>
      </c>
      <c r="Q1988">
        <v>4.3978780824231199E-2</v>
      </c>
      <c r="R1988">
        <v>0.98094327778669599</v>
      </c>
      <c r="S1988" t="s">
        <v>5820</v>
      </c>
      <c r="T1988" t="s">
        <v>7662</v>
      </c>
      <c r="U1988" t="s">
        <v>7662</v>
      </c>
      <c r="V1988" t="s">
        <v>7662</v>
      </c>
      <c r="W1988">
        <v>3</v>
      </c>
      <c r="X1988" t="s">
        <v>9650</v>
      </c>
      <c r="Y1988">
        <v>0.58386792369976337</v>
      </c>
      <c r="Z1988" t="str">
        <f>HYPERLINK("Melting_Curves/meltCurve_sp_Q86VQ6_TRXR3_HUMAN_.pdf", "Melting_Curves/meltCurve_sp_Q86VQ6_TRXR3_HUMAN_.pdf")</f>
        <v>Melting_Curves/meltCurve_sp_Q86VQ6_TRXR3_HUMAN_.pdf</v>
      </c>
      <c r="AA1988" t="s">
        <v>13451</v>
      </c>
      <c r="AB1988" t="s">
        <v>17228</v>
      </c>
    </row>
    <row r="1989" spans="1:28" x14ac:dyDescent="0.25">
      <c r="A1989" t="s">
        <v>1993</v>
      </c>
      <c r="B1989">
        <v>0.98876768158843997</v>
      </c>
      <c r="C1989">
        <v>1.4024272725625599</v>
      </c>
      <c r="D1989">
        <v>0.90207810640254205</v>
      </c>
      <c r="E1989">
        <v>0.84925456933116095</v>
      </c>
      <c r="F1989">
        <v>0.99224416786869296</v>
      </c>
      <c r="G1989">
        <v>0.67525732916756598</v>
      </c>
      <c r="H1989">
        <v>0.48594811935487098</v>
      </c>
      <c r="I1989">
        <v>0.27334770142554199</v>
      </c>
      <c r="J1989">
        <v>0.75310861994817702</v>
      </c>
      <c r="K1989">
        <v>1.38173166042068</v>
      </c>
      <c r="L1989">
        <v>13439.7592633932</v>
      </c>
      <c r="M1989">
        <v>250</v>
      </c>
      <c r="O1989">
        <v>53.755590686918701</v>
      </c>
      <c r="P1989">
        <v>-0.33266459579330299</v>
      </c>
      <c r="Q1989">
        <v>0.71387865801001504</v>
      </c>
      <c r="R1989">
        <v>0.213512508041664</v>
      </c>
      <c r="S1989" t="s">
        <v>5821</v>
      </c>
      <c r="T1989" t="s">
        <v>7662</v>
      </c>
      <c r="U1989" t="s">
        <v>7662</v>
      </c>
      <c r="V1989" t="s">
        <v>7662</v>
      </c>
      <c r="W1989">
        <v>1</v>
      </c>
      <c r="X1989" t="s">
        <v>9651</v>
      </c>
      <c r="Y1989">
        <v>0.84513079070096431</v>
      </c>
      <c r="Z1989" t="str">
        <f>HYPERLINK("Melting_Curves/meltCurve_sp_Q86VR2_F134C_HUMAN_.pdf", "Melting_Curves/meltCurve_sp_Q86VR2_F134C_HUMAN_.pdf")</f>
        <v>Melting_Curves/meltCurve_sp_Q86VR2_F134C_HUMAN_.pdf</v>
      </c>
      <c r="AA1989" t="s">
        <v>13452</v>
      </c>
      <c r="AB1989" t="s">
        <v>17229</v>
      </c>
    </row>
    <row r="1990" spans="1:28" x14ac:dyDescent="0.25">
      <c r="A1990" t="s">
        <v>1994</v>
      </c>
      <c r="B1990">
        <v>0.98876768158843997</v>
      </c>
      <c r="C1990">
        <v>0.95827263811243202</v>
      </c>
      <c r="D1990">
        <v>1.0508323199</v>
      </c>
      <c r="E1990">
        <v>0.84532786370236002</v>
      </c>
      <c r="F1990">
        <v>0.67697410867519303</v>
      </c>
      <c r="G1990">
        <v>0.45576374124748997</v>
      </c>
      <c r="H1990">
        <v>0.30175362417697299</v>
      </c>
      <c r="I1990">
        <v>0.25906035571249703</v>
      </c>
      <c r="J1990">
        <v>0.24660145633194699</v>
      </c>
      <c r="K1990">
        <v>0.261693821291344</v>
      </c>
      <c r="L1990">
        <v>1060.6144651658401</v>
      </c>
      <c r="M1990">
        <v>19.662133316371602</v>
      </c>
      <c r="N1990">
        <v>55.7762719411785</v>
      </c>
      <c r="O1990">
        <v>53.393302614350198</v>
      </c>
      <c r="P1990">
        <v>-7.0145658504790806E-2</v>
      </c>
      <c r="Q1990">
        <v>0.23809325678792201</v>
      </c>
      <c r="R1990">
        <v>0.99148829452419096</v>
      </c>
      <c r="S1990" t="s">
        <v>5822</v>
      </c>
      <c r="T1990" t="s">
        <v>7662</v>
      </c>
      <c r="U1990" t="s">
        <v>7662</v>
      </c>
      <c r="V1990" t="s">
        <v>7662</v>
      </c>
      <c r="W1990">
        <v>10</v>
      </c>
      <c r="X1990" t="s">
        <v>9652</v>
      </c>
      <c r="Y1990">
        <v>0.60282857932520484</v>
      </c>
      <c r="Z1990" t="str">
        <f>HYPERLINK("Melting_Curves/meltCurve_sp_Q86VS8_HOOK3_HUMAN_.pdf", "Melting_Curves/meltCurve_sp_Q86VS8_HOOK3_HUMAN_.pdf")</f>
        <v>Melting_Curves/meltCurve_sp_Q86VS8_HOOK3_HUMAN_.pdf</v>
      </c>
      <c r="AA1990" t="s">
        <v>13453</v>
      </c>
      <c r="AB1990" t="s">
        <v>17230</v>
      </c>
    </row>
    <row r="1991" spans="1:28" x14ac:dyDescent="0.25">
      <c r="A1991" t="s">
        <v>1995</v>
      </c>
      <c r="B1991">
        <v>0.98876768158843997</v>
      </c>
      <c r="C1991">
        <v>0.92471812625483996</v>
      </c>
      <c r="D1991">
        <v>1.0170096789304901</v>
      </c>
      <c r="E1991">
        <v>0.89890660669765798</v>
      </c>
      <c r="F1991">
        <v>0.79684371764401896</v>
      </c>
      <c r="G1991">
        <v>0.36262269254936902</v>
      </c>
      <c r="H1991">
        <v>9.2228436254129506E-2</v>
      </c>
      <c r="I1991">
        <v>7.0315109575287596E-2</v>
      </c>
      <c r="J1991">
        <v>0.11673087959836199</v>
      </c>
      <c r="K1991">
        <v>9.8074986390478402E-2</v>
      </c>
      <c r="L1991">
        <v>1558.1376878727999</v>
      </c>
      <c r="M1991">
        <v>28.2113635801703</v>
      </c>
      <c r="N1991">
        <v>55.554928582495798</v>
      </c>
      <c r="O1991">
        <v>54.955572897811798</v>
      </c>
      <c r="P1991">
        <v>-0.118601159486511</v>
      </c>
      <c r="Q1991">
        <v>7.5870199474517397E-2</v>
      </c>
      <c r="R1991">
        <v>0.99144735919049298</v>
      </c>
      <c r="S1991" t="s">
        <v>5823</v>
      </c>
      <c r="T1991" t="s">
        <v>7662</v>
      </c>
      <c r="U1991" t="s">
        <v>7662</v>
      </c>
      <c r="V1991" t="s">
        <v>7662</v>
      </c>
      <c r="W1991">
        <v>3</v>
      </c>
      <c r="X1991" t="s">
        <v>9653</v>
      </c>
      <c r="Y1991">
        <v>0.55192911180308046</v>
      </c>
      <c r="Z1991" t="str">
        <f>HYPERLINK("Melting_Curves/meltCurve_sp_Q86VX2_2_COMD7_HUMAN_.pdf", "Melting_Curves/meltCurve_sp_Q86VX2_2_COMD7_HUMAN_.pdf")</f>
        <v>Melting_Curves/meltCurve_sp_Q86VX2_2_COMD7_HUMAN_.pdf</v>
      </c>
      <c r="AA1991" t="s">
        <v>13454</v>
      </c>
      <c r="AB1991" t="s">
        <v>17231</v>
      </c>
    </row>
    <row r="1992" spans="1:28" x14ac:dyDescent="0.25">
      <c r="A1992" t="s">
        <v>1996</v>
      </c>
      <c r="B1992">
        <v>0.98876768158843997</v>
      </c>
      <c r="C1992">
        <v>0.99194062863191801</v>
      </c>
      <c r="D1992">
        <v>0.83173201095304405</v>
      </c>
      <c r="E1992">
        <v>0.63571299433145001</v>
      </c>
      <c r="F1992">
        <v>0.58695570306730405</v>
      </c>
      <c r="G1992">
        <v>0.39568536787201503</v>
      </c>
      <c r="H1992">
        <v>0.30116156808651001</v>
      </c>
      <c r="I1992">
        <v>0.282767841648565</v>
      </c>
      <c r="J1992">
        <v>0.48836590195499802</v>
      </c>
      <c r="K1992">
        <v>0.37776057857616002</v>
      </c>
      <c r="L1992">
        <v>831.02261038857296</v>
      </c>
      <c r="M1992">
        <v>16.757596539227801</v>
      </c>
      <c r="N1992">
        <v>53.516498052788002</v>
      </c>
      <c r="O1992">
        <v>48.900760673587598</v>
      </c>
      <c r="P1992">
        <v>-5.5369311713437501E-2</v>
      </c>
      <c r="Q1992">
        <v>0.353744189244728</v>
      </c>
      <c r="R1992">
        <v>0.94181248837077503</v>
      </c>
      <c r="S1992" t="s">
        <v>5824</v>
      </c>
      <c r="T1992" t="s">
        <v>7662</v>
      </c>
      <c r="U1992" t="s">
        <v>7662</v>
      </c>
      <c r="V1992" t="s">
        <v>7662</v>
      </c>
      <c r="W1992">
        <v>8</v>
      </c>
      <c r="X1992" t="s">
        <v>9654</v>
      </c>
      <c r="Y1992">
        <v>0.57306107825591823</v>
      </c>
      <c r="Z1992" t="str">
        <f>HYPERLINK("Melting_Curves/meltCurve_sp_Q86W92_4_LIPB1_HUMAN_.pdf", "Melting_Curves/meltCurve_sp_Q86W92_4_LIPB1_HUMAN_.pdf")</f>
        <v>Melting_Curves/meltCurve_sp_Q86W92_4_LIPB1_HUMAN_.pdf</v>
      </c>
      <c r="AA1992" t="s">
        <v>13455</v>
      </c>
      <c r="AB1992" t="s">
        <v>17232</v>
      </c>
    </row>
    <row r="1993" spans="1:28" x14ac:dyDescent="0.25">
      <c r="A1993" t="s">
        <v>1997</v>
      </c>
      <c r="B1993">
        <v>0.98876768158843997</v>
      </c>
      <c r="C1993">
        <v>1.2122869197619499</v>
      </c>
      <c r="D1993">
        <v>0.86214019340247505</v>
      </c>
      <c r="E1993">
        <v>0.78346932572170103</v>
      </c>
      <c r="F1993">
        <v>0.68844284007536405</v>
      </c>
      <c r="G1993">
        <v>0.12594210877501899</v>
      </c>
      <c r="H1993">
        <v>6.5165714318674905E-2</v>
      </c>
      <c r="I1993">
        <v>4.9098389456391597E-2</v>
      </c>
      <c r="J1993">
        <v>5.17759564082046E-2</v>
      </c>
      <c r="K1993">
        <v>5.4750780379351098E-2</v>
      </c>
      <c r="L1993">
        <v>1399.9391806533499</v>
      </c>
      <c r="M1993">
        <v>26.085714921410201</v>
      </c>
      <c r="N1993">
        <v>53.795974159799698</v>
      </c>
      <c r="O1993">
        <v>53.354491857956504</v>
      </c>
      <c r="P1993">
        <v>-0.118521610953159</v>
      </c>
      <c r="Q1993">
        <v>3.03372748699509E-2</v>
      </c>
      <c r="R1993">
        <v>0.95544279173922297</v>
      </c>
      <c r="S1993" t="s">
        <v>5825</v>
      </c>
      <c r="T1993" t="s">
        <v>7662</v>
      </c>
      <c r="U1993" t="s">
        <v>7662</v>
      </c>
      <c r="V1993" t="s">
        <v>7662</v>
      </c>
      <c r="W1993">
        <v>15</v>
      </c>
      <c r="X1993" t="s">
        <v>9655</v>
      </c>
      <c r="Y1993">
        <v>0.48036226829006251</v>
      </c>
      <c r="Z1993" t="str">
        <f>HYPERLINK("Melting_Curves/meltCurve_sp_Q86WA6_BPHL_HUMAN_.pdf", "Melting_Curves/meltCurve_sp_Q86WA6_BPHL_HUMAN_.pdf")</f>
        <v>Melting_Curves/meltCurve_sp_Q86WA6_BPHL_HUMAN_.pdf</v>
      </c>
      <c r="AA1993" t="s">
        <v>13456</v>
      </c>
      <c r="AB1993" t="s">
        <v>17233</v>
      </c>
    </row>
    <row r="1994" spans="1:28" x14ac:dyDescent="0.25">
      <c r="A1994" t="s">
        <v>1998</v>
      </c>
      <c r="B1994">
        <v>0.98876768158843997</v>
      </c>
      <c r="C1994">
        <v>1.0530021840053001</v>
      </c>
      <c r="D1994">
        <v>0.88293216886216896</v>
      </c>
      <c r="E1994">
        <v>0.732147069903331</v>
      </c>
      <c r="F1994">
        <v>0.35595001407922799</v>
      </c>
      <c r="G1994">
        <v>0.12152762550021701</v>
      </c>
      <c r="H1994">
        <v>6.7010636088821005E-2</v>
      </c>
      <c r="I1994">
        <v>6.7133581885906901E-2</v>
      </c>
      <c r="J1994">
        <v>7.1722519746525396E-2</v>
      </c>
      <c r="K1994">
        <v>7.5154994685426593E-2</v>
      </c>
      <c r="L1994">
        <v>1343.3450508328301</v>
      </c>
      <c r="M1994">
        <v>26.083571360733</v>
      </c>
      <c r="N1994">
        <v>51.762134023361803</v>
      </c>
      <c r="O1994">
        <v>51.2016948676699</v>
      </c>
      <c r="P1994">
        <v>-0.11952351606499299</v>
      </c>
      <c r="Q1994">
        <v>6.1518124772007798E-2</v>
      </c>
      <c r="R1994">
        <v>0.99337957307306302</v>
      </c>
      <c r="S1994" t="s">
        <v>5826</v>
      </c>
      <c r="T1994" t="s">
        <v>7662</v>
      </c>
      <c r="U1994" t="s">
        <v>7662</v>
      </c>
      <c r="V1994" t="s">
        <v>7662</v>
      </c>
      <c r="W1994">
        <v>9</v>
      </c>
      <c r="X1994" t="s">
        <v>9656</v>
      </c>
      <c r="Y1994">
        <v>0.42916481305676268</v>
      </c>
      <c r="Z1994" t="str">
        <f>HYPERLINK("Melting_Curves/meltCurve_sp_Q86WR0_CCD25_HUMAN_.pdf", "Melting_Curves/meltCurve_sp_Q86WR0_CCD25_HUMAN_.pdf")</f>
        <v>Melting_Curves/meltCurve_sp_Q86WR0_CCD25_HUMAN_.pdf</v>
      </c>
      <c r="AA1994" t="s">
        <v>13457</v>
      </c>
      <c r="AB1994" t="s">
        <v>17234</v>
      </c>
    </row>
    <row r="1995" spans="1:28" x14ac:dyDescent="0.25">
      <c r="A1995" t="s">
        <v>1999</v>
      </c>
      <c r="B1995">
        <v>0.98876768158843997</v>
      </c>
      <c r="C1995">
        <v>1.0948600896270899</v>
      </c>
      <c r="D1995">
        <v>0.90797130031948803</v>
      </c>
      <c r="E1995">
        <v>0.69542305750587996</v>
      </c>
      <c r="F1995">
        <v>0.802447406846863</v>
      </c>
      <c r="G1995">
        <v>0.53764694970527804</v>
      </c>
      <c r="H1995">
        <v>0.42251169766084601</v>
      </c>
      <c r="I1995">
        <v>0.51244507865520295</v>
      </c>
      <c r="J1995">
        <v>0.63400598207387904</v>
      </c>
      <c r="K1995">
        <v>0.70602898377810297</v>
      </c>
      <c r="L1995">
        <v>1033.1858028975601</v>
      </c>
      <c r="M1995">
        <v>20.828142958367401</v>
      </c>
      <c r="O1995">
        <v>49.154781312349499</v>
      </c>
      <c r="P1995">
        <v>-4.5522306642050703E-2</v>
      </c>
      <c r="Q1995">
        <v>0.570278048080477</v>
      </c>
      <c r="R1995">
        <v>0.78411751283784803</v>
      </c>
      <c r="S1995" t="s">
        <v>5827</v>
      </c>
      <c r="T1995" t="s">
        <v>7662</v>
      </c>
      <c r="U1995" t="s">
        <v>7662</v>
      </c>
      <c r="V1995" t="s">
        <v>7662</v>
      </c>
      <c r="W1995">
        <v>5</v>
      </c>
      <c r="X1995" t="s">
        <v>9657</v>
      </c>
      <c r="Y1995">
        <v>0.71339305882644577</v>
      </c>
      <c r="Z1995" t="str">
        <f>HYPERLINK("Melting_Curves/meltCurve_sp_Q86WR7_PRSR2_HUMAN_.pdf", "Melting_Curves/meltCurve_sp_Q86WR7_PRSR2_HUMAN_.pdf")</f>
        <v>Melting_Curves/meltCurve_sp_Q86WR7_PRSR2_HUMAN_.pdf</v>
      </c>
      <c r="AA1995" t="s">
        <v>13458</v>
      </c>
      <c r="AB1995" t="s">
        <v>17235</v>
      </c>
    </row>
    <row r="1996" spans="1:28" x14ac:dyDescent="0.25">
      <c r="A1996" t="s">
        <v>2000</v>
      </c>
      <c r="B1996">
        <v>0.98876768158843997</v>
      </c>
      <c r="C1996">
        <v>0.949325994122455</v>
      </c>
      <c r="D1996">
        <v>0.89659660888523995</v>
      </c>
      <c r="E1996">
        <v>0.855125578561304</v>
      </c>
      <c r="F1996">
        <v>0.71248757474570601</v>
      </c>
      <c r="G1996">
        <v>0.53641992417898399</v>
      </c>
      <c r="H1996">
        <v>0.420848536445037</v>
      </c>
      <c r="I1996">
        <v>0.34250241177667201</v>
      </c>
      <c r="J1996">
        <v>0.21975337667926201</v>
      </c>
      <c r="K1996">
        <v>0.18342854278699799</v>
      </c>
      <c r="L1996">
        <v>524.69841549923103</v>
      </c>
      <c r="M1996">
        <v>8.9684747306858004</v>
      </c>
      <c r="N1996">
        <v>58.504754807823304</v>
      </c>
      <c r="O1996">
        <v>55.815534337146602</v>
      </c>
      <c r="P1996">
        <v>-4.0199718719995801E-2</v>
      </c>
      <c r="Q1996">
        <v>0</v>
      </c>
      <c r="R1996">
        <v>0.99561196764842996</v>
      </c>
      <c r="S1996" t="s">
        <v>5828</v>
      </c>
      <c r="T1996" t="s">
        <v>7662</v>
      </c>
      <c r="U1996" t="s">
        <v>7662</v>
      </c>
      <c r="V1996" t="s">
        <v>7662</v>
      </c>
      <c r="W1996">
        <v>21</v>
      </c>
      <c r="X1996" t="s">
        <v>9658</v>
      </c>
      <c r="Y1996">
        <v>0.62022730227498724</v>
      </c>
      <c r="Z1996" t="str">
        <f>HYPERLINK("Melting_Curves/meltCurve_sp_Q86WU2_2_LDHD_HUMAN_.pdf", "Melting_Curves/meltCurve_sp_Q86WU2_2_LDHD_HUMAN_.pdf")</f>
        <v>Melting_Curves/meltCurve_sp_Q86WU2_2_LDHD_HUMAN_.pdf</v>
      </c>
      <c r="AA1996" t="s">
        <v>13459</v>
      </c>
      <c r="AB1996" t="s">
        <v>17236</v>
      </c>
    </row>
    <row r="1997" spans="1:28" x14ac:dyDescent="0.25">
      <c r="A1997" t="s">
        <v>2001</v>
      </c>
      <c r="B1997">
        <v>0.98876768158843997</v>
      </c>
      <c r="C1997">
        <v>0.87540450169315598</v>
      </c>
      <c r="D1997">
        <v>1.02287603463514</v>
      </c>
      <c r="E1997">
        <v>0.445215589121713</v>
      </c>
      <c r="F1997">
        <v>0.17974209448077799</v>
      </c>
      <c r="G1997">
        <v>6.7588093270711594E-2</v>
      </c>
      <c r="H1997">
        <v>3.61595977268587E-2</v>
      </c>
      <c r="I1997">
        <v>1.75647717722269E-2</v>
      </c>
      <c r="J1997">
        <v>1.96081287605199E-2</v>
      </c>
      <c r="K1997">
        <v>2.9632312861738098E-2</v>
      </c>
      <c r="L1997">
        <v>1757.2661150066699</v>
      </c>
      <c r="M1997">
        <v>35.323072718186999</v>
      </c>
      <c r="N1997">
        <v>49.856365844512098</v>
      </c>
      <c r="O1997">
        <v>49.589755699206101</v>
      </c>
      <c r="P1997">
        <v>-0.171519806980858</v>
      </c>
      <c r="Q1997">
        <v>3.6822616209987197E-2</v>
      </c>
      <c r="R1997">
        <v>0.98545851209656798</v>
      </c>
      <c r="S1997" t="s">
        <v>5829</v>
      </c>
      <c r="T1997" t="s">
        <v>7662</v>
      </c>
      <c r="U1997" t="s">
        <v>7662</v>
      </c>
      <c r="V1997" t="s">
        <v>7662</v>
      </c>
      <c r="W1997">
        <v>2</v>
      </c>
      <c r="X1997" t="s">
        <v>9659</v>
      </c>
      <c r="Y1997">
        <v>0.35406448178570188</v>
      </c>
      <c r="Z1997" t="str">
        <f>HYPERLINK("Melting_Curves/meltCurve_sp_Q86X10_3_RLGPB_HUMAN_.pdf", "Melting_Curves/meltCurve_sp_Q86X10_3_RLGPB_HUMAN_.pdf")</f>
        <v>Melting_Curves/meltCurve_sp_Q86X10_3_RLGPB_HUMAN_.pdf</v>
      </c>
      <c r="AA1997" t="s">
        <v>13460</v>
      </c>
      <c r="AB1997" t="s">
        <v>17237</v>
      </c>
    </row>
    <row r="1998" spans="1:28" x14ac:dyDescent="0.25">
      <c r="A1998" t="s">
        <v>2002</v>
      </c>
      <c r="B1998">
        <v>0.98876768158843997</v>
      </c>
      <c r="C1998">
        <v>0.92243017613155398</v>
      </c>
      <c r="D1998">
        <v>1.0655383721468199</v>
      </c>
      <c r="E1998">
        <v>0.85270341076065903</v>
      </c>
      <c r="F1998">
        <v>0.41729875287186902</v>
      </c>
      <c r="G1998">
        <v>0.178532107653118</v>
      </c>
      <c r="H1998">
        <v>6.4722717775345703E-2</v>
      </c>
      <c r="I1998">
        <v>4.4288049388410501E-2</v>
      </c>
      <c r="J1998">
        <v>8.6282441458210193E-2</v>
      </c>
      <c r="K1998">
        <v>5.0080071250077199E-2</v>
      </c>
      <c r="L1998">
        <v>1765.83936394839</v>
      </c>
      <c r="M1998">
        <v>33.7343872003405</v>
      </c>
      <c r="N1998">
        <v>52.576310755356502</v>
      </c>
      <c r="O1998">
        <v>52.1624794480677</v>
      </c>
      <c r="P1998">
        <v>-0.15054712719827801</v>
      </c>
      <c r="Q1998">
        <v>6.8857924194736797E-2</v>
      </c>
      <c r="R1998">
        <v>0.99042664500807598</v>
      </c>
      <c r="S1998" t="s">
        <v>5830</v>
      </c>
      <c r="T1998" t="s">
        <v>7662</v>
      </c>
      <c r="U1998" t="s">
        <v>7662</v>
      </c>
      <c r="V1998" t="s">
        <v>7662</v>
      </c>
      <c r="W1998">
        <v>6</v>
      </c>
      <c r="X1998" t="s">
        <v>9660</v>
      </c>
      <c r="Y1998">
        <v>0.4567720992369747</v>
      </c>
      <c r="Z1998" t="str">
        <f>HYPERLINK("Melting_Curves/meltCurve_sp_Q86X55_1_CARM1_HUMAN_.pdf", "Melting_Curves/meltCurve_sp_Q86X55_1_CARM1_HUMAN_.pdf")</f>
        <v>Melting_Curves/meltCurve_sp_Q86X55_1_CARM1_HUMAN_.pdf</v>
      </c>
      <c r="AA1998" t="s">
        <v>13461</v>
      </c>
      <c r="AB1998" t="s">
        <v>17238</v>
      </c>
    </row>
    <row r="1999" spans="1:28" x14ac:dyDescent="0.25">
      <c r="A1999" t="s">
        <v>2003</v>
      </c>
      <c r="B1999">
        <v>0.98876768158843997</v>
      </c>
      <c r="C1999">
        <v>0.94625369465826004</v>
      </c>
      <c r="D1999">
        <v>0.94762445358255698</v>
      </c>
      <c r="E1999">
        <v>0.92279700037843604</v>
      </c>
      <c r="F1999">
        <v>0.73401698567720397</v>
      </c>
      <c r="G1999">
        <v>0.53640050667656802</v>
      </c>
      <c r="H1999">
        <v>0.46018609598041799</v>
      </c>
      <c r="I1999">
        <v>0.49377106864069298</v>
      </c>
      <c r="J1999">
        <v>0.31351544088831301</v>
      </c>
      <c r="K1999">
        <v>0.123330780569387</v>
      </c>
      <c r="L1999">
        <v>528.76831061666098</v>
      </c>
      <c r="M1999">
        <v>8.8026499659862907</v>
      </c>
      <c r="N1999">
        <v>60.069217146682398</v>
      </c>
      <c r="O1999">
        <v>57.2111996068721</v>
      </c>
      <c r="P1999">
        <v>-3.8495960365156297E-2</v>
      </c>
      <c r="Q1999">
        <v>0</v>
      </c>
      <c r="R1999">
        <v>0.95321812782342696</v>
      </c>
      <c r="S1999" t="s">
        <v>5831</v>
      </c>
      <c r="T1999" t="s">
        <v>7662</v>
      </c>
      <c r="U1999" t="s">
        <v>7662</v>
      </c>
      <c r="V1999" t="s">
        <v>7662</v>
      </c>
      <c r="W1999">
        <v>12</v>
      </c>
      <c r="X1999" t="s">
        <v>9661</v>
      </c>
      <c r="Y1999">
        <v>0.65842548650358923</v>
      </c>
      <c r="Z1999" t="str">
        <f>HYPERLINK("Melting_Curves/meltCurve_sp_Q86X76_2_NIT1_HUMAN_.pdf", "Melting_Curves/meltCurve_sp_Q86X76_2_NIT1_HUMAN_.pdf")</f>
        <v>Melting_Curves/meltCurve_sp_Q86X76_2_NIT1_HUMAN_.pdf</v>
      </c>
      <c r="AA1999" t="s">
        <v>13462</v>
      </c>
      <c r="AB1999" t="s">
        <v>17239</v>
      </c>
    </row>
    <row r="2000" spans="1:28" x14ac:dyDescent="0.25">
      <c r="A2000" t="s">
        <v>2004</v>
      </c>
      <c r="B2000">
        <v>0.98876768158843997</v>
      </c>
      <c r="C2000">
        <v>0.93934600825739101</v>
      </c>
      <c r="D2000">
        <v>0.957180141583865</v>
      </c>
      <c r="E2000">
        <v>0.70978174877278399</v>
      </c>
      <c r="F2000">
        <v>0.25201313724027402</v>
      </c>
      <c r="G2000">
        <v>9.7325005935206294E-2</v>
      </c>
      <c r="H2000">
        <v>4.1364117292130798E-2</v>
      </c>
      <c r="I2000">
        <v>6.6947309595808094E-2</v>
      </c>
      <c r="J2000">
        <v>4.7192965647756699E-2</v>
      </c>
      <c r="K2000">
        <v>7.1854194959019499E-2</v>
      </c>
      <c r="L2000">
        <v>1820.6653388089001</v>
      </c>
      <c r="M2000">
        <v>35.645456946414697</v>
      </c>
      <c r="N2000">
        <v>51.256135017254898</v>
      </c>
      <c r="O2000">
        <v>50.917110036526502</v>
      </c>
      <c r="P2000">
        <v>-0.16477127719733201</v>
      </c>
      <c r="Q2000">
        <v>5.8544902740042398E-2</v>
      </c>
      <c r="R2000">
        <v>0.99663497449309202</v>
      </c>
      <c r="S2000" t="s">
        <v>5832</v>
      </c>
      <c r="T2000" t="s">
        <v>7662</v>
      </c>
      <c r="U2000" t="s">
        <v>7662</v>
      </c>
      <c r="V2000" t="s">
        <v>7662</v>
      </c>
      <c r="W2000">
        <v>2</v>
      </c>
      <c r="X2000" t="s">
        <v>9662</v>
      </c>
      <c r="Y2000">
        <v>0.41035547295592301</v>
      </c>
      <c r="Z2000" t="str">
        <f>HYPERLINK("Melting_Curves/meltCurve_sp_Q86X83_COMD2_HUMAN_.pdf", "Melting_Curves/meltCurve_sp_Q86X83_COMD2_HUMAN_.pdf")</f>
        <v>Melting_Curves/meltCurve_sp_Q86X83_COMD2_HUMAN_.pdf</v>
      </c>
      <c r="AA2000" t="s">
        <v>13463</v>
      </c>
      <c r="AB2000" t="s">
        <v>17240</v>
      </c>
    </row>
    <row r="2001" spans="1:28" x14ac:dyDescent="0.25">
      <c r="A2001" t="s">
        <v>2005</v>
      </c>
      <c r="B2001">
        <v>0.98876768158843997</v>
      </c>
      <c r="C2001">
        <v>0.90142231832165098</v>
      </c>
      <c r="D2001">
        <v>0.81689663701291204</v>
      </c>
      <c r="E2001">
        <v>0.735277146327044</v>
      </c>
      <c r="F2001">
        <v>0.66578529078772197</v>
      </c>
      <c r="G2001">
        <v>0.50715325204194495</v>
      </c>
      <c r="H2001">
        <v>0.46261058246391701</v>
      </c>
      <c r="I2001">
        <v>0.55512844022903196</v>
      </c>
      <c r="J2001">
        <v>0.65320557075268604</v>
      </c>
      <c r="K2001">
        <v>0.78695347635126101</v>
      </c>
      <c r="L2001">
        <v>820.71292345040604</v>
      </c>
      <c r="M2001">
        <v>17.6207444783795</v>
      </c>
      <c r="O2001">
        <v>45.989053614688402</v>
      </c>
      <c r="P2001">
        <v>-3.8448451300871302E-2</v>
      </c>
      <c r="Q2001">
        <v>0.59862921539106295</v>
      </c>
      <c r="R2001">
        <v>0.71566949289278203</v>
      </c>
      <c r="S2001" t="s">
        <v>5833</v>
      </c>
      <c r="T2001" t="s">
        <v>7662</v>
      </c>
      <c r="U2001" t="s">
        <v>7662</v>
      </c>
      <c r="V2001" t="s">
        <v>7662</v>
      </c>
      <c r="W2001">
        <v>8</v>
      </c>
      <c r="X2001" t="s">
        <v>9663</v>
      </c>
      <c r="Y2001">
        <v>0.69455781627127466</v>
      </c>
      <c r="Z2001" t="str">
        <f>HYPERLINK("Melting_Curves/meltCurve_sp_Q86XE5_HOGA1_HUMAN_.pdf", "Melting_Curves/meltCurve_sp_Q86XE5_HOGA1_HUMAN_.pdf")</f>
        <v>Melting_Curves/meltCurve_sp_Q86XE5_HOGA1_HUMAN_.pdf</v>
      </c>
      <c r="AA2001" t="s">
        <v>13464</v>
      </c>
      <c r="AB2001" t="s">
        <v>17241</v>
      </c>
    </row>
    <row r="2002" spans="1:28" x14ac:dyDescent="0.25">
      <c r="A2002" t="s">
        <v>2006</v>
      </c>
      <c r="B2002">
        <v>0.98876768158843997</v>
      </c>
      <c r="C2002">
        <v>0.97684478924667795</v>
      </c>
      <c r="D2002">
        <v>0.91033583080426395</v>
      </c>
      <c r="E2002">
        <v>0.55964045411173602</v>
      </c>
      <c r="F2002">
        <v>0.24475648341939199</v>
      </c>
      <c r="G2002">
        <v>0.16344666986266401</v>
      </c>
      <c r="H2002">
        <v>0.10502792743176</v>
      </c>
      <c r="I2002">
        <v>0.10872804717828401</v>
      </c>
      <c r="J2002">
        <v>0.12376351146423301</v>
      </c>
      <c r="K2002">
        <v>0.12725040438551899</v>
      </c>
      <c r="L2002">
        <v>1367.34188765108</v>
      </c>
      <c r="M2002">
        <v>27.3992943433094</v>
      </c>
      <c r="N2002">
        <v>50.389288949039603</v>
      </c>
      <c r="O2002">
        <v>49.640712360110697</v>
      </c>
      <c r="P2002">
        <v>-0.121994937378803</v>
      </c>
      <c r="Q2002">
        <v>0.115910249460444</v>
      </c>
      <c r="R2002">
        <v>0.99862059460010699</v>
      </c>
      <c r="S2002" t="s">
        <v>5834</v>
      </c>
      <c r="T2002" t="s">
        <v>7662</v>
      </c>
      <c r="U2002" t="s">
        <v>7662</v>
      </c>
      <c r="V2002" t="s">
        <v>7662</v>
      </c>
      <c r="W2002">
        <v>14</v>
      </c>
      <c r="X2002" t="s">
        <v>9664</v>
      </c>
      <c r="Y2002">
        <v>0.41434606441207572</v>
      </c>
      <c r="Z2002" t="str">
        <f>HYPERLINK("Melting_Curves/meltCurve_sp_Q86XP3_DDX42_HUMAN_.pdf", "Melting_Curves/meltCurve_sp_Q86XP3_DDX42_HUMAN_.pdf")</f>
        <v>Melting_Curves/meltCurve_sp_Q86XP3_DDX42_HUMAN_.pdf</v>
      </c>
      <c r="AA2002" t="s">
        <v>13465</v>
      </c>
      <c r="AB2002" t="s">
        <v>17242</v>
      </c>
    </row>
    <row r="2003" spans="1:28" x14ac:dyDescent="0.25">
      <c r="A2003" t="s">
        <v>2007</v>
      </c>
      <c r="B2003">
        <v>0.98876768158843997</v>
      </c>
      <c r="C2003">
        <v>0.92053884009707398</v>
      </c>
      <c r="D2003">
        <v>0.76753491418769004</v>
      </c>
      <c r="E2003">
        <v>0.42151963627028</v>
      </c>
      <c r="F2003">
        <v>0.14431616654128299</v>
      </c>
      <c r="G2003">
        <v>0.14528024615334401</v>
      </c>
      <c r="H2003">
        <v>8.1186112983560002E-2</v>
      </c>
      <c r="I2003">
        <v>4.9410754799758198E-2</v>
      </c>
      <c r="J2003">
        <v>6.2180317997266699E-2</v>
      </c>
      <c r="K2003">
        <v>0</v>
      </c>
      <c r="L2003">
        <v>951.00778766140502</v>
      </c>
      <c r="M2003">
        <v>19.5522996793221</v>
      </c>
      <c r="N2003">
        <v>48.865399146598399</v>
      </c>
      <c r="O2003">
        <v>48.1389546265832</v>
      </c>
      <c r="P2003">
        <v>-9.7150669497646197E-2</v>
      </c>
      <c r="Q2003">
        <v>4.3270502903368001E-2</v>
      </c>
      <c r="R2003">
        <v>0.99304387395078098</v>
      </c>
      <c r="S2003" t="s">
        <v>5835</v>
      </c>
      <c r="T2003" t="s">
        <v>7662</v>
      </c>
      <c r="U2003" t="s">
        <v>7662</v>
      </c>
      <c r="V2003" t="s">
        <v>7662</v>
      </c>
      <c r="W2003">
        <v>1</v>
      </c>
      <c r="X2003" t="s">
        <v>9665</v>
      </c>
      <c r="Y2003">
        <v>0.33287956901756671</v>
      </c>
      <c r="Z2003" t="str">
        <f>HYPERLINK("Melting_Curves/meltCurve_sp_Q86Y07_4_VRK2_HUMAN_.pdf", "Melting_Curves/meltCurve_sp_Q86Y07_4_VRK2_HUMAN_.pdf")</f>
        <v>Melting_Curves/meltCurve_sp_Q86Y07_4_VRK2_HUMAN_.pdf</v>
      </c>
      <c r="AA2003" t="s">
        <v>13466</v>
      </c>
      <c r="AB2003" t="s">
        <v>17243</v>
      </c>
    </row>
    <row r="2004" spans="1:28" x14ac:dyDescent="0.25">
      <c r="A2004" t="s">
        <v>2008</v>
      </c>
      <c r="B2004">
        <v>0.98876768158843997</v>
      </c>
      <c r="C2004">
        <v>1.0656548036093001</v>
      </c>
      <c r="D2004">
        <v>0.80756856358778195</v>
      </c>
      <c r="E2004">
        <v>0.40824139558787798</v>
      </c>
      <c r="F2004">
        <v>0.479974690047272</v>
      </c>
      <c r="G2004">
        <v>0.27775971012157502</v>
      </c>
      <c r="H2004">
        <v>0.18891881813192499</v>
      </c>
      <c r="I2004">
        <v>0.15155465404375301</v>
      </c>
      <c r="J2004">
        <v>0.17572047867635501</v>
      </c>
      <c r="K2004">
        <v>0.16085419405024001</v>
      </c>
      <c r="L2004">
        <v>856.00588450316297</v>
      </c>
      <c r="M2004">
        <v>17.382597483216699</v>
      </c>
      <c r="N2004">
        <v>50.465204468438102</v>
      </c>
      <c r="O2004">
        <v>48.607103091661003</v>
      </c>
      <c r="P2004">
        <v>-7.4068444419698995E-2</v>
      </c>
      <c r="Q2004">
        <v>0.17157405771487599</v>
      </c>
      <c r="R2004">
        <v>0.95768495290265498</v>
      </c>
      <c r="S2004" t="s">
        <v>5836</v>
      </c>
      <c r="T2004" t="s">
        <v>7662</v>
      </c>
      <c r="U2004" t="s">
        <v>7662</v>
      </c>
      <c r="V2004" t="s">
        <v>7662</v>
      </c>
      <c r="W2004">
        <v>2</v>
      </c>
      <c r="X2004" t="s">
        <v>9666</v>
      </c>
      <c r="Y2004">
        <v>0.44216586173289912</v>
      </c>
      <c r="Z2004" t="str">
        <f>HYPERLINK("Melting_Curves/meltCurve_sp_Q86Y56_2_HEAT2_HUMAN_.pdf", "Melting_Curves/meltCurve_sp_Q86Y56_2_HEAT2_HUMAN_.pdf")</f>
        <v>Melting_Curves/meltCurve_sp_Q86Y56_2_HEAT2_HUMAN_.pdf</v>
      </c>
      <c r="AA2004" t="s">
        <v>13467</v>
      </c>
      <c r="AB2004" t="s">
        <v>17244</v>
      </c>
    </row>
    <row r="2005" spans="1:28" x14ac:dyDescent="0.25">
      <c r="A2005" t="s">
        <v>2009</v>
      </c>
      <c r="B2005">
        <v>0.98876768158843997</v>
      </c>
      <c r="C2005">
        <v>1.09130483460056</v>
      </c>
      <c r="D2005">
        <v>0.89174328087150201</v>
      </c>
      <c r="E2005">
        <v>0.71015308244309505</v>
      </c>
      <c r="F2005">
        <v>0.78011306837743299</v>
      </c>
      <c r="G2005">
        <v>0.49671744932819301</v>
      </c>
      <c r="H2005">
        <v>0.41280455938177102</v>
      </c>
      <c r="I2005">
        <v>0.41947518186777999</v>
      </c>
      <c r="J2005">
        <v>0.71413480117859895</v>
      </c>
      <c r="K2005">
        <v>0.63030610296953904</v>
      </c>
      <c r="L2005">
        <v>1020.71634985705</v>
      </c>
      <c r="M2005">
        <v>20.459398276087398</v>
      </c>
      <c r="O2005">
        <v>49.420544629303599</v>
      </c>
      <c r="P2005">
        <v>-4.7570052629547797E-2</v>
      </c>
      <c r="Q2005">
        <v>0.54038358485295501</v>
      </c>
      <c r="R2005">
        <v>0.76934372451965305</v>
      </c>
      <c r="S2005" t="s">
        <v>5837</v>
      </c>
      <c r="T2005" t="s">
        <v>7662</v>
      </c>
      <c r="U2005" t="s">
        <v>7662</v>
      </c>
      <c r="V2005" t="s">
        <v>7662</v>
      </c>
      <c r="W2005">
        <v>4</v>
      </c>
      <c r="X2005" t="s">
        <v>9667</v>
      </c>
      <c r="Y2005">
        <v>0.69802359976582551</v>
      </c>
      <c r="Z2005" t="str">
        <f>HYPERLINK("Melting_Curves/meltCurve_sp_Q86Y82_STX12_HUMAN_.pdf", "Melting_Curves/meltCurve_sp_Q86Y82_STX12_HUMAN_.pdf")</f>
        <v>Melting_Curves/meltCurve_sp_Q86Y82_STX12_HUMAN_.pdf</v>
      </c>
      <c r="AA2005" t="s">
        <v>13468</v>
      </c>
      <c r="AB2005" t="s">
        <v>17245</v>
      </c>
    </row>
    <row r="2006" spans="1:28" x14ac:dyDescent="0.25">
      <c r="A2006" t="s">
        <v>2010</v>
      </c>
      <c r="B2006">
        <v>0.98876768158843997</v>
      </c>
      <c r="C2006">
        <v>0.85469978810609704</v>
      </c>
      <c r="D2006">
        <v>1.0760806141864701</v>
      </c>
      <c r="E2006">
        <v>0.937259030649231</v>
      </c>
      <c r="F2006">
        <v>0.20525685119038301</v>
      </c>
      <c r="G2006">
        <v>0.116835620916206</v>
      </c>
      <c r="H2006">
        <v>6.00663782272449E-2</v>
      </c>
      <c r="I2006">
        <v>2.94041325096892E-2</v>
      </c>
      <c r="J2006">
        <v>2.5857433386134498E-2</v>
      </c>
      <c r="K2006">
        <v>2.3222771327160101E-2</v>
      </c>
      <c r="L2006">
        <v>3756.7074017879299</v>
      </c>
      <c r="M2006">
        <v>72.508026281791501</v>
      </c>
      <c r="N2006">
        <v>51.887248303892399</v>
      </c>
      <c r="O2006">
        <v>51.7715486458847</v>
      </c>
      <c r="P2006">
        <v>-0.33241798739374201</v>
      </c>
      <c r="Q2006">
        <v>5.0599413853678603E-2</v>
      </c>
      <c r="R2006">
        <v>0.98292299002522798</v>
      </c>
      <c r="S2006" t="s">
        <v>5838</v>
      </c>
      <c r="T2006" t="s">
        <v>7662</v>
      </c>
      <c r="U2006" t="s">
        <v>7662</v>
      </c>
      <c r="V2006" t="s">
        <v>7662</v>
      </c>
      <c r="W2006">
        <v>14</v>
      </c>
      <c r="X2006" t="s">
        <v>9668</v>
      </c>
      <c r="Y2006">
        <v>0.42540456115460779</v>
      </c>
      <c r="Z2006" t="str">
        <f>HYPERLINK("Melting_Curves/meltCurve_sp_Q86YB7_ECHD2_HUMAN_.pdf", "Melting_Curves/meltCurve_sp_Q86YB7_ECHD2_HUMAN_.pdf")</f>
        <v>Melting_Curves/meltCurve_sp_Q86YB7_ECHD2_HUMAN_.pdf</v>
      </c>
      <c r="AA2006" t="s">
        <v>13469</v>
      </c>
      <c r="AB2006" t="s">
        <v>17246</v>
      </c>
    </row>
    <row r="2007" spans="1:28" x14ac:dyDescent="0.25">
      <c r="A2007" t="s">
        <v>2011</v>
      </c>
      <c r="B2007">
        <v>0.98876768158843997</v>
      </c>
      <c r="C2007">
        <v>0.923996011483316</v>
      </c>
      <c r="D2007">
        <v>0.85894102306189202</v>
      </c>
      <c r="E2007">
        <v>0.72514433931067002</v>
      </c>
      <c r="F2007">
        <v>0.54050864354018002</v>
      </c>
      <c r="G2007">
        <v>0.30725560676820102</v>
      </c>
      <c r="H2007">
        <v>0.167430284342967</v>
      </c>
      <c r="I2007">
        <v>0.123750609864363</v>
      </c>
      <c r="J2007">
        <v>0.128817877314919</v>
      </c>
      <c r="K2007">
        <v>0.148961901439609</v>
      </c>
      <c r="L2007">
        <v>732.28068363790896</v>
      </c>
      <c r="M2007">
        <v>13.9078024575599</v>
      </c>
      <c r="N2007">
        <v>53.312081980968898</v>
      </c>
      <c r="O2007">
        <v>51.599782375622198</v>
      </c>
      <c r="P2007">
        <v>-6.2065641489005098E-2</v>
      </c>
      <c r="Q2007">
        <v>7.9038367302982998E-2</v>
      </c>
      <c r="R2007">
        <v>0.99383093496858599</v>
      </c>
      <c r="S2007" t="s">
        <v>5839</v>
      </c>
      <c r="T2007" t="s">
        <v>7662</v>
      </c>
      <c r="U2007" t="s">
        <v>7662</v>
      </c>
      <c r="V2007" t="s">
        <v>7662</v>
      </c>
      <c r="W2007">
        <v>6</v>
      </c>
      <c r="X2007" t="s">
        <v>9669</v>
      </c>
      <c r="Y2007">
        <v>0.48979249486463861</v>
      </c>
      <c r="Z2007" t="str">
        <f>HYPERLINK("Melting_Curves/meltCurve_sp_Q86YH6_DLP1_HUMAN_.pdf", "Melting_Curves/meltCurve_sp_Q86YH6_DLP1_HUMAN_.pdf")</f>
        <v>Melting_Curves/meltCurve_sp_Q86YH6_DLP1_HUMAN_.pdf</v>
      </c>
      <c r="AA2007" t="s">
        <v>13470</v>
      </c>
      <c r="AB2007" t="s">
        <v>17247</v>
      </c>
    </row>
    <row r="2008" spans="1:28" x14ac:dyDescent="0.25">
      <c r="A2008" t="s">
        <v>2012</v>
      </c>
      <c r="B2008">
        <v>0.98876768158843997</v>
      </c>
      <c r="C2008">
        <v>1.0695502115607101</v>
      </c>
      <c r="D2008">
        <v>0.88261935338694697</v>
      </c>
      <c r="E2008">
        <v>0.71718906057038501</v>
      </c>
      <c r="F2008">
        <v>0.71534975751206298</v>
      </c>
      <c r="G2008">
        <v>0.44692123485344198</v>
      </c>
      <c r="H2008">
        <v>0.15085160336707901</v>
      </c>
      <c r="I2008">
        <v>0.123084366394101</v>
      </c>
      <c r="J2008">
        <v>9.7853944641083698E-2</v>
      </c>
      <c r="K2008">
        <v>9.9679796652679606E-2</v>
      </c>
      <c r="L2008">
        <v>727.22550119454104</v>
      </c>
      <c r="M2008">
        <v>13.150864193629101</v>
      </c>
      <c r="N2008">
        <v>55.307294627007899</v>
      </c>
      <c r="O2008">
        <v>54.0669099809475</v>
      </c>
      <c r="P2008">
        <v>-6.0756312161925202E-2</v>
      </c>
      <c r="Q2008">
        <v>1.0234262634657501E-3</v>
      </c>
      <c r="R2008">
        <v>0.97566650264141197</v>
      </c>
      <c r="S2008" t="s">
        <v>5840</v>
      </c>
      <c r="T2008" t="s">
        <v>7662</v>
      </c>
      <c r="U2008" t="s">
        <v>7662</v>
      </c>
      <c r="V2008" t="s">
        <v>7662</v>
      </c>
      <c r="W2008">
        <v>7</v>
      </c>
      <c r="X2008" t="s">
        <v>9670</v>
      </c>
      <c r="Y2008">
        <v>0.53163285067150001</v>
      </c>
      <c r="Z2008" t="str">
        <f>HYPERLINK("Melting_Curves/meltCurve_sp_Q86YJ6_4_THNS2_HUMAN_.pdf", "Melting_Curves/meltCurve_sp_Q86YJ6_4_THNS2_HUMAN_.pdf")</f>
        <v>Melting_Curves/meltCurve_sp_Q86YJ6_4_THNS2_HUMAN_.pdf</v>
      </c>
      <c r="AA2008" t="s">
        <v>13471</v>
      </c>
      <c r="AB2008" t="s">
        <v>17248</v>
      </c>
    </row>
    <row r="2009" spans="1:28" x14ac:dyDescent="0.25">
      <c r="A2009" t="s">
        <v>2013</v>
      </c>
      <c r="B2009">
        <v>0.98876768158843997</v>
      </c>
      <c r="C2009">
        <v>1.3943295798901101</v>
      </c>
      <c r="D2009">
        <v>0.81142725793662596</v>
      </c>
      <c r="E2009">
        <v>0.623401143309809</v>
      </c>
      <c r="F2009">
        <v>1.0728525301391201</v>
      </c>
      <c r="G2009">
        <v>0.73673772562308204</v>
      </c>
      <c r="H2009">
        <v>0.56478701738471104</v>
      </c>
      <c r="I2009">
        <v>0.672255463412604</v>
      </c>
      <c r="J2009">
        <v>0.983640412174974</v>
      </c>
      <c r="K2009">
        <v>0.86571740021447396</v>
      </c>
      <c r="L2009">
        <v>11403.103274163501</v>
      </c>
      <c r="M2009">
        <v>250</v>
      </c>
      <c r="O2009">
        <v>45.609495093482998</v>
      </c>
      <c r="P2009">
        <v>-0.28984582180878099</v>
      </c>
      <c r="Q2009">
        <v>0.78848445896572905</v>
      </c>
      <c r="R2009">
        <v>0.32893285896917901</v>
      </c>
      <c r="S2009" t="s">
        <v>5841</v>
      </c>
      <c r="T2009" t="s">
        <v>7662</v>
      </c>
      <c r="U2009" t="s">
        <v>7662</v>
      </c>
      <c r="V2009" t="s">
        <v>7662</v>
      </c>
      <c r="W2009">
        <v>1</v>
      </c>
      <c r="X2009" t="s">
        <v>9671</v>
      </c>
      <c r="Y2009">
        <v>0.82807181034404453</v>
      </c>
      <c r="Z2009" t="str">
        <f>HYPERLINK("Melting_Curves/meltCurve_sp_Q86YL5_TDRP_HUMAN_.pdf", "Melting_Curves/meltCurve_sp_Q86YL5_TDRP_HUMAN_.pdf")</f>
        <v>Melting_Curves/meltCurve_sp_Q86YL5_TDRP_HUMAN_.pdf</v>
      </c>
      <c r="AA2009" t="s">
        <v>13472</v>
      </c>
      <c r="AB2009" t="s">
        <v>17249</v>
      </c>
    </row>
    <row r="2010" spans="1:28" x14ac:dyDescent="0.25">
      <c r="A2010" t="s">
        <v>2014</v>
      </c>
      <c r="B2010">
        <v>0.98876768158843997</v>
      </c>
      <c r="C2010">
        <v>0.87966823424401697</v>
      </c>
      <c r="D2010">
        <v>0.98565300573092895</v>
      </c>
      <c r="E2010">
        <v>0.64439749346827002</v>
      </c>
      <c r="F2010">
        <v>0.608100558687935</v>
      </c>
      <c r="G2010">
        <v>0.41941847093200402</v>
      </c>
      <c r="H2010">
        <v>0.348702193578241</v>
      </c>
      <c r="I2010">
        <v>0.40413400570693803</v>
      </c>
      <c r="J2010">
        <v>0.444903741675095</v>
      </c>
      <c r="K2010">
        <v>0.55078890958552396</v>
      </c>
      <c r="L2010">
        <v>1176.55144059188</v>
      </c>
      <c r="M2010">
        <v>23.698150712919801</v>
      </c>
      <c r="N2010">
        <v>54.291696384400801</v>
      </c>
      <c r="O2010">
        <v>49.297923644532503</v>
      </c>
      <c r="P2010">
        <v>-6.8004011962254293E-2</v>
      </c>
      <c r="Q2010">
        <v>0.434149800171932</v>
      </c>
      <c r="R2010">
        <v>0.91114042675067697</v>
      </c>
      <c r="S2010" t="s">
        <v>5842</v>
      </c>
      <c r="T2010" t="s">
        <v>7662</v>
      </c>
      <c r="U2010" t="s">
        <v>7662</v>
      </c>
      <c r="V2010" t="s">
        <v>7662</v>
      </c>
      <c r="W2010">
        <v>3</v>
      </c>
      <c r="X2010" t="s">
        <v>9672</v>
      </c>
      <c r="Y2010">
        <v>0.62173224555652973</v>
      </c>
      <c r="Z2010" t="str">
        <f>HYPERLINK("Melting_Curves/meltCurve_sp_Q86YP4_2_P66A_HUMAN_.pdf", "Melting_Curves/meltCurve_sp_Q86YP4_2_P66A_HUMAN_.pdf")</f>
        <v>Melting_Curves/meltCurve_sp_Q86YP4_2_P66A_HUMAN_.pdf</v>
      </c>
      <c r="AA2010" t="s">
        <v>13473</v>
      </c>
      <c r="AB2010" t="s">
        <v>17250</v>
      </c>
    </row>
    <row r="2011" spans="1:28" x14ac:dyDescent="0.25">
      <c r="A2011" t="s">
        <v>2015</v>
      </c>
      <c r="B2011">
        <v>0.98876768158843997</v>
      </c>
      <c r="C2011">
        <v>1.0559832162382801</v>
      </c>
      <c r="D2011">
        <v>0.95636032774714796</v>
      </c>
      <c r="E2011">
        <v>0.66573984349868498</v>
      </c>
      <c r="F2011">
        <v>0.69257282720258695</v>
      </c>
      <c r="G2011">
        <v>0.246329748054579</v>
      </c>
      <c r="H2011">
        <v>0.182018180574128</v>
      </c>
      <c r="I2011">
        <v>0.205978681769208</v>
      </c>
      <c r="J2011">
        <v>0.243714522908551</v>
      </c>
      <c r="K2011">
        <v>0.22824201547759601</v>
      </c>
      <c r="L2011">
        <v>1027.4293407902101</v>
      </c>
      <c r="M2011">
        <v>19.5953620093069</v>
      </c>
      <c r="N2011">
        <v>53.731259417151101</v>
      </c>
      <c r="O2011">
        <v>51.8953684754986</v>
      </c>
      <c r="P2011">
        <v>-7.6591676537970596E-2</v>
      </c>
      <c r="Q2011">
        <v>0.18866249830766699</v>
      </c>
      <c r="R2011">
        <v>0.95889465336032398</v>
      </c>
      <c r="S2011" t="s">
        <v>5843</v>
      </c>
      <c r="T2011" t="s">
        <v>7662</v>
      </c>
      <c r="U2011" t="s">
        <v>7662</v>
      </c>
      <c r="V2011" t="s">
        <v>7662</v>
      </c>
      <c r="W2011">
        <v>1</v>
      </c>
      <c r="X2011" t="s">
        <v>9673</v>
      </c>
      <c r="Y2011">
        <v>0.53649954493631025</v>
      </c>
      <c r="Z2011" t="str">
        <f>HYPERLINK("Melting_Curves/meltCurve_sp_Q86YS7_C2CD5_HUMAN_.pdf", "Melting_Curves/meltCurve_sp_Q86YS7_C2CD5_HUMAN_.pdf")</f>
        <v>Melting_Curves/meltCurve_sp_Q86YS7_C2CD5_HUMAN_.pdf</v>
      </c>
      <c r="AA2011" t="s">
        <v>13474</v>
      </c>
      <c r="AB2011" t="s">
        <v>17251</v>
      </c>
    </row>
    <row r="2012" spans="1:28" x14ac:dyDescent="0.25">
      <c r="A2012" t="s">
        <v>2016</v>
      </c>
      <c r="B2012">
        <v>0.98876768158843997</v>
      </c>
      <c r="C2012">
        <v>0.94905698968661301</v>
      </c>
      <c r="D2012">
        <v>0.84964383673831201</v>
      </c>
      <c r="E2012">
        <v>0.55532660913811605</v>
      </c>
      <c r="F2012">
        <v>0.168233082695982</v>
      </c>
      <c r="G2012">
        <v>7.9646687133654498E-2</v>
      </c>
      <c r="H2012">
        <v>3.2228520762294897E-2</v>
      </c>
      <c r="I2012">
        <v>3.7109941217248102E-2</v>
      </c>
      <c r="J2012">
        <v>3.9849595753038897E-2</v>
      </c>
      <c r="K2012">
        <v>4.3395820028152697E-2</v>
      </c>
      <c r="L2012">
        <v>1201.6107371261401</v>
      </c>
      <c r="M2012">
        <v>24.074531059200901</v>
      </c>
      <c r="N2012">
        <v>50.036046695341199</v>
      </c>
      <c r="O2012">
        <v>49.571555429339497</v>
      </c>
      <c r="P2012">
        <v>-0.117900788139907</v>
      </c>
      <c r="Q2012">
        <v>2.8943218325153199E-2</v>
      </c>
      <c r="R2012">
        <v>0.99457595601905402</v>
      </c>
      <c r="S2012" t="s">
        <v>5844</v>
      </c>
      <c r="T2012" t="s">
        <v>7662</v>
      </c>
      <c r="U2012" t="s">
        <v>7662</v>
      </c>
      <c r="V2012" t="s">
        <v>7662</v>
      </c>
      <c r="W2012">
        <v>3</v>
      </c>
      <c r="X2012" t="s">
        <v>9674</v>
      </c>
      <c r="Y2012">
        <v>0.35913927662315709</v>
      </c>
      <c r="Z2012" t="str">
        <f>HYPERLINK("Melting_Curves/meltCurve_sp_Q8IUC4_RHPN2_HUMAN_.pdf", "Melting_Curves/meltCurve_sp_Q8IUC4_RHPN2_HUMAN_.pdf")</f>
        <v>Melting_Curves/meltCurve_sp_Q8IUC4_RHPN2_HUMAN_.pdf</v>
      </c>
      <c r="AA2012" t="s">
        <v>13475</v>
      </c>
      <c r="AB2012" t="s">
        <v>17252</v>
      </c>
    </row>
    <row r="2013" spans="1:28" x14ac:dyDescent="0.25">
      <c r="A2013" t="s">
        <v>2017</v>
      </c>
      <c r="B2013">
        <v>0.98876768158843997</v>
      </c>
      <c r="C2013">
        <v>0.92578386693790105</v>
      </c>
      <c r="D2013">
        <v>1.01564875654042</v>
      </c>
      <c r="E2013">
        <v>0.84885917611146799</v>
      </c>
      <c r="F2013">
        <v>0.64150153702130797</v>
      </c>
      <c r="G2013">
        <v>0.49616295898254098</v>
      </c>
      <c r="H2013">
        <v>0.43344768995689398</v>
      </c>
      <c r="I2013">
        <v>0.49974014009468298</v>
      </c>
      <c r="J2013">
        <v>0.54688981822899096</v>
      </c>
      <c r="K2013">
        <v>0.57172276390124199</v>
      </c>
      <c r="L2013">
        <v>1819.82297723438</v>
      </c>
      <c r="M2013">
        <v>35.485334586118903</v>
      </c>
      <c r="O2013">
        <v>51.121754183666603</v>
      </c>
      <c r="P2013">
        <v>-8.5319551594862306E-2</v>
      </c>
      <c r="Q2013">
        <v>0.508341050045511</v>
      </c>
      <c r="R2013">
        <v>0.95894390597243795</v>
      </c>
      <c r="S2013" t="s">
        <v>5845</v>
      </c>
      <c r="T2013" t="s">
        <v>7662</v>
      </c>
      <c r="U2013" t="s">
        <v>7662</v>
      </c>
      <c r="V2013" t="s">
        <v>7662</v>
      </c>
      <c r="W2013">
        <v>30</v>
      </c>
      <c r="X2013" t="s">
        <v>9675</v>
      </c>
      <c r="Y2013">
        <v>0.69548473452065962</v>
      </c>
      <c r="Z2013" t="str">
        <f>HYPERLINK("Melting_Curves/meltCurve_sp_Q8IUD2_RB6I2_HUMAN_.pdf", "Melting_Curves/meltCurve_sp_Q8IUD2_RB6I2_HUMAN_.pdf")</f>
        <v>Melting_Curves/meltCurve_sp_Q8IUD2_RB6I2_HUMAN_.pdf</v>
      </c>
      <c r="AA2013" t="s">
        <v>13476</v>
      </c>
      <c r="AB2013" t="s">
        <v>17253</v>
      </c>
    </row>
    <row r="2014" spans="1:28" x14ac:dyDescent="0.25">
      <c r="A2014" t="s">
        <v>2018</v>
      </c>
      <c r="B2014">
        <v>0.98876768158843997</v>
      </c>
      <c r="C2014">
        <v>0.94747644829521005</v>
      </c>
      <c r="D2014">
        <v>0.90854429971205797</v>
      </c>
      <c r="E2014">
        <v>0.87693221708280999</v>
      </c>
      <c r="F2014">
        <v>0.76576950670586796</v>
      </c>
      <c r="G2014">
        <v>0.58959304598011097</v>
      </c>
      <c r="H2014">
        <v>0.40494410547267401</v>
      </c>
      <c r="I2014">
        <v>0.26264565971632198</v>
      </c>
      <c r="J2014">
        <v>0.19912746502832501</v>
      </c>
      <c r="K2014">
        <v>0.25082498128196301</v>
      </c>
      <c r="L2014">
        <v>692.31609015334902</v>
      </c>
      <c r="M2014">
        <v>12.0802035262132</v>
      </c>
      <c r="N2014">
        <v>58.467136064633699</v>
      </c>
      <c r="O2014">
        <v>55.807281196735701</v>
      </c>
      <c r="P2014">
        <v>-4.83730985004747E-2</v>
      </c>
      <c r="Q2014">
        <v>0.106327288701746</v>
      </c>
      <c r="R2014">
        <v>0.98821956789376597</v>
      </c>
      <c r="S2014" t="s">
        <v>5846</v>
      </c>
      <c r="T2014" t="s">
        <v>7662</v>
      </c>
      <c r="U2014" t="s">
        <v>7662</v>
      </c>
      <c r="V2014" t="s">
        <v>7662</v>
      </c>
      <c r="W2014">
        <v>12</v>
      </c>
      <c r="X2014" t="s">
        <v>9676</v>
      </c>
      <c r="Y2014">
        <v>0.63595084260462142</v>
      </c>
      <c r="Z2014" t="str">
        <f>HYPERLINK("Melting_Curves/meltCurve_sp_Q8IUZ5_AT2L2_HUMAN_.pdf", "Melting_Curves/meltCurve_sp_Q8IUZ5_AT2L2_HUMAN_.pdf")</f>
        <v>Melting_Curves/meltCurve_sp_Q8IUZ5_AT2L2_HUMAN_.pdf</v>
      </c>
      <c r="AA2014" t="s">
        <v>13477</v>
      </c>
      <c r="AB2014" t="s">
        <v>17254</v>
      </c>
    </row>
    <row r="2015" spans="1:28" x14ac:dyDescent="0.25">
      <c r="A2015" t="s">
        <v>2019</v>
      </c>
      <c r="B2015">
        <v>0.98876768158843997</v>
      </c>
      <c r="C2015">
        <v>0.90482108219300905</v>
      </c>
      <c r="D2015">
        <v>0.81198028719641802</v>
      </c>
      <c r="E2015">
        <v>0.46687975213069599</v>
      </c>
      <c r="F2015">
        <v>0.169286796503827</v>
      </c>
      <c r="G2015">
        <v>8.1269322199659003E-2</v>
      </c>
      <c r="H2015">
        <v>4.3445835873024599E-2</v>
      </c>
      <c r="I2015">
        <v>3.6924999456112703E-2</v>
      </c>
      <c r="J2015">
        <v>3.7586458447297598E-2</v>
      </c>
      <c r="K2015">
        <v>4.06741997724899E-2</v>
      </c>
      <c r="L2015">
        <v>1004.6683551805</v>
      </c>
      <c r="M2015">
        <v>20.424653202537801</v>
      </c>
      <c r="N2015">
        <v>49.323787100199098</v>
      </c>
      <c r="O2015">
        <v>48.724752400091702</v>
      </c>
      <c r="P2015">
        <v>-0.101954771831995</v>
      </c>
      <c r="Q2015">
        <v>2.7141834174855099E-2</v>
      </c>
      <c r="R2015">
        <v>0.99633001094864604</v>
      </c>
      <c r="S2015" t="s">
        <v>5847</v>
      </c>
      <c r="T2015" t="s">
        <v>7662</v>
      </c>
      <c r="U2015" t="s">
        <v>7662</v>
      </c>
      <c r="V2015" t="s">
        <v>7662</v>
      </c>
      <c r="W2015">
        <v>6</v>
      </c>
      <c r="X2015" t="s">
        <v>9677</v>
      </c>
      <c r="Y2015">
        <v>0.33816844151559711</v>
      </c>
      <c r="Z2015" t="str">
        <f>HYPERLINK("Melting_Curves/meltCurve_sp_Q8IV08_PLD3_HUMAN_.pdf", "Melting_Curves/meltCurve_sp_Q8IV08_PLD3_HUMAN_.pdf")</f>
        <v>Melting_Curves/meltCurve_sp_Q8IV08_PLD3_HUMAN_.pdf</v>
      </c>
      <c r="AA2015" t="s">
        <v>13478</v>
      </c>
      <c r="AB2015" t="s">
        <v>17255</v>
      </c>
    </row>
    <row r="2016" spans="1:28" x14ac:dyDescent="0.25">
      <c r="A2016" t="s">
        <v>2020</v>
      </c>
      <c r="B2016">
        <v>0.98876768158843997</v>
      </c>
      <c r="C2016">
        <v>1.03760979595373</v>
      </c>
      <c r="D2016">
        <v>0.89161798870048703</v>
      </c>
      <c r="E2016">
        <v>0.62940952926350302</v>
      </c>
      <c r="F2016">
        <v>8.1941068166788894E-2</v>
      </c>
      <c r="G2016">
        <v>4.1711149446895399E-2</v>
      </c>
      <c r="H2016">
        <v>1.5903301150142199E-2</v>
      </c>
      <c r="I2016">
        <v>1.5726215481831701E-2</v>
      </c>
      <c r="J2016">
        <v>1.8110047322941199E-2</v>
      </c>
      <c r="K2016">
        <v>1.5312663595644E-2</v>
      </c>
      <c r="L2016">
        <v>2541.1106008360698</v>
      </c>
      <c r="M2016">
        <v>50.357399166710998</v>
      </c>
      <c r="N2016">
        <v>50.498434268131902</v>
      </c>
      <c r="O2016">
        <v>50.382126254319502</v>
      </c>
      <c r="P2016">
        <v>-0.24536024882964699</v>
      </c>
      <c r="Q2016">
        <v>1.8077899563947199E-2</v>
      </c>
      <c r="R2016">
        <v>0.99324855932076195</v>
      </c>
      <c r="S2016" t="s">
        <v>5848</v>
      </c>
      <c r="T2016" t="s">
        <v>7662</v>
      </c>
      <c r="U2016" t="s">
        <v>7662</v>
      </c>
      <c r="V2016" t="s">
        <v>7662</v>
      </c>
      <c r="W2016">
        <v>2</v>
      </c>
      <c r="X2016" t="s">
        <v>9678</v>
      </c>
      <c r="Y2016">
        <v>0.36264549855687361</v>
      </c>
      <c r="Z2016" t="str">
        <f>HYPERLINK("Melting_Curves/meltCurve_sp_Q8IV38_ANKY2_HUMAN_.pdf", "Melting_Curves/meltCurve_sp_Q8IV38_ANKY2_HUMAN_.pdf")</f>
        <v>Melting_Curves/meltCurve_sp_Q8IV38_ANKY2_HUMAN_.pdf</v>
      </c>
      <c r="AA2016" t="s">
        <v>13479</v>
      </c>
      <c r="AB2016" t="s">
        <v>17256</v>
      </c>
    </row>
    <row r="2017" spans="1:28" x14ac:dyDescent="0.25">
      <c r="A2017" t="s">
        <v>2021</v>
      </c>
      <c r="B2017">
        <v>0.98876768158843997</v>
      </c>
      <c r="C2017">
        <v>1.03373605643806</v>
      </c>
      <c r="D2017">
        <v>0.83849083936130198</v>
      </c>
      <c r="E2017">
        <v>0.61045333148556902</v>
      </c>
      <c r="F2017">
        <v>0.76140852208849696</v>
      </c>
      <c r="G2017">
        <v>0.47382494805738201</v>
      </c>
      <c r="H2017">
        <v>0.35136930010220302</v>
      </c>
      <c r="I2017">
        <v>0.41632370119989098</v>
      </c>
      <c r="J2017">
        <v>0.65420554166910605</v>
      </c>
      <c r="K2017">
        <v>0.52142184763211497</v>
      </c>
      <c r="L2017">
        <v>854.44474596689395</v>
      </c>
      <c r="M2017">
        <v>17.506118455537202</v>
      </c>
      <c r="N2017">
        <v>62.245454405856599</v>
      </c>
      <c r="O2017">
        <v>48.184815933953701</v>
      </c>
      <c r="P2017">
        <v>-4.6453959058563601E-2</v>
      </c>
      <c r="Q2017">
        <v>0.48857827427205702</v>
      </c>
      <c r="R2017">
        <v>0.79694058775353804</v>
      </c>
      <c r="S2017" t="s">
        <v>5849</v>
      </c>
      <c r="T2017" t="s">
        <v>7662</v>
      </c>
      <c r="U2017" t="s">
        <v>7662</v>
      </c>
      <c r="V2017" t="s">
        <v>7662</v>
      </c>
      <c r="W2017">
        <v>3</v>
      </c>
      <c r="X2017" t="s">
        <v>9679</v>
      </c>
      <c r="Y2017">
        <v>0.64813966363029107</v>
      </c>
      <c r="Z2017" t="str">
        <f>HYPERLINK("Melting_Curves/meltCurve_sp_Q8IV50_LYSM2_HUMAN_.pdf", "Melting_Curves/meltCurve_sp_Q8IV50_LYSM2_HUMAN_.pdf")</f>
        <v>Melting_Curves/meltCurve_sp_Q8IV50_LYSM2_HUMAN_.pdf</v>
      </c>
      <c r="AA2017" t="s">
        <v>13480</v>
      </c>
      <c r="AB2017" t="s">
        <v>17257</v>
      </c>
    </row>
    <row r="2018" spans="1:28" x14ac:dyDescent="0.25">
      <c r="A2018" t="s">
        <v>2022</v>
      </c>
      <c r="B2018">
        <v>0.98876768158843997</v>
      </c>
      <c r="C2018">
        <v>0.95038838347889198</v>
      </c>
      <c r="D2018">
        <v>0.88707366385410602</v>
      </c>
      <c r="E2018">
        <v>0.68460805621441601</v>
      </c>
      <c r="F2018">
        <v>0.47828219646419401</v>
      </c>
      <c r="G2018">
        <v>0.28044390540870001</v>
      </c>
      <c r="H2018">
        <v>0.119087714511346</v>
      </c>
      <c r="I2018">
        <v>0.101142958778666</v>
      </c>
      <c r="J2018">
        <v>0.11194837667856899</v>
      </c>
      <c r="K2018">
        <v>0.105973359663821</v>
      </c>
      <c r="L2018">
        <v>803.55191448010498</v>
      </c>
      <c r="M2018">
        <v>15.4176088556625</v>
      </c>
      <c r="N2018">
        <v>52.613802753336401</v>
      </c>
      <c r="O2018">
        <v>51.265868606910402</v>
      </c>
      <c r="P2018">
        <v>-7.01179570779841E-2</v>
      </c>
      <c r="Q2018">
        <v>6.7473303859981903E-2</v>
      </c>
      <c r="R2018">
        <v>0.99765421775755403</v>
      </c>
      <c r="S2018" t="s">
        <v>5850</v>
      </c>
      <c r="T2018" t="s">
        <v>7662</v>
      </c>
      <c r="U2018" t="s">
        <v>7662</v>
      </c>
      <c r="V2018" t="s">
        <v>7662</v>
      </c>
      <c r="W2018">
        <v>4</v>
      </c>
      <c r="X2018" t="s">
        <v>9680</v>
      </c>
      <c r="Y2018">
        <v>0.46409440164535692</v>
      </c>
      <c r="Z2018" t="str">
        <f>HYPERLINK("Melting_Curves/meltCurve_sp_Q8IVD9_NUDC3_HUMAN_.pdf", "Melting_Curves/meltCurve_sp_Q8IVD9_NUDC3_HUMAN_.pdf")</f>
        <v>Melting_Curves/meltCurve_sp_Q8IVD9_NUDC3_HUMAN_.pdf</v>
      </c>
      <c r="AA2018" t="s">
        <v>13481</v>
      </c>
      <c r="AB2018" t="s">
        <v>17258</v>
      </c>
    </row>
    <row r="2019" spans="1:28" x14ac:dyDescent="0.25">
      <c r="A2019" t="s">
        <v>2023</v>
      </c>
      <c r="B2019">
        <v>0.98876768158843997</v>
      </c>
      <c r="C2019">
        <v>0.95634401311026296</v>
      </c>
      <c r="D2019">
        <v>0.79037388801146502</v>
      </c>
      <c r="E2019">
        <v>0.60379007458695499</v>
      </c>
      <c r="F2019">
        <v>0.67298466280369695</v>
      </c>
      <c r="G2019">
        <v>0.45092155187737099</v>
      </c>
      <c r="H2019">
        <v>0.38531019622095503</v>
      </c>
      <c r="I2019">
        <v>0.42161006861190198</v>
      </c>
      <c r="J2019">
        <v>0.70768753671808204</v>
      </c>
      <c r="K2019">
        <v>0.53674657591034103</v>
      </c>
      <c r="L2019">
        <v>914.16366549495297</v>
      </c>
      <c r="M2019">
        <v>19.4322860520594</v>
      </c>
      <c r="O2019">
        <v>46.553845281946501</v>
      </c>
      <c r="P2019">
        <v>-5.0990245731481601E-2</v>
      </c>
      <c r="Q2019">
        <v>0.51138935966344301</v>
      </c>
      <c r="R2019">
        <v>0.79381500488961299</v>
      </c>
      <c r="S2019" t="s">
        <v>5851</v>
      </c>
      <c r="T2019" t="s">
        <v>7662</v>
      </c>
      <c r="U2019" t="s">
        <v>7662</v>
      </c>
      <c r="V2019" t="s">
        <v>7662</v>
      </c>
      <c r="W2019">
        <v>2</v>
      </c>
      <c r="X2019" t="s">
        <v>9681</v>
      </c>
      <c r="Y2019">
        <v>0.63371613548135053</v>
      </c>
      <c r="Z2019" t="str">
        <f>HYPERLINK("Melting_Curves/meltCurve_sp_Q8IVF2_3_AHNK2_HUMAN_.pdf", "Melting_Curves/meltCurve_sp_Q8IVF2_3_AHNK2_HUMAN_.pdf")</f>
        <v>Melting_Curves/meltCurve_sp_Q8IVF2_3_AHNK2_HUMAN_.pdf</v>
      </c>
      <c r="AA2019" t="s">
        <v>13482</v>
      </c>
      <c r="AB2019" t="s">
        <v>17259</v>
      </c>
    </row>
    <row r="2020" spans="1:28" x14ac:dyDescent="0.25">
      <c r="A2020" t="s">
        <v>2024</v>
      </c>
      <c r="B2020">
        <v>0.98876768158843997</v>
      </c>
      <c r="C2020">
        <v>0.92484009967622505</v>
      </c>
      <c r="D2020">
        <v>0.798476926714346</v>
      </c>
      <c r="E2020">
        <v>0.36232232444639101</v>
      </c>
      <c r="F2020">
        <v>0.14130538899374201</v>
      </c>
      <c r="G2020">
        <v>8.7525406358615304E-2</v>
      </c>
      <c r="H2020">
        <v>5.6476768390239303E-2</v>
      </c>
      <c r="I2020">
        <v>5.0347465578310699E-2</v>
      </c>
      <c r="J2020">
        <v>6.3204560947339297E-2</v>
      </c>
      <c r="K2020">
        <v>6.2129371911547701E-2</v>
      </c>
      <c r="L2020">
        <v>1152.6976476436801</v>
      </c>
      <c r="M2020">
        <v>23.813729345421901</v>
      </c>
      <c r="N2020">
        <v>48.638826945360798</v>
      </c>
      <c r="O2020">
        <v>48.0672695735948</v>
      </c>
      <c r="P2020">
        <v>-0.11715249154230201</v>
      </c>
      <c r="Q2020">
        <v>5.4140464811725603E-2</v>
      </c>
      <c r="R2020">
        <v>0.99867211918698295</v>
      </c>
      <c r="S2020" t="s">
        <v>5852</v>
      </c>
      <c r="T2020" t="s">
        <v>7662</v>
      </c>
      <c r="U2020" t="s">
        <v>7662</v>
      </c>
      <c r="V2020" t="s">
        <v>7662</v>
      </c>
      <c r="W2020">
        <v>14</v>
      </c>
      <c r="X2020" t="s">
        <v>9682</v>
      </c>
      <c r="Y2020">
        <v>0.32838833624608199</v>
      </c>
      <c r="Z2020" t="str">
        <f>HYPERLINK("Melting_Curves/meltCurve_sp_Q8IVH4_MMAA_HUMAN_.pdf", "Melting_Curves/meltCurve_sp_Q8IVH4_MMAA_HUMAN_.pdf")</f>
        <v>Melting_Curves/meltCurve_sp_Q8IVH4_MMAA_HUMAN_.pdf</v>
      </c>
      <c r="AA2020" t="s">
        <v>13483</v>
      </c>
      <c r="AB2020" t="s">
        <v>17260</v>
      </c>
    </row>
    <row r="2021" spans="1:28" x14ac:dyDescent="0.25">
      <c r="A2021" t="s">
        <v>2025</v>
      </c>
      <c r="B2021">
        <v>0.98876768158843997</v>
      </c>
      <c r="C2021">
        <v>1.07302757992085</v>
      </c>
      <c r="D2021">
        <v>0.97001583015597304</v>
      </c>
      <c r="E2021">
        <v>0.78138036064466898</v>
      </c>
      <c r="F2021">
        <v>0.77743192487635604</v>
      </c>
      <c r="G2021">
        <v>0.56255341651100199</v>
      </c>
      <c r="H2021">
        <v>0.43377627800400398</v>
      </c>
      <c r="I2021">
        <v>0.46211389731736602</v>
      </c>
      <c r="J2021">
        <v>0.58794493506327905</v>
      </c>
      <c r="K2021">
        <v>0.64056142533123706</v>
      </c>
      <c r="L2021">
        <v>1131.6802048260499</v>
      </c>
      <c r="M2021">
        <v>21.9421753889259</v>
      </c>
      <c r="O2021">
        <v>51.152921964944802</v>
      </c>
      <c r="P2021">
        <v>-5.0473361651565601E-2</v>
      </c>
      <c r="Q2021">
        <v>0.52934449517913296</v>
      </c>
      <c r="R2021">
        <v>0.89253966250239902</v>
      </c>
      <c r="S2021" t="s">
        <v>5853</v>
      </c>
      <c r="T2021" t="s">
        <v>7662</v>
      </c>
      <c r="U2021" t="s">
        <v>7662</v>
      </c>
      <c r="V2021" t="s">
        <v>7662</v>
      </c>
      <c r="W2021">
        <v>8</v>
      </c>
      <c r="X2021" t="s">
        <v>9683</v>
      </c>
      <c r="Y2021">
        <v>0.71644054077998109</v>
      </c>
      <c r="Z2021" t="str">
        <f>HYPERLINK("Melting_Curves/meltCurve_sp_Q8IVM0_CCD50_HUMAN_.pdf", "Melting_Curves/meltCurve_sp_Q8IVM0_CCD50_HUMAN_.pdf")</f>
        <v>Melting_Curves/meltCurve_sp_Q8IVM0_CCD50_HUMAN_.pdf</v>
      </c>
      <c r="AA2021" t="s">
        <v>13484</v>
      </c>
      <c r="AB2021" t="s">
        <v>17261</v>
      </c>
    </row>
    <row r="2022" spans="1:28" x14ac:dyDescent="0.25">
      <c r="A2022" t="s">
        <v>2026</v>
      </c>
      <c r="B2022">
        <v>0.98876768158843997</v>
      </c>
      <c r="C2022">
        <v>1.06599540855067</v>
      </c>
      <c r="D2022">
        <v>0.81389267429799494</v>
      </c>
      <c r="E2022">
        <v>0.61817555429706905</v>
      </c>
      <c r="F2022">
        <v>0.54931691692772</v>
      </c>
      <c r="G2022">
        <v>0.324027730781974</v>
      </c>
      <c r="H2022">
        <v>0.18409079050248101</v>
      </c>
      <c r="I2022">
        <v>7.31858889746234E-2</v>
      </c>
      <c r="J2022">
        <v>0.136826637813103</v>
      </c>
      <c r="K2022">
        <v>5.501304808344E-2</v>
      </c>
      <c r="L2022">
        <v>642.086945429362</v>
      </c>
      <c r="M2022">
        <v>12.137864562337599</v>
      </c>
      <c r="N2022">
        <v>53.074454433619898</v>
      </c>
      <c r="O2022">
        <v>51.525038854783098</v>
      </c>
      <c r="P2022">
        <v>-5.7751505806832401E-2</v>
      </c>
      <c r="Q2022">
        <v>1.9609256180053401E-2</v>
      </c>
      <c r="R2022">
        <v>0.97885953599020203</v>
      </c>
      <c r="S2022" t="s">
        <v>5854</v>
      </c>
      <c r="T2022" t="s">
        <v>7662</v>
      </c>
      <c r="U2022" t="s">
        <v>7662</v>
      </c>
      <c r="V2022" t="s">
        <v>7662</v>
      </c>
      <c r="W2022">
        <v>4</v>
      </c>
      <c r="X2022" t="s">
        <v>9684</v>
      </c>
      <c r="Y2022">
        <v>0.46892744663266511</v>
      </c>
      <c r="Z2022" t="str">
        <f>HYPERLINK("Melting_Curves/meltCurve_sp_Q8IVS2_FABD_HUMAN_.pdf", "Melting_Curves/meltCurve_sp_Q8IVS2_FABD_HUMAN_.pdf")</f>
        <v>Melting_Curves/meltCurve_sp_Q8IVS2_FABD_HUMAN_.pdf</v>
      </c>
      <c r="AA2022" t="s">
        <v>13485</v>
      </c>
      <c r="AB2022" t="s">
        <v>17262</v>
      </c>
    </row>
    <row r="2023" spans="1:28" x14ac:dyDescent="0.25">
      <c r="A2023" t="s">
        <v>2027</v>
      </c>
      <c r="B2023">
        <v>0.98876768158843997</v>
      </c>
      <c r="C2023">
        <v>0.76081864688795797</v>
      </c>
      <c r="D2023">
        <v>0.34168702943170998</v>
      </c>
      <c r="E2023">
        <v>9.5766102055692096E-2</v>
      </c>
      <c r="F2023">
        <v>5.2318186053294899E-2</v>
      </c>
      <c r="G2023">
        <v>2.66496652135568E-2</v>
      </c>
      <c r="H2023">
        <v>1.8975475881516799E-2</v>
      </c>
      <c r="I2023">
        <v>1.5759900010501801E-2</v>
      </c>
      <c r="J2023">
        <v>1.9509216258718199E-2</v>
      </c>
      <c r="K2023">
        <v>1.6648084590648898E-2</v>
      </c>
      <c r="L2023">
        <v>1185.1128605357901</v>
      </c>
      <c r="M2023">
        <v>26.466749451443</v>
      </c>
      <c r="N2023">
        <v>44.858036280439798</v>
      </c>
      <c r="O2023">
        <v>44.5241387197972</v>
      </c>
      <c r="P2023">
        <v>-0.14515917513120299</v>
      </c>
      <c r="Q2023">
        <v>2.3224525980597901E-2</v>
      </c>
      <c r="R2023">
        <v>0.99876879983744704</v>
      </c>
      <c r="S2023" t="s">
        <v>5855</v>
      </c>
      <c r="T2023" t="s">
        <v>7662</v>
      </c>
      <c r="U2023" t="s">
        <v>7662</v>
      </c>
      <c r="V2023" t="s">
        <v>7662</v>
      </c>
      <c r="W2023">
        <v>8</v>
      </c>
      <c r="X2023" t="s">
        <v>9685</v>
      </c>
      <c r="Y2023">
        <v>0.18746249213646321</v>
      </c>
      <c r="Z2023" t="str">
        <f>HYPERLINK("Melting_Curves/meltCurve_sp_Q8IVS8_GLCTK_HUMAN_.pdf", "Melting_Curves/meltCurve_sp_Q8IVS8_GLCTK_HUMAN_.pdf")</f>
        <v>Melting_Curves/meltCurve_sp_Q8IVS8_GLCTK_HUMAN_.pdf</v>
      </c>
      <c r="AA2023" t="s">
        <v>13486</v>
      </c>
      <c r="AB2023" t="s">
        <v>17263</v>
      </c>
    </row>
    <row r="2024" spans="1:28" x14ac:dyDescent="0.25">
      <c r="A2024" t="s">
        <v>2028</v>
      </c>
      <c r="B2024">
        <v>0.98876768158843997</v>
      </c>
      <c r="C2024">
        <v>0.91414431051938105</v>
      </c>
      <c r="D2024">
        <v>0.93214999322652903</v>
      </c>
      <c r="E2024">
        <v>0.84130998700961002</v>
      </c>
      <c r="F2024">
        <v>0.58905945736758503</v>
      </c>
      <c r="G2024">
        <v>0.43501396295919298</v>
      </c>
      <c r="H2024">
        <v>0.40978801046442598</v>
      </c>
      <c r="I2024">
        <v>0.45817099102890302</v>
      </c>
      <c r="J2024">
        <v>0.54605882722439103</v>
      </c>
      <c r="K2024">
        <v>0.61990459724747105</v>
      </c>
      <c r="L2024">
        <v>2027.3877098200501</v>
      </c>
      <c r="M2024">
        <v>39.802683618253397</v>
      </c>
      <c r="N2024">
        <v>57.1979730910816</v>
      </c>
      <c r="O2024">
        <v>50.807893886546303</v>
      </c>
      <c r="P2024">
        <v>-9.9179018579232905E-2</v>
      </c>
      <c r="Q2024">
        <v>0.49359536710407997</v>
      </c>
      <c r="R2024">
        <v>0.90549710301057595</v>
      </c>
      <c r="S2024" t="s">
        <v>5856</v>
      </c>
      <c r="T2024" t="s">
        <v>7662</v>
      </c>
      <c r="U2024" t="s">
        <v>7662</v>
      </c>
      <c r="V2024" t="s">
        <v>7662</v>
      </c>
      <c r="W2024">
        <v>16</v>
      </c>
      <c r="X2024" t="s">
        <v>9686</v>
      </c>
      <c r="Y2024">
        <v>0.67999672893097185</v>
      </c>
      <c r="Z2024" t="str">
        <f>HYPERLINK("Melting_Curves/meltCurve_sp_Q8IW45_NNRD_HUMAN_.pdf", "Melting_Curves/meltCurve_sp_Q8IW45_NNRD_HUMAN_.pdf")</f>
        <v>Melting_Curves/meltCurve_sp_Q8IW45_NNRD_HUMAN_.pdf</v>
      </c>
      <c r="AA2024" t="s">
        <v>13487</v>
      </c>
      <c r="AB2024" t="s">
        <v>17264</v>
      </c>
    </row>
    <row r="2025" spans="1:28" x14ac:dyDescent="0.25">
      <c r="A2025" t="s">
        <v>2029</v>
      </c>
      <c r="B2025">
        <v>0.98876768158843997</v>
      </c>
      <c r="C2025">
        <v>1.15663589415849</v>
      </c>
      <c r="D2025">
        <v>0.90508168390224597</v>
      </c>
      <c r="E2025">
        <v>0.69766525083671305</v>
      </c>
      <c r="F2025">
        <v>0.89668110964113201</v>
      </c>
      <c r="G2025">
        <v>0.66154642747452297</v>
      </c>
      <c r="H2025">
        <v>0.47730050529529899</v>
      </c>
      <c r="I2025">
        <v>0.59705373671594397</v>
      </c>
      <c r="J2025">
        <v>0.65033758435168398</v>
      </c>
      <c r="K2025">
        <v>0.82480937657634101</v>
      </c>
      <c r="L2025">
        <v>998.01662394571201</v>
      </c>
      <c r="M2025">
        <v>20.2182209492106</v>
      </c>
      <c r="O2025">
        <v>48.886954611194597</v>
      </c>
      <c r="P2025">
        <v>-3.59227141428069E-2</v>
      </c>
      <c r="Q2025">
        <v>0.65257140727080398</v>
      </c>
      <c r="R2025">
        <v>0.63377124449217204</v>
      </c>
      <c r="S2025" t="s">
        <v>5857</v>
      </c>
      <c r="T2025" t="s">
        <v>7662</v>
      </c>
      <c r="U2025" t="s">
        <v>7662</v>
      </c>
      <c r="V2025" t="s">
        <v>7662</v>
      </c>
      <c r="W2025">
        <v>4</v>
      </c>
      <c r="X2025" t="s">
        <v>9687</v>
      </c>
      <c r="Y2025">
        <v>0.76574323185083371</v>
      </c>
      <c r="Z2025" t="str">
        <f>HYPERLINK("Melting_Curves/meltCurve_sp_Q8IWB9_TEX2_HUMAN_.pdf", "Melting_Curves/meltCurve_sp_Q8IWB9_TEX2_HUMAN_.pdf")</f>
        <v>Melting_Curves/meltCurve_sp_Q8IWB9_TEX2_HUMAN_.pdf</v>
      </c>
      <c r="AA2025" t="s">
        <v>13488</v>
      </c>
      <c r="AB2025" t="s">
        <v>17265</v>
      </c>
    </row>
    <row r="2026" spans="1:28" x14ac:dyDescent="0.25">
      <c r="A2026" t="s">
        <v>2030</v>
      </c>
      <c r="B2026">
        <v>0.98876768158843997</v>
      </c>
      <c r="C2026">
        <v>1.0952031506201501</v>
      </c>
      <c r="D2026">
        <v>0.88198775110414995</v>
      </c>
      <c r="E2026">
        <v>0.68090575122336605</v>
      </c>
      <c r="F2026">
        <v>0.82501163248577902</v>
      </c>
      <c r="G2026">
        <v>0.43367342638036399</v>
      </c>
      <c r="H2026">
        <v>0.15967218553350501</v>
      </c>
      <c r="I2026">
        <v>0.107914002174354</v>
      </c>
      <c r="J2026">
        <v>0.13069231363994799</v>
      </c>
      <c r="K2026">
        <v>0.11645867881595499</v>
      </c>
      <c r="L2026">
        <v>794.335866567626</v>
      </c>
      <c r="M2026">
        <v>14.3112201498866</v>
      </c>
      <c r="N2026">
        <v>55.705983680185597</v>
      </c>
      <c r="O2026">
        <v>54.454413616985597</v>
      </c>
      <c r="P2026">
        <v>-6.4052592759625701E-2</v>
      </c>
      <c r="Q2026">
        <v>2.5233964095135099E-2</v>
      </c>
      <c r="R2026">
        <v>0.94765331048895496</v>
      </c>
      <c r="S2026" t="s">
        <v>5858</v>
      </c>
      <c r="T2026" t="s">
        <v>7662</v>
      </c>
      <c r="U2026" t="s">
        <v>7662</v>
      </c>
      <c r="V2026" t="s">
        <v>7662</v>
      </c>
      <c r="W2026">
        <v>12</v>
      </c>
      <c r="X2026" t="s">
        <v>9688</v>
      </c>
      <c r="Y2026">
        <v>0.54788437754301611</v>
      </c>
      <c r="Z2026" t="str">
        <f>HYPERLINK("Melting_Curves/meltCurve_sp_Q8IWE2_NXP20_HUMAN_.pdf", "Melting_Curves/meltCurve_sp_Q8IWE2_NXP20_HUMAN_.pdf")</f>
        <v>Melting_Curves/meltCurve_sp_Q8IWE2_NXP20_HUMAN_.pdf</v>
      </c>
      <c r="AA2026" t="s">
        <v>13489</v>
      </c>
      <c r="AB2026" t="s">
        <v>17266</v>
      </c>
    </row>
    <row r="2027" spans="1:28" x14ac:dyDescent="0.25">
      <c r="A2027" t="s">
        <v>2031</v>
      </c>
      <c r="B2027">
        <v>0.98876768158843997</v>
      </c>
      <c r="C2027">
        <v>0.882426166136273</v>
      </c>
      <c r="D2027">
        <v>0.96931958589033096</v>
      </c>
      <c r="E2027">
        <v>0.74827761363419298</v>
      </c>
      <c r="F2027">
        <v>0.56010071038771603</v>
      </c>
      <c r="G2027">
        <v>0.42764638996697102</v>
      </c>
      <c r="H2027">
        <v>0.35119645423921703</v>
      </c>
      <c r="I2027">
        <v>0.39422420921048701</v>
      </c>
      <c r="J2027">
        <v>0.49597996044631498</v>
      </c>
      <c r="K2027">
        <v>0.54830422801586098</v>
      </c>
      <c r="L2027">
        <v>1467.4731895218499</v>
      </c>
      <c r="M2027">
        <v>29.151996255048498</v>
      </c>
      <c r="N2027">
        <v>54.332357660483602</v>
      </c>
      <c r="O2027">
        <v>50.103608583666798</v>
      </c>
      <c r="P2027">
        <v>-8.1262906832162501E-2</v>
      </c>
      <c r="Q2027">
        <v>0.44133718588628701</v>
      </c>
      <c r="R2027">
        <v>0.924276581157638</v>
      </c>
      <c r="S2027" t="s">
        <v>5859</v>
      </c>
      <c r="T2027" t="s">
        <v>7662</v>
      </c>
      <c r="U2027" t="s">
        <v>7662</v>
      </c>
      <c r="V2027" t="s">
        <v>7662</v>
      </c>
      <c r="W2027">
        <v>20</v>
      </c>
      <c r="X2027" t="s">
        <v>9689</v>
      </c>
      <c r="Y2027">
        <v>0.63754644740561939</v>
      </c>
      <c r="Z2027" t="str">
        <f>HYPERLINK("Melting_Curves/meltCurve_sp_Q8IWJ2_GCC2_HUMAN_.pdf", "Melting_Curves/meltCurve_sp_Q8IWJ2_GCC2_HUMAN_.pdf")</f>
        <v>Melting_Curves/meltCurve_sp_Q8IWJ2_GCC2_HUMAN_.pdf</v>
      </c>
      <c r="AA2027" t="s">
        <v>13490</v>
      </c>
      <c r="AB2027" t="s">
        <v>17267</v>
      </c>
    </row>
    <row r="2028" spans="1:28" x14ac:dyDescent="0.25">
      <c r="A2028" t="s">
        <v>2032</v>
      </c>
      <c r="B2028">
        <v>0.98876768158843997</v>
      </c>
      <c r="C2028">
        <v>1.10133519528929</v>
      </c>
      <c r="D2028">
        <v>0.87473938633502302</v>
      </c>
      <c r="E2028">
        <v>0.79198805614233703</v>
      </c>
      <c r="F2028">
        <v>0.85749317014718796</v>
      </c>
      <c r="G2028">
        <v>0.56947107035060995</v>
      </c>
      <c r="H2028">
        <v>0.378636643997453</v>
      </c>
      <c r="I2028">
        <v>0.33866809099648498</v>
      </c>
      <c r="J2028">
        <v>0.37550471125866203</v>
      </c>
      <c r="K2028">
        <v>0.33863550962813799</v>
      </c>
      <c r="L2028">
        <v>811.00247324786801</v>
      </c>
      <c r="M2028">
        <v>14.659665680248001</v>
      </c>
      <c r="N2028">
        <v>58.741964887746001</v>
      </c>
      <c r="O2028">
        <v>54.323175768485598</v>
      </c>
      <c r="P2028">
        <v>-4.8105548210237999E-2</v>
      </c>
      <c r="Q2028">
        <v>0.28703494793087703</v>
      </c>
      <c r="R2028">
        <v>0.943274128889939</v>
      </c>
      <c r="S2028" t="s">
        <v>5860</v>
      </c>
      <c r="T2028" t="s">
        <v>7662</v>
      </c>
      <c r="U2028" t="s">
        <v>7662</v>
      </c>
      <c r="V2028" t="s">
        <v>7662</v>
      </c>
      <c r="W2028">
        <v>13</v>
      </c>
      <c r="X2028" t="s">
        <v>9690</v>
      </c>
      <c r="Y2028">
        <v>0.66489605989617195</v>
      </c>
      <c r="Z2028" t="str">
        <f>HYPERLINK("Melting_Curves/meltCurve_sp_Q8IWL3_HSC20_HUMAN_.pdf", "Melting_Curves/meltCurve_sp_Q8IWL3_HSC20_HUMAN_.pdf")</f>
        <v>Melting_Curves/meltCurve_sp_Q8IWL3_HSC20_HUMAN_.pdf</v>
      </c>
      <c r="AA2028" t="s">
        <v>13491</v>
      </c>
      <c r="AB2028" t="s">
        <v>17268</v>
      </c>
    </row>
    <row r="2029" spans="1:28" x14ac:dyDescent="0.25">
      <c r="A2029" t="s">
        <v>2033</v>
      </c>
      <c r="B2029">
        <v>0.98876768158843997</v>
      </c>
      <c r="C2029">
        <v>1.08320214989603</v>
      </c>
      <c r="D2029">
        <v>0.99602822548488401</v>
      </c>
      <c r="E2029">
        <v>0.77696606012873304</v>
      </c>
      <c r="F2029">
        <v>0.69656300132587801</v>
      </c>
      <c r="G2029">
        <v>0.63685310469715395</v>
      </c>
      <c r="H2029">
        <v>0.45416182678608003</v>
      </c>
      <c r="I2029">
        <v>0.46955548464983299</v>
      </c>
      <c r="J2029">
        <v>0.64540944816099</v>
      </c>
      <c r="K2029">
        <v>0.60705739906364597</v>
      </c>
      <c r="L2029">
        <v>1250.46682901895</v>
      </c>
      <c r="M2029">
        <v>24.668556623320999</v>
      </c>
      <c r="O2029">
        <v>50.361119960491102</v>
      </c>
      <c r="P2029">
        <v>-5.4344932626255699E-2</v>
      </c>
      <c r="Q2029">
        <v>0.556223220992204</v>
      </c>
      <c r="R2029">
        <v>0.90020203834716594</v>
      </c>
      <c r="S2029" t="s">
        <v>5861</v>
      </c>
      <c r="T2029" t="s">
        <v>7662</v>
      </c>
      <c r="U2029" t="s">
        <v>7662</v>
      </c>
      <c r="V2029" t="s">
        <v>7662</v>
      </c>
      <c r="W2029">
        <v>5</v>
      </c>
      <c r="X2029" t="s">
        <v>9691</v>
      </c>
      <c r="Y2029">
        <v>0.71846876941490712</v>
      </c>
      <c r="Z2029" t="str">
        <f>HYPERLINK("Melting_Curves/meltCurve_sp_Q8IWU2_LMTK2_HUMAN_.pdf", "Melting_Curves/meltCurve_sp_Q8IWU2_LMTK2_HUMAN_.pdf")</f>
        <v>Melting_Curves/meltCurve_sp_Q8IWU2_LMTK2_HUMAN_.pdf</v>
      </c>
      <c r="AA2029" t="s">
        <v>13492</v>
      </c>
      <c r="AB2029" t="s">
        <v>17269</v>
      </c>
    </row>
    <row r="2030" spans="1:28" x14ac:dyDescent="0.25">
      <c r="A2030" t="s">
        <v>2034</v>
      </c>
      <c r="B2030">
        <v>0.98876768158843997</v>
      </c>
      <c r="C2030">
        <v>0.82306041660747098</v>
      </c>
      <c r="D2030">
        <v>0.82382511304331096</v>
      </c>
      <c r="E2030">
        <v>0.61241187536260999</v>
      </c>
      <c r="F2030">
        <v>0.362237650851368</v>
      </c>
      <c r="G2030">
        <v>0.15895456620633699</v>
      </c>
      <c r="H2030">
        <v>4.77511417858019E-2</v>
      </c>
      <c r="I2030">
        <v>7.1387536878818394E-2</v>
      </c>
      <c r="J2030">
        <v>2.89203178731702E-2</v>
      </c>
      <c r="K2030">
        <v>0</v>
      </c>
      <c r="L2030">
        <v>714.69850144909901</v>
      </c>
      <c r="M2030">
        <v>14.043649487136401</v>
      </c>
      <c r="N2030">
        <v>50.891221709066201</v>
      </c>
      <c r="O2030">
        <v>49.892657903031498</v>
      </c>
      <c r="P2030">
        <v>-7.0378518771936599E-2</v>
      </c>
      <c r="Q2030">
        <v>0</v>
      </c>
      <c r="R2030">
        <v>0.98691855490036196</v>
      </c>
      <c r="S2030" t="s">
        <v>5862</v>
      </c>
      <c r="T2030" t="s">
        <v>7662</v>
      </c>
      <c r="U2030" t="s">
        <v>7662</v>
      </c>
      <c r="V2030" t="s">
        <v>7662</v>
      </c>
      <c r="W2030">
        <v>1</v>
      </c>
      <c r="X2030" t="s">
        <v>9692</v>
      </c>
      <c r="Y2030">
        <v>0.38886388993079879</v>
      </c>
      <c r="Z2030" t="str">
        <f>HYPERLINK("Melting_Curves/meltCurve_sp_Q8IWV7_UBR1_HUMAN_.pdf", "Melting_Curves/meltCurve_sp_Q8IWV7_UBR1_HUMAN_.pdf")</f>
        <v>Melting_Curves/meltCurve_sp_Q8IWV7_UBR1_HUMAN_.pdf</v>
      </c>
      <c r="AA2030" t="s">
        <v>13493</v>
      </c>
      <c r="AB2030" t="s">
        <v>17270</v>
      </c>
    </row>
    <row r="2031" spans="1:28" x14ac:dyDescent="0.25">
      <c r="A2031" t="s">
        <v>2035</v>
      </c>
      <c r="B2031">
        <v>0.98876768158843997</v>
      </c>
      <c r="C2031">
        <v>1.0322003662649699</v>
      </c>
      <c r="D2031">
        <v>0.895300912905304</v>
      </c>
      <c r="E2031">
        <v>0.640255684413508</v>
      </c>
      <c r="F2031">
        <v>0.56103544983570297</v>
      </c>
      <c r="G2031">
        <v>0.34178189181422303</v>
      </c>
      <c r="H2031">
        <v>0.271709521326435</v>
      </c>
      <c r="I2031">
        <v>0.28727580101546901</v>
      </c>
      <c r="J2031">
        <v>0.34486703596570001</v>
      </c>
      <c r="K2031">
        <v>0.46374706256522902</v>
      </c>
      <c r="L2031">
        <v>1063.29013801879</v>
      </c>
      <c r="M2031">
        <v>21.250413153320299</v>
      </c>
      <c r="N2031">
        <v>52.808218445625499</v>
      </c>
      <c r="O2031">
        <v>49.599433843323197</v>
      </c>
      <c r="P2031">
        <v>-7.1110118495277E-2</v>
      </c>
      <c r="Q2031">
        <v>0.33611995702744601</v>
      </c>
      <c r="R2031">
        <v>0.95454184804319397</v>
      </c>
      <c r="S2031" t="s">
        <v>5863</v>
      </c>
      <c r="T2031" t="s">
        <v>7662</v>
      </c>
      <c r="U2031" t="s">
        <v>7662</v>
      </c>
      <c r="V2031" t="s">
        <v>7662</v>
      </c>
      <c r="W2031">
        <v>6</v>
      </c>
      <c r="X2031" t="s">
        <v>9693</v>
      </c>
      <c r="Y2031">
        <v>0.56641995593259675</v>
      </c>
      <c r="Z2031" t="str">
        <f>HYPERLINK("Melting_Curves/meltCurve_sp_Q8IWW6_2_RHG12_HUMAN_.pdf", "Melting_Curves/meltCurve_sp_Q8IWW6_2_RHG12_HUMAN_.pdf")</f>
        <v>Melting_Curves/meltCurve_sp_Q8IWW6_2_RHG12_HUMAN_.pdf</v>
      </c>
      <c r="AA2031" t="s">
        <v>13494</v>
      </c>
      <c r="AB2031" t="s">
        <v>17271</v>
      </c>
    </row>
    <row r="2032" spans="1:28" x14ac:dyDescent="0.25">
      <c r="A2032" t="s">
        <v>2036</v>
      </c>
      <c r="B2032">
        <v>0.98876768158843997</v>
      </c>
      <c r="C2032">
        <v>0.90539475395444802</v>
      </c>
      <c r="D2032">
        <v>0.90344228837313001</v>
      </c>
      <c r="E2032">
        <v>0.85690021960129803</v>
      </c>
      <c r="F2032">
        <v>0.71149526488329595</v>
      </c>
      <c r="G2032">
        <v>0.56414985796477202</v>
      </c>
      <c r="H2032">
        <v>0.45538391408892798</v>
      </c>
      <c r="I2032">
        <v>0.499472734176023</v>
      </c>
      <c r="J2032">
        <v>0.56846068904908598</v>
      </c>
      <c r="K2032">
        <v>0.59959133067742998</v>
      </c>
      <c r="L2032">
        <v>961.44138517533304</v>
      </c>
      <c r="M2032">
        <v>18.717500265499002</v>
      </c>
      <c r="O2032">
        <v>50.790366464861101</v>
      </c>
      <c r="P2032">
        <v>-4.4168242537911302E-2</v>
      </c>
      <c r="Q2032">
        <v>0.52061411137665503</v>
      </c>
      <c r="R2032">
        <v>0.91733762893151904</v>
      </c>
      <c r="S2032" t="s">
        <v>5864</v>
      </c>
      <c r="T2032" t="s">
        <v>7662</v>
      </c>
      <c r="U2032" t="s">
        <v>7662</v>
      </c>
      <c r="V2032" t="s">
        <v>7662</v>
      </c>
      <c r="W2032">
        <v>23</v>
      </c>
      <c r="X2032" t="s">
        <v>9694</v>
      </c>
      <c r="Y2032">
        <v>0.70973698598275825</v>
      </c>
      <c r="Z2032" t="str">
        <f>HYPERLINK("Melting_Curves/meltCurve_sp_Q8IWW8_HOT_HUMAN_.pdf", "Melting_Curves/meltCurve_sp_Q8IWW8_HOT_HUMAN_.pdf")</f>
        <v>Melting_Curves/meltCurve_sp_Q8IWW8_HOT_HUMAN_.pdf</v>
      </c>
      <c r="AA2032" t="s">
        <v>13495</v>
      </c>
      <c r="AB2032" t="s">
        <v>17272</v>
      </c>
    </row>
    <row r="2033" spans="1:28" x14ac:dyDescent="0.25">
      <c r="A2033" t="s">
        <v>2037</v>
      </c>
      <c r="B2033">
        <v>0.98876768158843997</v>
      </c>
      <c r="C2033">
        <v>1.03594291362508</v>
      </c>
      <c r="D2033">
        <v>0.88416732281874399</v>
      </c>
      <c r="E2033">
        <v>0.81497142206034701</v>
      </c>
      <c r="F2033">
        <v>1.0169283652185901</v>
      </c>
      <c r="G2033">
        <v>0.79462744212360903</v>
      </c>
      <c r="H2033">
        <v>0.59128003581460198</v>
      </c>
      <c r="I2033">
        <v>0.73224089281464899</v>
      </c>
      <c r="J2033">
        <v>0.73623702852130402</v>
      </c>
      <c r="K2033">
        <v>0.94580606576894199</v>
      </c>
      <c r="L2033">
        <v>678.95590626592798</v>
      </c>
      <c r="M2033">
        <v>13.4899753936343</v>
      </c>
      <c r="O2033">
        <v>49.263009319880702</v>
      </c>
      <c r="P2033">
        <v>-1.63870522433146E-2</v>
      </c>
      <c r="Q2033">
        <v>0.76066612687896495</v>
      </c>
      <c r="R2033">
        <v>0.39745247011218898</v>
      </c>
      <c r="S2033" t="s">
        <v>5865</v>
      </c>
      <c r="T2033" t="s">
        <v>7662</v>
      </c>
      <c r="U2033" t="s">
        <v>7662</v>
      </c>
      <c r="V2033" t="s">
        <v>7662</v>
      </c>
      <c r="W2033">
        <v>5</v>
      </c>
      <c r="X2033" t="s">
        <v>9695</v>
      </c>
      <c r="Y2033">
        <v>0.84983372703575144</v>
      </c>
      <c r="Z2033" t="str">
        <f>HYPERLINK("Melting_Curves/meltCurve_sp_Q8IWX8_CHERP_HUMAN_.pdf", "Melting_Curves/meltCurve_sp_Q8IWX8_CHERP_HUMAN_.pdf")</f>
        <v>Melting_Curves/meltCurve_sp_Q8IWX8_CHERP_HUMAN_.pdf</v>
      </c>
      <c r="AA2033" t="s">
        <v>13496</v>
      </c>
      <c r="AB2033" t="s">
        <v>17273</v>
      </c>
    </row>
    <row r="2034" spans="1:28" x14ac:dyDescent="0.25">
      <c r="A2034" t="s">
        <v>2038</v>
      </c>
      <c r="B2034">
        <v>0.98876768158843997</v>
      </c>
      <c r="C2034">
        <v>0.92470738394299701</v>
      </c>
      <c r="D2034">
        <v>0.79279281621991404</v>
      </c>
      <c r="E2034">
        <v>0.52922040613068799</v>
      </c>
      <c r="F2034">
        <v>0.41818206510023198</v>
      </c>
      <c r="G2034">
        <v>0.21935377396522199</v>
      </c>
      <c r="H2034">
        <v>0.18461551647989499</v>
      </c>
      <c r="I2034">
        <v>0.21948088034434299</v>
      </c>
      <c r="J2034">
        <v>0.34671412226993498</v>
      </c>
      <c r="K2034">
        <v>0.32050038725712399</v>
      </c>
      <c r="L2034">
        <v>923.21104253880696</v>
      </c>
      <c r="M2034">
        <v>19.0535654841058</v>
      </c>
      <c r="N2034">
        <v>50.318779292589198</v>
      </c>
      <c r="O2034">
        <v>47.929200947265599</v>
      </c>
      <c r="P2034">
        <v>-7.4215754751475904E-2</v>
      </c>
      <c r="Q2034">
        <v>0.253271384490868</v>
      </c>
      <c r="R2034">
        <v>0.96516492030179102</v>
      </c>
      <c r="S2034" t="s">
        <v>5866</v>
      </c>
      <c r="T2034" t="s">
        <v>7662</v>
      </c>
      <c r="U2034" t="s">
        <v>7662</v>
      </c>
      <c r="V2034" t="s">
        <v>7662</v>
      </c>
      <c r="W2034">
        <v>6</v>
      </c>
      <c r="X2034" t="s">
        <v>9696</v>
      </c>
      <c r="Y2034">
        <v>0.47532730387679378</v>
      </c>
      <c r="Z2034" t="str">
        <f>HYPERLINK("Melting_Curves/meltCurve_sp_Q8IWZ3_ANKH1_HUMAN_.pdf", "Melting_Curves/meltCurve_sp_Q8IWZ3_ANKH1_HUMAN_.pdf")</f>
        <v>Melting_Curves/meltCurve_sp_Q8IWZ3_ANKH1_HUMAN_.pdf</v>
      </c>
      <c r="AA2034" t="s">
        <v>13497</v>
      </c>
      <c r="AB2034" t="s">
        <v>17274</v>
      </c>
    </row>
    <row r="2035" spans="1:28" x14ac:dyDescent="0.25">
      <c r="A2035" t="s">
        <v>2039</v>
      </c>
      <c r="B2035">
        <v>0.98876768158843997</v>
      </c>
      <c r="C2035">
        <v>0.96222905949343696</v>
      </c>
      <c r="D2035">
        <v>0.84367476028723398</v>
      </c>
      <c r="E2035">
        <v>0.71588760129474904</v>
      </c>
      <c r="F2035">
        <v>0.56695686792241695</v>
      </c>
      <c r="G2035">
        <v>0.36381791526359403</v>
      </c>
      <c r="H2035">
        <v>0.25841719498827098</v>
      </c>
      <c r="I2035">
        <v>0.264459637146152</v>
      </c>
      <c r="J2035">
        <v>0.28080275338838201</v>
      </c>
      <c r="K2035">
        <v>0.35168155254223898</v>
      </c>
      <c r="L2035">
        <v>803.24038877619296</v>
      </c>
      <c r="M2035">
        <v>15.7135760400785</v>
      </c>
      <c r="N2035">
        <v>53.676093490161598</v>
      </c>
      <c r="O2035">
        <v>50.311198084431197</v>
      </c>
      <c r="P2035">
        <v>-5.7506017032409602E-2</v>
      </c>
      <c r="Q2035">
        <v>0.26357873155982098</v>
      </c>
      <c r="R2035">
        <v>0.9814175163919</v>
      </c>
      <c r="S2035" t="s">
        <v>5867</v>
      </c>
      <c r="T2035" t="s">
        <v>7662</v>
      </c>
      <c r="U2035" t="s">
        <v>7662</v>
      </c>
      <c r="V2035" t="s">
        <v>7662</v>
      </c>
      <c r="W2035">
        <v>3</v>
      </c>
      <c r="X2035" t="s">
        <v>9697</v>
      </c>
      <c r="Y2035">
        <v>0.55217930259800674</v>
      </c>
      <c r="Z2035" t="str">
        <f>HYPERLINK("Melting_Curves/meltCurve_sp_Q8IWZ8_SUGP1_HUMAN_.pdf", "Melting_Curves/meltCurve_sp_Q8IWZ8_SUGP1_HUMAN_.pdf")</f>
        <v>Melting_Curves/meltCurve_sp_Q8IWZ8_SUGP1_HUMAN_.pdf</v>
      </c>
      <c r="AA2035" t="s">
        <v>13498</v>
      </c>
      <c r="AB2035" t="s">
        <v>17275</v>
      </c>
    </row>
    <row r="2036" spans="1:28" x14ac:dyDescent="0.25">
      <c r="A2036" t="s">
        <v>2040</v>
      </c>
      <c r="B2036">
        <v>0.98876768158843997</v>
      </c>
      <c r="C2036">
        <v>0.96396783367612304</v>
      </c>
      <c r="D2036">
        <v>0.89630778601436001</v>
      </c>
      <c r="E2036">
        <v>0.80835441928442198</v>
      </c>
      <c r="F2036">
        <v>0.37438804856532498</v>
      </c>
      <c r="G2036">
        <v>0.14193245177908601</v>
      </c>
      <c r="H2036">
        <v>9.6652501977347496E-2</v>
      </c>
      <c r="I2036">
        <v>6.8541897979433095E-2</v>
      </c>
      <c r="J2036">
        <v>8.4724260695579104E-2</v>
      </c>
      <c r="K2036">
        <v>3.3334406057637801E-2</v>
      </c>
      <c r="L2036">
        <v>1547.1315383333199</v>
      </c>
      <c r="M2036">
        <v>29.794782181107401</v>
      </c>
      <c r="N2036">
        <v>52.180793170204801</v>
      </c>
      <c r="O2036">
        <v>51.694005739678602</v>
      </c>
      <c r="P2036">
        <v>-0.13434760155707701</v>
      </c>
      <c r="Q2036">
        <v>6.7632458771126003E-2</v>
      </c>
      <c r="R2036">
        <v>0.99235356416417497</v>
      </c>
      <c r="S2036" t="s">
        <v>5868</v>
      </c>
      <c r="T2036" t="s">
        <v>7662</v>
      </c>
      <c r="U2036" t="s">
        <v>7662</v>
      </c>
      <c r="V2036" t="s">
        <v>7662</v>
      </c>
      <c r="W2036">
        <v>4</v>
      </c>
      <c r="X2036" t="s">
        <v>9698</v>
      </c>
      <c r="Y2036">
        <v>0.44431954525185752</v>
      </c>
      <c r="Z2036" t="str">
        <f>HYPERLINK("Melting_Curves/meltCurve_sp_Q8IX04_6_UEVLD_HUMAN_.pdf", "Melting_Curves/meltCurve_sp_Q8IX04_6_UEVLD_HUMAN_.pdf")</f>
        <v>Melting_Curves/meltCurve_sp_Q8IX04_6_UEVLD_HUMAN_.pdf</v>
      </c>
      <c r="AA2036" t="s">
        <v>13499</v>
      </c>
      <c r="AB2036" t="s">
        <v>17276</v>
      </c>
    </row>
    <row r="2037" spans="1:28" x14ac:dyDescent="0.25">
      <c r="A2037" t="s">
        <v>2041</v>
      </c>
      <c r="B2037">
        <v>0.98876768158843997</v>
      </c>
      <c r="C2037">
        <v>1.19536293152819</v>
      </c>
      <c r="D2037">
        <v>0.835782473775178</v>
      </c>
      <c r="E2037">
        <v>0.55820345911497404</v>
      </c>
      <c r="F2037">
        <v>0.673812880588606</v>
      </c>
      <c r="G2037">
        <v>0.45025704208268003</v>
      </c>
      <c r="H2037">
        <v>0.39706062777290402</v>
      </c>
      <c r="I2037">
        <v>0.495615970853933</v>
      </c>
      <c r="J2037">
        <v>1.0049216024760299</v>
      </c>
      <c r="K2037">
        <v>0.60612271420547503</v>
      </c>
      <c r="L2037">
        <v>11517.0277216341</v>
      </c>
      <c r="M2037">
        <v>250</v>
      </c>
      <c r="O2037">
        <v>46.065187398831704</v>
      </c>
      <c r="P2037">
        <v>-0.54542411945649405</v>
      </c>
      <c r="Q2037">
        <v>0.59799918467295399</v>
      </c>
      <c r="R2037">
        <v>0.57070809336310602</v>
      </c>
      <c r="S2037" t="s">
        <v>5869</v>
      </c>
      <c r="T2037" t="s">
        <v>7662</v>
      </c>
      <c r="U2037" t="s">
        <v>7662</v>
      </c>
      <c r="V2037" t="s">
        <v>7662</v>
      </c>
      <c r="W2037">
        <v>2</v>
      </c>
      <c r="X2037" t="s">
        <v>9699</v>
      </c>
      <c r="Y2037">
        <v>0.67934453675964368</v>
      </c>
      <c r="Z2037" t="str">
        <f>HYPERLINK("Melting_Curves/meltCurve_sp_Q8IX12_2_CCAR1_HUMAN_.pdf", "Melting_Curves/meltCurve_sp_Q8IX12_2_CCAR1_HUMAN_.pdf")</f>
        <v>Melting_Curves/meltCurve_sp_Q8IX12_2_CCAR1_HUMAN_.pdf</v>
      </c>
      <c r="AA2037" t="s">
        <v>13500</v>
      </c>
      <c r="AB2037" t="s">
        <v>17277</v>
      </c>
    </row>
    <row r="2038" spans="1:28" x14ac:dyDescent="0.25">
      <c r="A2038" t="s">
        <v>2042</v>
      </c>
      <c r="B2038">
        <v>0.98876768158843997</v>
      </c>
      <c r="C2038">
        <v>0.80600694941644002</v>
      </c>
      <c r="D2038">
        <v>0.79395963925826496</v>
      </c>
      <c r="E2038">
        <v>0.41239740967965399</v>
      </c>
      <c r="F2038">
        <v>0.221716224304116</v>
      </c>
      <c r="G2038">
        <v>2.79223619866386E-2</v>
      </c>
      <c r="H2038">
        <v>0</v>
      </c>
      <c r="I2038">
        <v>4.2246152039819199E-2</v>
      </c>
      <c r="J2038">
        <v>0</v>
      </c>
      <c r="K2038">
        <v>0</v>
      </c>
      <c r="L2038">
        <v>832.02368421664403</v>
      </c>
      <c r="M2038">
        <v>17.0212181260618</v>
      </c>
      <c r="N2038">
        <v>48.881557932826503</v>
      </c>
      <c r="O2038">
        <v>48.2218108309089</v>
      </c>
      <c r="P2038">
        <v>-8.8249818600822802E-2</v>
      </c>
      <c r="Q2038">
        <v>0</v>
      </c>
      <c r="R2038">
        <v>0.98616365661414895</v>
      </c>
      <c r="S2038" t="s">
        <v>5870</v>
      </c>
      <c r="T2038" t="s">
        <v>7662</v>
      </c>
      <c r="U2038" t="s">
        <v>7662</v>
      </c>
      <c r="V2038" t="s">
        <v>7662</v>
      </c>
      <c r="W2038">
        <v>1</v>
      </c>
      <c r="X2038" t="s">
        <v>9700</v>
      </c>
      <c r="Y2038">
        <v>0.31545749093046349</v>
      </c>
      <c r="Z2038" t="str">
        <f>HYPERLINK("Melting_Curves/meltCurve_sp_Q8IXH7_4_NELFD_HUMAN_.pdf", "Melting_Curves/meltCurve_sp_Q8IXH7_4_NELFD_HUMAN_.pdf")</f>
        <v>Melting_Curves/meltCurve_sp_Q8IXH7_4_NELFD_HUMAN_.pdf</v>
      </c>
      <c r="AA2038" t="s">
        <v>13501</v>
      </c>
      <c r="AB2038" t="s">
        <v>17278</v>
      </c>
    </row>
    <row r="2039" spans="1:28" x14ac:dyDescent="0.25">
      <c r="A2039" t="s">
        <v>2043</v>
      </c>
      <c r="B2039">
        <v>0.98876768158843997</v>
      </c>
      <c r="C2039">
        <v>0.89839971055799805</v>
      </c>
      <c r="D2039">
        <v>0.83595094544234805</v>
      </c>
      <c r="E2039">
        <v>0.85996003915897101</v>
      </c>
      <c r="F2039">
        <v>0.37624021993888901</v>
      </c>
      <c r="G2039">
        <v>0.243623198032794</v>
      </c>
      <c r="H2039">
        <v>0.17517025137883799</v>
      </c>
      <c r="I2039">
        <v>0.17390020157825301</v>
      </c>
      <c r="J2039">
        <v>0.14589033995841899</v>
      </c>
      <c r="K2039">
        <v>0.163422693912362</v>
      </c>
      <c r="L2039">
        <v>2110.7035950146601</v>
      </c>
      <c r="M2039">
        <v>40.822154528602603</v>
      </c>
      <c r="N2039">
        <v>52.252049231005003</v>
      </c>
      <c r="O2039">
        <v>51.581242079613098</v>
      </c>
      <c r="P2039">
        <v>-0.16344119487138301</v>
      </c>
      <c r="Q2039">
        <v>0.173930551313599</v>
      </c>
      <c r="R2039">
        <v>0.96562936453330594</v>
      </c>
      <c r="S2039" t="s">
        <v>5871</v>
      </c>
      <c r="T2039" t="s">
        <v>7662</v>
      </c>
      <c r="U2039" t="s">
        <v>7662</v>
      </c>
      <c r="V2039" t="s">
        <v>7662</v>
      </c>
      <c r="W2039">
        <v>1</v>
      </c>
      <c r="X2039" t="s">
        <v>9701</v>
      </c>
      <c r="Y2039">
        <v>0.49906431546491548</v>
      </c>
      <c r="Z2039" t="str">
        <f>HYPERLINK("Melting_Curves/meltCurve_sp_Q8IXJ6_2_SIR2_HUMAN_.pdf", "Melting_Curves/meltCurve_sp_Q8IXJ6_2_SIR2_HUMAN_.pdf")</f>
        <v>Melting_Curves/meltCurve_sp_Q8IXJ6_2_SIR2_HUMAN_.pdf</v>
      </c>
      <c r="AA2039" t="s">
        <v>13502</v>
      </c>
      <c r="AB2039" t="s">
        <v>17279</v>
      </c>
    </row>
    <row r="2040" spans="1:28" x14ac:dyDescent="0.25">
      <c r="A2040" t="s">
        <v>2044</v>
      </c>
      <c r="B2040">
        <v>0.98876768158843997</v>
      </c>
      <c r="C2040">
        <v>1.094256175697</v>
      </c>
      <c r="D2040">
        <v>0.93730212346840103</v>
      </c>
      <c r="E2040">
        <v>0.78344922955171004</v>
      </c>
      <c r="F2040">
        <v>0.93291804947604795</v>
      </c>
      <c r="G2040">
        <v>0.68544371788342495</v>
      </c>
      <c r="H2040">
        <v>0.53017759691120803</v>
      </c>
      <c r="I2040">
        <v>0.65929246470740499</v>
      </c>
      <c r="J2040">
        <v>0.747519936166258</v>
      </c>
      <c r="K2040">
        <v>0.94203833637323497</v>
      </c>
      <c r="L2040">
        <v>1043.3610747729699</v>
      </c>
      <c r="M2040">
        <v>20.945316924454701</v>
      </c>
      <c r="O2040">
        <v>49.366159578953699</v>
      </c>
      <c r="P2040">
        <v>-2.9256110184032898E-2</v>
      </c>
      <c r="Q2040">
        <v>0.72419172085912997</v>
      </c>
      <c r="R2040">
        <v>0.51960152849306795</v>
      </c>
      <c r="S2040" t="s">
        <v>5872</v>
      </c>
      <c r="T2040" t="s">
        <v>7662</v>
      </c>
      <c r="U2040" t="s">
        <v>7662</v>
      </c>
      <c r="V2040" t="s">
        <v>7662</v>
      </c>
      <c r="W2040">
        <v>7</v>
      </c>
      <c r="X2040" t="s">
        <v>9702</v>
      </c>
      <c r="Y2040">
        <v>0.81792164062967343</v>
      </c>
      <c r="Z2040" t="str">
        <f>HYPERLINK("Melting_Curves/meltCurve_sp_Q8IXQ4_K1704_HUMAN_.pdf", "Melting_Curves/meltCurve_sp_Q8IXQ4_K1704_HUMAN_.pdf")</f>
        <v>Melting_Curves/meltCurve_sp_Q8IXQ4_K1704_HUMAN_.pdf</v>
      </c>
      <c r="AA2040" t="s">
        <v>13503</v>
      </c>
      <c r="AB2040" t="s">
        <v>17280</v>
      </c>
    </row>
    <row r="2041" spans="1:28" x14ac:dyDescent="0.25">
      <c r="A2041" t="s">
        <v>2045</v>
      </c>
      <c r="B2041">
        <v>0.98876768158843997</v>
      </c>
      <c r="C2041">
        <v>0.82192947734124799</v>
      </c>
      <c r="D2041">
        <v>0.76519612868695297</v>
      </c>
      <c r="E2041">
        <v>0.39758113534794598</v>
      </c>
      <c r="F2041">
        <v>0.179114230752977</v>
      </c>
      <c r="G2041">
        <v>0.117689638675289</v>
      </c>
      <c r="H2041">
        <v>7.1347522487748505E-2</v>
      </c>
      <c r="I2041">
        <v>5.8648474996750397E-2</v>
      </c>
      <c r="J2041">
        <v>9.6797824555229395E-2</v>
      </c>
      <c r="K2041">
        <v>6.7608117519707495E-2</v>
      </c>
      <c r="L2041">
        <v>850.94065609329004</v>
      </c>
      <c r="M2041">
        <v>17.648351699139901</v>
      </c>
      <c r="N2041">
        <v>48.556738258209599</v>
      </c>
      <c r="O2041">
        <v>47.610151022385097</v>
      </c>
      <c r="P2041">
        <v>-8.7285262796703206E-2</v>
      </c>
      <c r="Q2041">
        <v>5.8168604050973897E-2</v>
      </c>
      <c r="R2041">
        <v>0.98980858195958099</v>
      </c>
      <c r="S2041" t="s">
        <v>5873</v>
      </c>
      <c r="T2041" t="s">
        <v>7662</v>
      </c>
      <c r="U2041" t="s">
        <v>7662</v>
      </c>
      <c r="V2041" t="s">
        <v>7662</v>
      </c>
      <c r="W2041">
        <v>4</v>
      </c>
      <c r="X2041" t="s">
        <v>9703</v>
      </c>
      <c r="Y2041">
        <v>0.33341547185554882</v>
      </c>
      <c r="Z2041" t="str">
        <f>HYPERLINK("Melting_Curves/meltCurve_sp_Q8IXQ6_2_PARP9_HUMAN_.pdf", "Melting_Curves/meltCurve_sp_Q8IXQ6_2_PARP9_HUMAN_.pdf")</f>
        <v>Melting_Curves/meltCurve_sp_Q8IXQ6_2_PARP9_HUMAN_.pdf</v>
      </c>
      <c r="AA2041" t="s">
        <v>13504</v>
      </c>
      <c r="AB2041" t="s">
        <v>17281</v>
      </c>
    </row>
    <row r="2042" spans="1:28" x14ac:dyDescent="0.25">
      <c r="A2042" t="s">
        <v>2046</v>
      </c>
      <c r="B2042">
        <v>0.98876768158843997</v>
      </c>
      <c r="C2042">
        <v>1.24552856549689</v>
      </c>
      <c r="D2042">
        <v>0.92234585340083397</v>
      </c>
      <c r="E2042">
        <v>0.85383717957866101</v>
      </c>
      <c r="F2042">
        <v>0.94362920281784901</v>
      </c>
      <c r="G2042">
        <v>0.51166194067862303</v>
      </c>
      <c r="H2042">
        <v>0.31470147813236898</v>
      </c>
      <c r="I2042">
        <v>0.31295818799893699</v>
      </c>
      <c r="J2042">
        <v>0.33428166521671898</v>
      </c>
      <c r="K2042">
        <v>0.34968152485175702</v>
      </c>
      <c r="L2042">
        <v>2313.5840115669298</v>
      </c>
      <c r="M2042">
        <v>41.550486220066702</v>
      </c>
      <c r="N2042">
        <v>57.109618711906002</v>
      </c>
      <c r="O2042">
        <v>55.552768668228801</v>
      </c>
      <c r="P2042">
        <v>-0.126565326413419</v>
      </c>
      <c r="Q2042">
        <v>0.32313274008527398</v>
      </c>
      <c r="R2042">
        <v>0.91986670665380299</v>
      </c>
      <c r="S2042" t="s">
        <v>5874</v>
      </c>
      <c r="T2042" t="s">
        <v>7662</v>
      </c>
      <c r="U2042" t="s">
        <v>7662</v>
      </c>
      <c r="V2042" t="s">
        <v>7662</v>
      </c>
      <c r="W2042">
        <v>2</v>
      </c>
      <c r="X2042" t="s">
        <v>9704</v>
      </c>
      <c r="Y2042">
        <v>0.67934054628642759</v>
      </c>
      <c r="Z2042" t="str">
        <f>HYPERLINK("Melting_Curves/meltCurve_sp_Q8IY50_2_S35F3_HUMAN_.pdf", "Melting_Curves/meltCurve_sp_Q8IY50_2_S35F3_HUMAN_.pdf")</f>
        <v>Melting_Curves/meltCurve_sp_Q8IY50_2_S35F3_HUMAN_.pdf</v>
      </c>
      <c r="AA2042" t="s">
        <v>13505</v>
      </c>
      <c r="AB2042" t="s">
        <v>17282</v>
      </c>
    </row>
    <row r="2043" spans="1:28" x14ac:dyDescent="0.25">
      <c r="A2043" t="s">
        <v>2047</v>
      </c>
      <c r="B2043">
        <v>0.98876768158843997</v>
      </c>
      <c r="C2043">
        <v>1.34419626962678</v>
      </c>
      <c r="D2043">
        <v>1.2696402925680901</v>
      </c>
      <c r="E2043">
        <v>1.43998465943952</v>
      </c>
      <c r="F2043">
        <v>8.1775675266247405E-2</v>
      </c>
      <c r="G2043">
        <v>6.6350882901205402E-2</v>
      </c>
      <c r="H2043">
        <v>1.7147038066971099E-2</v>
      </c>
      <c r="I2043">
        <v>1.7135301602012602E-2</v>
      </c>
      <c r="J2043">
        <v>1.2104145813359401E-2</v>
      </c>
      <c r="K2043">
        <v>1.21824866016587E-2</v>
      </c>
      <c r="L2043">
        <v>13102.5556376485</v>
      </c>
      <c r="M2043">
        <v>250</v>
      </c>
      <c r="N2043">
        <v>52.420966974771403</v>
      </c>
      <c r="O2043">
        <v>52.406869224558498</v>
      </c>
      <c r="P2043">
        <v>-1.1628066329228799</v>
      </c>
      <c r="Q2043">
        <v>2.4975129622042899E-2</v>
      </c>
      <c r="R2043">
        <v>0.89613460679719004</v>
      </c>
      <c r="S2043" t="s">
        <v>5875</v>
      </c>
      <c r="T2043" t="s">
        <v>7662</v>
      </c>
      <c r="U2043" t="s">
        <v>7662</v>
      </c>
      <c r="V2043" t="s">
        <v>7662</v>
      </c>
      <c r="W2043">
        <v>1</v>
      </c>
      <c r="X2043" t="s">
        <v>9705</v>
      </c>
      <c r="Y2043">
        <v>0.4284073326815197</v>
      </c>
      <c r="Z2043" t="str">
        <f>HYPERLINK("Melting_Curves/meltCurve_sp_Q8IYA8_2_CCD36_HUMAN_.pdf", "Melting_Curves/meltCurve_sp_Q8IYA8_2_CCD36_HUMAN_.pdf")</f>
        <v>Melting_Curves/meltCurve_sp_Q8IYA8_2_CCD36_HUMAN_.pdf</v>
      </c>
      <c r="AA2043" t="s">
        <v>13506</v>
      </c>
      <c r="AB2043" t="s">
        <v>17283</v>
      </c>
    </row>
    <row r="2044" spans="1:28" x14ac:dyDescent="0.25">
      <c r="A2044" t="s">
        <v>2048</v>
      </c>
      <c r="B2044">
        <v>0.98876768158843997</v>
      </c>
      <c r="C2044">
        <v>1.05931007493189</v>
      </c>
      <c r="D2044">
        <v>0.89260355769523703</v>
      </c>
      <c r="E2044">
        <v>0.71541436656150204</v>
      </c>
      <c r="F2044">
        <v>0.59783641447650704</v>
      </c>
      <c r="G2044">
        <v>0.29622652919447601</v>
      </c>
      <c r="H2044">
        <v>0.11021231188551001</v>
      </c>
      <c r="I2044">
        <v>7.1293246723155096E-2</v>
      </c>
      <c r="J2044">
        <v>6.2164368221977601E-2</v>
      </c>
      <c r="K2044">
        <v>5.1502608422599502E-2</v>
      </c>
      <c r="L2044">
        <v>819.428189911711</v>
      </c>
      <c r="M2044">
        <v>15.268198857224199</v>
      </c>
      <c r="N2044">
        <v>53.710602594981303</v>
      </c>
      <c r="O2044">
        <v>52.773558782884599</v>
      </c>
      <c r="P2044">
        <v>-7.19099392865854E-2</v>
      </c>
      <c r="Q2044">
        <v>5.8851892779303297E-3</v>
      </c>
      <c r="R2044">
        <v>0.99135724245892698</v>
      </c>
      <c r="S2044" t="s">
        <v>5876</v>
      </c>
      <c r="T2044" t="s">
        <v>7662</v>
      </c>
      <c r="U2044" t="s">
        <v>7662</v>
      </c>
      <c r="V2044" t="s">
        <v>7662</v>
      </c>
      <c r="W2044">
        <v>2</v>
      </c>
      <c r="X2044" t="s">
        <v>9706</v>
      </c>
      <c r="Y2044">
        <v>0.47910995279694779</v>
      </c>
      <c r="Z2044" t="str">
        <f>HYPERLINK("Melting_Curves/meltCurve_sp_Q8IYB5_3_SMAP1_HUMAN_.pdf", "Melting_Curves/meltCurve_sp_Q8IYB5_3_SMAP1_HUMAN_.pdf")</f>
        <v>Melting_Curves/meltCurve_sp_Q8IYB5_3_SMAP1_HUMAN_.pdf</v>
      </c>
      <c r="AA2044" t="s">
        <v>13507</v>
      </c>
      <c r="AB2044" t="s">
        <v>17284</v>
      </c>
    </row>
    <row r="2045" spans="1:28" x14ac:dyDescent="0.25">
      <c r="A2045" t="s">
        <v>2049</v>
      </c>
      <c r="B2045">
        <v>0.98876768158843997</v>
      </c>
      <c r="C2045">
        <v>0.97888848665085204</v>
      </c>
      <c r="D2045">
        <v>0.95410034591526405</v>
      </c>
      <c r="E2045">
        <v>0.78955229430962903</v>
      </c>
      <c r="F2045">
        <v>0.37152704816693699</v>
      </c>
      <c r="G2045">
        <v>0.181430144798607</v>
      </c>
      <c r="H2045">
        <v>7.8319239225070697E-2</v>
      </c>
      <c r="I2045">
        <v>6.7610912965471004E-2</v>
      </c>
      <c r="J2045">
        <v>6.1449303060395997E-2</v>
      </c>
      <c r="K2045">
        <v>5.8312943532124302E-2</v>
      </c>
      <c r="L2045">
        <v>1464.19127194306</v>
      </c>
      <c r="M2045">
        <v>28.204003291449201</v>
      </c>
      <c r="N2045">
        <v>52.184429732742601</v>
      </c>
      <c r="O2045">
        <v>51.655397356682997</v>
      </c>
      <c r="P2045">
        <v>-0.12723115075289801</v>
      </c>
      <c r="Q2045">
        <v>6.7916135779078804E-2</v>
      </c>
      <c r="R2045">
        <v>0.997056838542694</v>
      </c>
      <c r="S2045" t="s">
        <v>5877</v>
      </c>
      <c r="T2045" t="s">
        <v>7662</v>
      </c>
      <c r="U2045" t="s">
        <v>7662</v>
      </c>
      <c r="V2045" t="s">
        <v>7662</v>
      </c>
      <c r="W2045">
        <v>8</v>
      </c>
      <c r="X2045" t="s">
        <v>9707</v>
      </c>
      <c r="Y2045">
        <v>0.44480689493303238</v>
      </c>
      <c r="Z2045" t="str">
        <f>HYPERLINK("Melting_Curves/meltCurve_sp_Q8IYB7_DI3L2_HUMAN_.pdf", "Melting_Curves/meltCurve_sp_Q8IYB7_DI3L2_HUMAN_.pdf")</f>
        <v>Melting_Curves/meltCurve_sp_Q8IYB7_DI3L2_HUMAN_.pdf</v>
      </c>
      <c r="AA2045" t="s">
        <v>13508</v>
      </c>
      <c r="AB2045" t="s">
        <v>17285</v>
      </c>
    </row>
    <row r="2046" spans="1:28" x14ac:dyDescent="0.25">
      <c r="A2046" t="s">
        <v>2050</v>
      </c>
      <c r="B2046">
        <v>0.98876768158843997</v>
      </c>
      <c r="C2046">
        <v>1.0384856825140001</v>
      </c>
      <c r="D2046">
        <v>0.91341930600162002</v>
      </c>
      <c r="E2046">
        <v>0.70532727487035796</v>
      </c>
      <c r="F2046">
        <v>0.51189593491645602</v>
      </c>
      <c r="G2046">
        <v>0.19550096741407999</v>
      </c>
      <c r="H2046">
        <v>0.12073719182454599</v>
      </c>
      <c r="I2046">
        <v>8.9727323234701103E-2</v>
      </c>
      <c r="J2046">
        <v>0.10795439373723199</v>
      </c>
      <c r="K2046">
        <v>0.106246087752691</v>
      </c>
      <c r="L2046">
        <v>1030.44773486298</v>
      </c>
      <c r="M2046">
        <v>19.750010914615</v>
      </c>
      <c r="N2046">
        <v>52.647251056758201</v>
      </c>
      <c r="O2046">
        <v>51.648470595718997</v>
      </c>
      <c r="P2046">
        <v>-8.7833992807486702E-2</v>
      </c>
      <c r="Q2046">
        <v>8.1248864110935001E-2</v>
      </c>
      <c r="R2046">
        <v>0.99488185248558703</v>
      </c>
      <c r="S2046" t="s">
        <v>5878</v>
      </c>
      <c r="T2046" t="s">
        <v>7662</v>
      </c>
      <c r="U2046" t="s">
        <v>7662</v>
      </c>
      <c r="V2046" t="s">
        <v>7662</v>
      </c>
      <c r="W2046">
        <v>8</v>
      </c>
      <c r="X2046" t="s">
        <v>9708</v>
      </c>
      <c r="Y2046">
        <v>0.46708555236046873</v>
      </c>
      <c r="Z2046" t="str">
        <f>HYPERLINK("Melting_Curves/meltCurve_sp_Q8IYB8_SUV3_HUMAN_.pdf", "Melting_Curves/meltCurve_sp_Q8IYB8_SUV3_HUMAN_.pdf")</f>
        <v>Melting_Curves/meltCurve_sp_Q8IYB8_SUV3_HUMAN_.pdf</v>
      </c>
      <c r="AA2046" t="s">
        <v>13509</v>
      </c>
      <c r="AB2046" t="s">
        <v>17286</v>
      </c>
    </row>
    <row r="2047" spans="1:28" x14ac:dyDescent="0.25">
      <c r="A2047" t="s">
        <v>2051</v>
      </c>
      <c r="B2047">
        <v>0.98876768158843997</v>
      </c>
      <c r="C2047">
        <v>1.0222768608503701</v>
      </c>
      <c r="D2047">
        <v>0.90549052735786895</v>
      </c>
      <c r="E2047">
        <v>0.66153944898769501</v>
      </c>
      <c r="F2047">
        <v>0.48841022911246801</v>
      </c>
      <c r="G2047">
        <v>0.31649959992919802</v>
      </c>
      <c r="H2047">
        <v>0.25384474291670001</v>
      </c>
      <c r="I2047">
        <v>0.244427371767831</v>
      </c>
      <c r="J2047">
        <v>0.32433830025801902</v>
      </c>
      <c r="K2047">
        <v>0.34071771159338299</v>
      </c>
      <c r="L2047">
        <v>1123.5262719843399</v>
      </c>
      <c r="M2047">
        <v>22.317829989775898</v>
      </c>
      <c r="N2047">
        <v>52.319340485354203</v>
      </c>
      <c r="O2047">
        <v>49.943137477714998</v>
      </c>
      <c r="P2047">
        <v>-7.9891756212248699E-2</v>
      </c>
      <c r="Q2047">
        <v>0.28488373585667298</v>
      </c>
      <c r="R2047">
        <v>0.98718855371917402</v>
      </c>
      <c r="S2047" t="s">
        <v>5879</v>
      </c>
      <c r="T2047" t="s">
        <v>7662</v>
      </c>
      <c r="U2047" t="s">
        <v>7662</v>
      </c>
      <c r="V2047" t="s">
        <v>7662</v>
      </c>
      <c r="W2047">
        <v>12</v>
      </c>
      <c r="X2047" t="s">
        <v>9709</v>
      </c>
      <c r="Y2047">
        <v>0.53944306156700106</v>
      </c>
      <c r="Z2047" t="str">
        <f>HYPERLINK("Melting_Curves/meltCurve_sp_Q8IYD1_ERF3B_HUMAN_.pdf", "Melting_Curves/meltCurve_sp_Q8IYD1_ERF3B_HUMAN_.pdf")</f>
        <v>Melting_Curves/meltCurve_sp_Q8IYD1_ERF3B_HUMAN_.pdf</v>
      </c>
      <c r="AA2047" t="s">
        <v>13510</v>
      </c>
      <c r="AB2047" t="s">
        <v>17287</v>
      </c>
    </row>
    <row r="2048" spans="1:28" x14ac:dyDescent="0.25">
      <c r="A2048" t="s">
        <v>2052</v>
      </c>
      <c r="B2048">
        <v>0.98876768158843997</v>
      </c>
      <c r="C2048">
        <v>1.0045973986360901</v>
      </c>
      <c r="D2048">
        <v>1.0196001873021501</v>
      </c>
      <c r="E2048">
        <v>0.63288155277311098</v>
      </c>
      <c r="F2048">
        <v>0.24710087148557</v>
      </c>
      <c r="G2048">
        <v>0.14305697136884399</v>
      </c>
      <c r="H2048">
        <v>8.5502681641301398E-2</v>
      </c>
      <c r="I2048">
        <v>7.8729615023598196E-2</v>
      </c>
      <c r="J2048">
        <v>9.5302380627190403E-2</v>
      </c>
      <c r="K2048">
        <v>8.3848200385951394E-2</v>
      </c>
      <c r="L2048">
        <v>1818.04568825567</v>
      </c>
      <c r="M2048">
        <v>35.931505534576601</v>
      </c>
      <c r="N2048">
        <v>50.891647820429597</v>
      </c>
      <c r="O2048">
        <v>50.4415832324934</v>
      </c>
      <c r="P2048">
        <v>-0.16138891438029901</v>
      </c>
      <c r="Q2048">
        <v>9.3755079503125699E-2</v>
      </c>
      <c r="R2048">
        <v>0.99766650177751104</v>
      </c>
      <c r="S2048" t="s">
        <v>5880</v>
      </c>
      <c r="T2048" t="s">
        <v>7662</v>
      </c>
      <c r="U2048" t="s">
        <v>7662</v>
      </c>
      <c r="V2048" t="s">
        <v>7662</v>
      </c>
      <c r="W2048">
        <v>5</v>
      </c>
      <c r="X2048" t="s">
        <v>9710</v>
      </c>
      <c r="Y2048">
        <v>0.41782241019161498</v>
      </c>
      <c r="Z2048" t="str">
        <f>HYPERLINK("Melting_Curves/meltCurve_sp_Q8IYI6_EXOC8_HUMAN_.pdf", "Melting_Curves/meltCurve_sp_Q8IYI6_EXOC8_HUMAN_.pdf")</f>
        <v>Melting_Curves/meltCurve_sp_Q8IYI6_EXOC8_HUMAN_.pdf</v>
      </c>
      <c r="AA2048" t="s">
        <v>13511</v>
      </c>
      <c r="AB2048" t="s">
        <v>17288</v>
      </c>
    </row>
    <row r="2049" spans="1:28" x14ac:dyDescent="0.25">
      <c r="A2049" t="s">
        <v>2053</v>
      </c>
      <c r="B2049">
        <v>0.98876768158843997</v>
      </c>
      <c r="C2049">
        <v>0.94763136305945095</v>
      </c>
      <c r="D2049">
        <v>0.82916186360249799</v>
      </c>
      <c r="E2049">
        <v>0.74940431538480601</v>
      </c>
      <c r="F2049">
        <v>0.89976374025184302</v>
      </c>
      <c r="G2049">
        <v>0.78678494260552201</v>
      </c>
      <c r="H2049">
        <v>0.505000017490283</v>
      </c>
      <c r="I2049">
        <v>0.63576313795356698</v>
      </c>
      <c r="J2049">
        <v>0.85187089047192299</v>
      </c>
      <c r="K2049">
        <v>1.0315045629441399</v>
      </c>
      <c r="L2049">
        <v>1519.9504645920699</v>
      </c>
      <c r="M2049">
        <v>34.2977602906005</v>
      </c>
      <c r="O2049">
        <v>44.166474046049103</v>
      </c>
      <c r="P2049">
        <v>-4.2824652778010203E-2</v>
      </c>
      <c r="Q2049">
        <v>0.77941338740044297</v>
      </c>
      <c r="R2049">
        <v>0.23646201769660199</v>
      </c>
      <c r="S2049" t="s">
        <v>5881</v>
      </c>
      <c r="T2049" t="s">
        <v>7662</v>
      </c>
      <c r="U2049" t="s">
        <v>7662</v>
      </c>
      <c r="V2049" t="s">
        <v>7662</v>
      </c>
      <c r="W2049">
        <v>1</v>
      </c>
      <c r="X2049" t="s">
        <v>9711</v>
      </c>
      <c r="Y2049">
        <v>0.81225258416010293</v>
      </c>
      <c r="Z2049" t="str">
        <f>HYPERLINK("Melting_Curves/meltCurve_sp_Q8IYL3_CA174_HUMAN_.pdf", "Melting_Curves/meltCurve_sp_Q8IYL3_CA174_HUMAN_.pdf")</f>
        <v>Melting_Curves/meltCurve_sp_Q8IYL3_CA174_HUMAN_.pdf</v>
      </c>
      <c r="AA2049" t="s">
        <v>13512</v>
      </c>
      <c r="AB2049" t="s">
        <v>17289</v>
      </c>
    </row>
    <row r="2050" spans="1:28" x14ac:dyDescent="0.25">
      <c r="A2050" t="s">
        <v>2054</v>
      </c>
      <c r="B2050">
        <v>0.98876768158843997</v>
      </c>
      <c r="C2050">
        <v>0.87961048246059803</v>
      </c>
      <c r="D2050">
        <v>0.78125022458031401</v>
      </c>
      <c r="E2050">
        <v>0.58693204775207297</v>
      </c>
      <c r="F2050">
        <v>0.380482189261796</v>
      </c>
      <c r="G2050">
        <v>0.211122209441829</v>
      </c>
      <c r="H2050">
        <v>0.14119129858261301</v>
      </c>
      <c r="I2050">
        <v>0.13820694133436501</v>
      </c>
      <c r="J2050">
        <v>0.144153092799813</v>
      </c>
      <c r="K2050">
        <v>0.113192997927201</v>
      </c>
      <c r="L2050">
        <v>680.73584053923901</v>
      </c>
      <c r="M2050">
        <v>13.5889230811438</v>
      </c>
      <c r="N2050">
        <v>50.838674318795398</v>
      </c>
      <c r="O2050">
        <v>49.047388978755997</v>
      </c>
      <c r="P2050">
        <v>-6.3029782388241903E-2</v>
      </c>
      <c r="Q2050">
        <v>9.0145189246385996E-2</v>
      </c>
      <c r="R2050">
        <v>0.99543702683193602</v>
      </c>
      <c r="S2050" t="s">
        <v>5882</v>
      </c>
      <c r="T2050" t="s">
        <v>7662</v>
      </c>
      <c r="U2050" t="s">
        <v>7662</v>
      </c>
      <c r="V2050" t="s">
        <v>7662</v>
      </c>
      <c r="W2050">
        <v>24</v>
      </c>
      <c r="X2050" t="s">
        <v>9712</v>
      </c>
      <c r="Y2050">
        <v>0.42193916232092538</v>
      </c>
      <c r="Z2050" t="str">
        <f>HYPERLINK("Melting_Curves/meltCurve_sp_Q8IYQ7_THNS1_HUMAN_.pdf", "Melting_Curves/meltCurve_sp_Q8IYQ7_THNS1_HUMAN_.pdf")</f>
        <v>Melting_Curves/meltCurve_sp_Q8IYQ7_THNS1_HUMAN_.pdf</v>
      </c>
      <c r="AA2050" t="s">
        <v>13513</v>
      </c>
      <c r="AB2050" t="s">
        <v>17290</v>
      </c>
    </row>
    <row r="2051" spans="1:28" x14ac:dyDescent="0.25">
      <c r="A2051" t="s">
        <v>2055</v>
      </c>
      <c r="B2051">
        <v>0.98876768158843997</v>
      </c>
      <c r="C2051">
        <v>1.1508192448187899</v>
      </c>
      <c r="D2051">
        <v>0.92033319493805099</v>
      </c>
      <c r="E2051">
        <v>0.79660701580832904</v>
      </c>
      <c r="F2051">
        <v>0.46693202714804899</v>
      </c>
      <c r="G2051">
        <v>0.28444579781651103</v>
      </c>
      <c r="H2051">
        <v>0.225732442687196</v>
      </c>
      <c r="I2051">
        <v>0.20926338183575399</v>
      </c>
      <c r="J2051">
        <v>0.25617373235689</v>
      </c>
      <c r="K2051">
        <v>0.21140253940439099</v>
      </c>
      <c r="L2051">
        <v>1474.6550843762</v>
      </c>
      <c r="M2051">
        <v>28.548909146215699</v>
      </c>
      <c r="N2051">
        <v>52.749075025665803</v>
      </c>
      <c r="O2051">
        <v>51.402193367316599</v>
      </c>
      <c r="P2051">
        <v>-0.107799973278109</v>
      </c>
      <c r="Q2051">
        <v>0.223632545874696</v>
      </c>
      <c r="R2051">
        <v>0.97702012640856095</v>
      </c>
      <c r="S2051" t="s">
        <v>5883</v>
      </c>
      <c r="T2051" t="s">
        <v>7662</v>
      </c>
      <c r="U2051" t="s">
        <v>7662</v>
      </c>
      <c r="V2051" t="s">
        <v>7662</v>
      </c>
      <c r="W2051">
        <v>3</v>
      </c>
      <c r="X2051" t="s">
        <v>9713</v>
      </c>
      <c r="Y2051">
        <v>0.53065975653253861</v>
      </c>
      <c r="Z2051" t="str">
        <f>HYPERLINK("Melting_Curves/meltCurve_sp_Q8IYS1_P20D2_HUMAN_.pdf", "Melting_Curves/meltCurve_sp_Q8IYS1_P20D2_HUMAN_.pdf")</f>
        <v>Melting_Curves/meltCurve_sp_Q8IYS1_P20D2_HUMAN_.pdf</v>
      </c>
      <c r="AA2051" t="s">
        <v>13514</v>
      </c>
      <c r="AB2051" t="s">
        <v>17291</v>
      </c>
    </row>
    <row r="2052" spans="1:28" x14ac:dyDescent="0.25">
      <c r="A2052" t="s">
        <v>2056</v>
      </c>
      <c r="B2052">
        <v>0.98876768158843997</v>
      </c>
      <c r="C2052">
        <v>0.89200444506087295</v>
      </c>
      <c r="D2052">
        <v>1.1166623251499199</v>
      </c>
      <c r="E2052">
        <v>0.78263835574572105</v>
      </c>
      <c r="F2052">
        <v>0.39728962824543701</v>
      </c>
      <c r="G2052">
        <v>0.24562164557864399</v>
      </c>
      <c r="H2052">
        <v>0.17543295656459301</v>
      </c>
      <c r="I2052">
        <v>0.17856202657008</v>
      </c>
      <c r="J2052">
        <v>0.14277892146562701</v>
      </c>
      <c r="K2052">
        <v>0.10919817366427199</v>
      </c>
      <c r="L2052">
        <v>1771.1082410530801</v>
      </c>
      <c r="M2052">
        <v>34.303434398769703</v>
      </c>
      <c r="N2052">
        <v>52.222171660537299</v>
      </c>
      <c r="O2052">
        <v>51.456131394472202</v>
      </c>
      <c r="P2052">
        <v>-0.13983455425032301</v>
      </c>
      <c r="Q2052">
        <v>0.16098007590591301</v>
      </c>
      <c r="R2052">
        <v>0.97553634959022195</v>
      </c>
      <c r="S2052" t="s">
        <v>5884</v>
      </c>
      <c r="T2052" t="s">
        <v>7662</v>
      </c>
      <c r="U2052" t="s">
        <v>7662</v>
      </c>
      <c r="V2052" t="s">
        <v>7662</v>
      </c>
      <c r="W2052">
        <v>2</v>
      </c>
      <c r="X2052" t="s">
        <v>9714</v>
      </c>
      <c r="Y2052">
        <v>0.49033449889571679</v>
      </c>
      <c r="Z2052" t="str">
        <f>HYPERLINK("Melting_Curves/meltCurve_sp_Q8IYT4_KATL2_HUMAN_.pdf", "Melting_Curves/meltCurve_sp_Q8IYT4_KATL2_HUMAN_.pdf")</f>
        <v>Melting_Curves/meltCurve_sp_Q8IYT4_KATL2_HUMAN_.pdf</v>
      </c>
      <c r="AA2052" t="s">
        <v>13515</v>
      </c>
      <c r="AB2052" t="s">
        <v>17292</v>
      </c>
    </row>
    <row r="2053" spans="1:28" x14ac:dyDescent="0.25">
      <c r="A2053" t="s">
        <v>2057</v>
      </c>
      <c r="B2053">
        <v>0.98876768158843997</v>
      </c>
      <c r="C2053">
        <v>0.88982583419815497</v>
      </c>
      <c r="D2053">
        <v>0.94581134853854798</v>
      </c>
      <c r="E2053">
        <v>0.90088917247244005</v>
      </c>
      <c r="F2053">
        <v>1.0426667588463101</v>
      </c>
      <c r="G2053">
        <v>0.80328480957459902</v>
      </c>
      <c r="H2053">
        <v>0.58791800422651497</v>
      </c>
      <c r="I2053">
        <v>0.48857530558399098</v>
      </c>
      <c r="J2053">
        <v>0.37327263523105397</v>
      </c>
      <c r="K2053">
        <v>0.55252807267227899</v>
      </c>
      <c r="L2053">
        <v>1929.51701362414</v>
      </c>
      <c r="M2053">
        <v>33.142546109246901</v>
      </c>
      <c r="N2053">
        <v>63.341632403079601</v>
      </c>
      <c r="O2053">
        <v>58.008003105909097</v>
      </c>
      <c r="P2053">
        <v>-7.6312645188945205E-2</v>
      </c>
      <c r="Q2053">
        <v>0.46573510644849497</v>
      </c>
      <c r="R2053">
        <v>0.90704428472758403</v>
      </c>
      <c r="S2053" t="s">
        <v>5885</v>
      </c>
      <c r="T2053" t="s">
        <v>7662</v>
      </c>
      <c r="U2053" t="s">
        <v>7662</v>
      </c>
      <c r="V2053" t="s">
        <v>7662</v>
      </c>
      <c r="W2053">
        <v>3</v>
      </c>
      <c r="X2053" t="s">
        <v>9715</v>
      </c>
      <c r="Y2053">
        <v>0.79315033859096917</v>
      </c>
      <c r="Z2053" t="str">
        <f>HYPERLINK("Melting_Curves/meltCurve_sp_Q8IZ07_AN13A_HUMAN_.pdf", "Melting_Curves/meltCurve_sp_Q8IZ07_AN13A_HUMAN_.pdf")</f>
        <v>Melting_Curves/meltCurve_sp_Q8IZ07_AN13A_HUMAN_.pdf</v>
      </c>
      <c r="AA2053" t="s">
        <v>13516</v>
      </c>
      <c r="AB2053" t="s">
        <v>17293</v>
      </c>
    </row>
    <row r="2054" spans="1:28" x14ac:dyDescent="0.25">
      <c r="A2054" t="s">
        <v>2058</v>
      </c>
      <c r="B2054">
        <v>0.98876768158843997</v>
      </c>
      <c r="C2054">
        <v>0.87125278178157495</v>
      </c>
      <c r="D2054">
        <v>1.1185070009351801</v>
      </c>
      <c r="E2054">
        <v>0.986169071352064</v>
      </c>
      <c r="F2054">
        <v>0.61187632096530298</v>
      </c>
      <c r="G2054">
        <v>0.45551936794153902</v>
      </c>
      <c r="H2054">
        <v>0.27547742123941799</v>
      </c>
      <c r="I2054">
        <v>0.27589517256708901</v>
      </c>
      <c r="J2054">
        <v>0.39604247227376199</v>
      </c>
      <c r="K2054">
        <v>0.389593621968777</v>
      </c>
      <c r="L2054">
        <v>2607.3222220831099</v>
      </c>
      <c r="M2054">
        <v>49.504608638218699</v>
      </c>
      <c r="N2054">
        <v>54.008764910249099</v>
      </c>
      <c r="O2054">
        <v>52.582542084274998</v>
      </c>
      <c r="P2054">
        <v>-0.152125918167693</v>
      </c>
      <c r="Q2054">
        <v>0.353663382438069</v>
      </c>
      <c r="R2054">
        <v>0.94196021276318898</v>
      </c>
      <c r="S2054" t="s">
        <v>5886</v>
      </c>
      <c r="T2054" t="s">
        <v>7662</v>
      </c>
      <c r="U2054" t="s">
        <v>7662</v>
      </c>
      <c r="V2054" t="s">
        <v>7662</v>
      </c>
      <c r="W2054">
        <v>4</v>
      </c>
      <c r="X2054" t="s">
        <v>9716</v>
      </c>
      <c r="Y2054">
        <v>0.62812742220631657</v>
      </c>
      <c r="Z2054" t="str">
        <f>HYPERLINK("Melting_Curves/meltCurve_sp_Q8IZ21_3_PHAR4_HUMAN_.pdf", "Melting_Curves/meltCurve_sp_Q8IZ21_3_PHAR4_HUMAN_.pdf")</f>
        <v>Melting_Curves/meltCurve_sp_Q8IZ21_3_PHAR4_HUMAN_.pdf</v>
      </c>
      <c r="AA2054" t="s">
        <v>13517</v>
      </c>
      <c r="AB2054" t="s">
        <v>17294</v>
      </c>
    </row>
    <row r="2055" spans="1:28" x14ac:dyDescent="0.25">
      <c r="A2055" t="s">
        <v>2059</v>
      </c>
      <c r="B2055">
        <v>0.98876768158843997</v>
      </c>
      <c r="C2055">
        <v>0.92128019380646797</v>
      </c>
      <c r="D2055">
        <v>0.82052923757331397</v>
      </c>
      <c r="E2055">
        <v>0.64937726373607796</v>
      </c>
      <c r="F2055">
        <v>0.428248371132119</v>
      </c>
      <c r="G2055">
        <v>0.29089498125074598</v>
      </c>
      <c r="H2055">
        <v>0.17394800022301399</v>
      </c>
      <c r="I2055">
        <v>8.1418924261003195E-2</v>
      </c>
      <c r="J2055">
        <v>5.4782333844285797E-2</v>
      </c>
      <c r="K2055">
        <v>4.1029259607954699E-2</v>
      </c>
      <c r="L2055">
        <v>617.91237312977296</v>
      </c>
      <c r="M2055">
        <v>11.8340218365253</v>
      </c>
      <c r="N2055">
        <v>52.214932848123297</v>
      </c>
      <c r="O2055">
        <v>50.790841673073501</v>
      </c>
      <c r="P2055">
        <v>-5.8263617750774398E-2</v>
      </c>
      <c r="Q2055">
        <v>0</v>
      </c>
      <c r="R2055">
        <v>0.99751361288135598</v>
      </c>
      <c r="S2055" t="s">
        <v>5887</v>
      </c>
      <c r="T2055" t="s">
        <v>7662</v>
      </c>
      <c r="U2055" t="s">
        <v>7662</v>
      </c>
      <c r="V2055" t="s">
        <v>7662</v>
      </c>
      <c r="W2055">
        <v>1</v>
      </c>
      <c r="X2055" t="s">
        <v>9717</v>
      </c>
      <c r="Y2055">
        <v>0.4378486519109141</v>
      </c>
      <c r="Z2055" t="str">
        <f>HYPERLINK("Melting_Curves/meltCurve_sp_Q8IZ69_TRM2A_HUMAN_.pdf", "Melting_Curves/meltCurve_sp_Q8IZ69_TRM2A_HUMAN_.pdf")</f>
        <v>Melting_Curves/meltCurve_sp_Q8IZ69_TRM2A_HUMAN_.pdf</v>
      </c>
      <c r="AA2055" t="s">
        <v>13518</v>
      </c>
      <c r="AB2055" t="s">
        <v>17295</v>
      </c>
    </row>
    <row r="2056" spans="1:28" x14ac:dyDescent="0.25">
      <c r="A2056" t="s">
        <v>2060</v>
      </c>
      <c r="B2056">
        <v>0.98876768158843997</v>
      </c>
      <c r="C2056">
        <v>1.0585735327008401</v>
      </c>
      <c r="D2056">
        <v>1.1760294031481799</v>
      </c>
      <c r="E2056">
        <v>1.11444125339603</v>
      </c>
      <c r="F2056">
        <v>0.80240176557374798</v>
      </c>
      <c r="G2056">
        <v>0.54943623840844702</v>
      </c>
      <c r="H2056">
        <v>0.39836078086669102</v>
      </c>
      <c r="I2056">
        <v>0.19345607048812599</v>
      </c>
      <c r="J2056">
        <v>0.120348385420339</v>
      </c>
      <c r="K2056">
        <v>0.122122460051969</v>
      </c>
      <c r="L2056">
        <v>1159.2613394533801</v>
      </c>
      <c r="M2056">
        <v>20.125359475354401</v>
      </c>
      <c r="N2056">
        <v>58.2328417834416</v>
      </c>
      <c r="O2056">
        <v>57.042343801101097</v>
      </c>
      <c r="P2056">
        <v>-7.9567220895371701E-2</v>
      </c>
      <c r="Q2056">
        <v>9.7942774764210802E-2</v>
      </c>
      <c r="R2056">
        <v>0.95481041067517403</v>
      </c>
      <c r="S2056" t="s">
        <v>5888</v>
      </c>
      <c r="T2056" t="s">
        <v>7662</v>
      </c>
      <c r="U2056" t="s">
        <v>7662</v>
      </c>
      <c r="V2056" t="s">
        <v>7662</v>
      </c>
      <c r="W2056">
        <v>10</v>
      </c>
      <c r="X2056" t="s">
        <v>9718</v>
      </c>
      <c r="Y2056">
        <v>0.63772122815416654</v>
      </c>
      <c r="Z2056" t="str">
        <f>HYPERLINK("Melting_Curves/meltCurve_sp_Q8IZ83_A16A1_HUMAN_.pdf", "Melting_Curves/meltCurve_sp_Q8IZ83_A16A1_HUMAN_.pdf")</f>
        <v>Melting_Curves/meltCurve_sp_Q8IZ83_A16A1_HUMAN_.pdf</v>
      </c>
      <c r="AA2056" t="s">
        <v>13519</v>
      </c>
      <c r="AB2056" t="s">
        <v>17296</v>
      </c>
    </row>
    <row r="2057" spans="1:28" x14ac:dyDescent="0.25">
      <c r="A2057" t="s">
        <v>2061</v>
      </c>
      <c r="B2057">
        <v>0.98876768158843997</v>
      </c>
      <c r="C2057">
        <v>0.96499688824077301</v>
      </c>
      <c r="D2057">
        <v>1.0424593515682401</v>
      </c>
      <c r="E2057">
        <v>0.87865282986474003</v>
      </c>
      <c r="F2057">
        <v>0.58135195259772698</v>
      </c>
      <c r="G2057">
        <v>0.39546168628922401</v>
      </c>
      <c r="H2057">
        <v>0.28213773429103201</v>
      </c>
      <c r="I2057">
        <v>0.25664042701893802</v>
      </c>
      <c r="J2057">
        <v>0.25691564834057101</v>
      </c>
      <c r="K2057">
        <v>0.31859235582355</v>
      </c>
      <c r="L2057">
        <v>1503.2771579513801</v>
      </c>
      <c r="M2057">
        <v>28.564705235323402</v>
      </c>
      <c r="N2057">
        <v>54.189693263434101</v>
      </c>
      <c r="O2057">
        <v>52.371195697894599</v>
      </c>
      <c r="P2057">
        <v>-9.8096707422127102E-2</v>
      </c>
      <c r="Q2057">
        <v>0.28059477874008099</v>
      </c>
      <c r="R2057">
        <v>0.99052762505835301</v>
      </c>
      <c r="S2057" t="s">
        <v>5889</v>
      </c>
      <c r="T2057" t="s">
        <v>7662</v>
      </c>
      <c r="U2057" t="s">
        <v>7662</v>
      </c>
      <c r="V2057" t="s">
        <v>7662</v>
      </c>
      <c r="W2057">
        <v>5</v>
      </c>
      <c r="X2057" t="s">
        <v>9719</v>
      </c>
      <c r="Y2057">
        <v>0.58850323766070867</v>
      </c>
      <c r="Z2057" t="str">
        <f>HYPERLINK("Melting_Curves/meltCurve_sp_Q8IZP0_10_ABI1_HUMAN_.pdf", "Melting_Curves/meltCurve_sp_Q8IZP0_10_ABI1_HUMAN_.pdf")</f>
        <v>Melting_Curves/meltCurve_sp_Q8IZP0_10_ABI1_HUMAN_.pdf</v>
      </c>
      <c r="AA2057" t="s">
        <v>13520</v>
      </c>
      <c r="AB2057" t="s">
        <v>17297</v>
      </c>
    </row>
    <row r="2058" spans="1:28" x14ac:dyDescent="0.25">
      <c r="A2058" t="s">
        <v>2062</v>
      </c>
      <c r="B2058">
        <v>0.98876768158843997</v>
      </c>
      <c r="C2058">
        <v>0.95176859818761195</v>
      </c>
      <c r="D2058">
        <v>0.845878596667613</v>
      </c>
      <c r="E2058">
        <v>0.68237063900665895</v>
      </c>
      <c r="F2058">
        <v>0.72838804502162302</v>
      </c>
      <c r="G2058">
        <v>0.35951389146736101</v>
      </c>
      <c r="H2058">
        <v>0.121104717532308</v>
      </c>
      <c r="I2058">
        <v>8.6375908627688805E-2</v>
      </c>
      <c r="J2058">
        <v>5.5589593580483501E-2</v>
      </c>
      <c r="K2058">
        <v>6.0349820085078498E-2</v>
      </c>
      <c r="L2058">
        <v>735.13895234744302</v>
      </c>
      <c r="M2058">
        <v>13.508752314040899</v>
      </c>
      <c r="N2058">
        <v>54.419456112627202</v>
      </c>
      <c r="O2058">
        <v>53.268445301122398</v>
      </c>
      <c r="P2058">
        <v>-6.3409069401106799E-2</v>
      </c>
      <c r="Q2058">
        <v>0</v>
      </c>
      <c r="R2058">
        <v>0.97160700250300203</v>
      </c>
      <c r="S2058" t="s">
        <v>5890</v>
      </c>
      <c r="T2058" t="s">
        <v>7662</v>
      </c>
      <c r="U2058" t="s">
        <v>7662</v>
      </c>
      <c r="V2058" t="s">
        <v>7662</v>
      </c>
      <c r="W2058">
        <v>9</v>
      </c>
      <c r="X2058" t="s">
        <v>9720</v>
      </c>
      <c r="Y2058">
        <v>0.50310310662150248</v>
      </c>
      <c r="Z2058" t="str">
        <f>HYPERLINK("Melting_Curves/meltCurve_sp_Q8N0U4_F185A_HUMAN_.pdf", "Melting_Curves/meltCurve_sp_Q8N0U4_F185A_HUMAN_.pdf")</f>
        <v>Melting_Curves/meltCurve_sp_Q8N0U4_F185A_HUMAN_.pdf</v>
      </c>
      <c r="AA2058" t="s">
        <v>13521</v>
      </c>
      <c r="AB2058" t="s">
        <v>17298</v>
      </c>
    </row>
    <row r="2059" spans="1:28" x14ac:dyDescent="0.25">
      <c r="A2059" t="s">
        <v>2063</v>
      </c>
      <c r="B2059">
        <v>0.98876768158843997</v>
      </c>
      <c r="C2059">
        <v>0.91739520149767095</v>
      </c>
      <c r="D2059">
        <v>0.96500376037885305</v>
      </c>
      <c r="E2059">
        <v>0.76567065674955803</v>
      </c>
      <c r="F2059">
        <v>0.47997762644285902</v>
      </c>
      <c r="G2059">
        <v>0.29040045981701001</v>
      </c>
      <c r="H2059">
        <v>0.12856505716782901</v>
      </c>
      <c r="I2059">
        <v>9.4888317205060094E-2</v>
      </c>
      <c r="J2059">
        <v>8.7097947133871798E-2</v>
      </c>
      <c r="K2059">
        <v>9.1154658562381502E-2</v>
      </c>
      <c r="L2059">
        <v>964.529298058991</v>
      </c>
      <c r="M2059">
        <v>18.300590617761401</v>
      </c>
      <c r="N2059">
        <v>53.147765277456799</v>
      </c>
      <c r="O2059">
        <v>52.087578581330398</v>
      </c>
      <c r="P2059">
        <v>-8.1626818787171998E-2</v>
      </c>
      <c r="Q2059">
        <v>7.0729927628943604E-2</v>
      </c>
      <c r="R2059">
        <v>0.99404171996306201</v>
      </c>
      <c r="S2059" t="s">
        <v>5891</v>
      </c>
      <c r="T2059" t="s">
        <v>7662</v>
      </c>
      <c r="U2059" t="s">
        <v>7662</v>
      </c>
      <c r="V2059" t="s">
        <v>7662</v>
      </c>
      <c r="W2059">
        <v>11</v>
      </c>
      <c r="X2059" t="s">
        <v>9721</v>
      </c>
      <c r="Y2059">
        <v>0.47915733811700112</v>
      </c>
      <c r="Z2059" t="str">
        <f>HYPERLINK("Melting_Curves/meltCurve_sp_Q8N0W3_FUK_HUMAN_.pdf", "Melting_Curves/meltCurve_sp_Q8N0W3_FUK_HUMAN_.pdf")</f>
        <v>Melting_Curves/meltCurve_sp_Q8N0W3_FUK_HUMAN_.pdf</v>
      </c>
      <c r="AA2059" t="s">
        <v>13522</v>
      </c>
      <c r="AB2059" t="s">
        <v>17299</v>
      </c>
    </row>
    <row r="2060" spans="1:28" x14ac:dyDescent="0.25">
      <c r="A2060" t="s">
        <v>2064</v>
      </c>
      <c r="B2060">
        <v>0.98876768158843997</v>
      </c>
      <c r="C2060">
        <v>0.92750267561378497</v>
      </c>
      <c r="D2060">
        <v>0.95619559348601701</v>
      </c>
      <c r="E2060">
        <v>0.86657576221832999</v>
      </c>
      <c r="F2060">
        <v>0.49829760270477502</v>
      </c>
      <c r="G2060">
        <v>9.77854100516172E-2</v>
      </c>
      <c r="H2060">
        <v>4.5784799136574801E-2</v>
      </c>
      <c r="I2060">
        <v>3.7124650568098598E-2</v>
      </c>
      <c r="J2060">
        <v>4.2501665915339402E-2</v>
      </c>
      <c r="K2060">
        <v>3.6125485173972398E-2</v>
      </c>
      <c r="L2060">
        <v>1744.1565147351</v>
      </c>
      <c r="M2060">
        <v>33.016965391213198</v>
      </c>
      <c r="N2060">
        <v>52.938269858000702</v>
      </c>
      <c r="O2060">
        <v>52.633411348819799</v>
      </c>
      <c r="P2060">
        <v>-0.151526177964661</v>
      </c>
      <c r="Q2060">
        <v>3.37931993971302E-2</v>
      </c>
      <c r="R2060">
        <v>0.99597640931401799</v>
      </c>
      <c r="S2060" t="s">
        <v>5892</v>
      </c>
      <c r="T2060" t="s">
        <v>7662</v>
      </c>
      <c r="U2060" t="s">
        <v>7662</v>
      </c>
      <c r="V2060" t="s">
        <v>7662</v>
      </c>
      <c r="W2060">
        <v>20</v>
      </c>
      <c r="X2060" t="s">
        <v>9722</v>
      </c>
      <c r="Y2060">
        <v>0.45205338903498499</v>
      </c>
      <c r="Z2060" t="str">
        <f>HYPERLINK("Melting_Curves/meltCurve_sp_Q8N0X4_CLYBL_HUMAN_.pdf", "Melting_Curves/meltCurve_sp_Q8N0X4_CLYBL_HUMAN_.pdf")</f>
        <v>Melting_Curves/meltCurve_sp_Q8N0X4_CLYBL_HUMAN_.pdf</v>
      </c>
      <c r="AA2060" t="s">
        <v>13523</v>
      </c>
      <c r="AB2060" t="s">
        <v>17300</v>
      </c>
    </row>
    <row r="2061" spans="1:28" x14ac:dyDescent="0.25">
      <c r="A2061" t="s">
        <v>2065</v>
      </c>
      <c r="B2061">
        <v>0.98876768158843997</v>
      </c>
      <c r="C2061">
        <v>1.0791418902735199</v>
      </c>
      <c r="D2061">
        <v>0.92021175293234003</v>
      </c>
      <c r="E2061">
        <v>0.805958195107218</v>
      </c>
      <c r="F2061">
        <v>0.71794452688352794</v>
      </c>
      <c r="G2061">
        <v>0.39505291020647398</v>
      </c>
      <c r="H2061">
        <v>0.28235078569177202</v>
      </c>
      <c r="I2061">
        <v>0.28989820042645797</v>
      </c>
      <c r="J2061">
        <v>0.44450599576300398</v>
      </c>
      <c r="K2061">
        <v>0.412761228105884</v>
      </c>
      <c r="L2061">
        <v>1275.97555099684</v>
      </c>
      <c r="M2061">
        <v>24.246035332354101</v>
      </c>
      <c r="N2061">
        <v>55.329556238587102</v>
      </c>
      <c r="O2061">
        <v>52.272083476306904</v>
      </c>
      <c r="P2061">
        <v>-7.5714783151487899E-2</v>
      </c>
      <c r="Q2061">
        <v>0.34707524538655199</v>
      </c>
      <c r="R2061">
        <v>0.94580482809186595</v>
      </c>
      <c r="S2061" t="s">
        <v>5893</v>
      </c>
      <c r="T2061" t="s">
        <v>7662</v>
      </c>
      <c r="U2061" t="s">
        <v>7662</v>
      </c>
      <c r="V2061" t="s">
        <v>7662</v>
      </c>
      <c r="W2061">
        <v>2</v>
      </c>
      <c r="X2061" t="s">
        <v>9723</v>
      </c>
      <c r="Y2061">
        <v>0.62822394668590464</v>
      </c>
      <c r="Z2061" t="str">
        <f>HYPERLINK("Melting_Curves/meltCurve_sp_Q8N0X7_SPG20_HUMAN_.pdf", "Melting_Curves/meltCurve_sp_Q8N0X7_SPG20_HUMAN_.pdf")</f>
        <v>Melting_Curves/meltCurve_sp_Q8N0X7_SPG20_HUMAN_.pdf</v>
      </c>
      <c r="AA2061" t="s">
        <v>13524</v>
      </c>
      <c r="AB2061" t="s">
        <v>17301</v>
      </c>
    </row>
    <row r="2062" spans="1:28" x14ac:dyDescent="0.25">
      <c r="A2062" t="s">
        <v>2066</v>
      </c>
      <c r="B2062">
        <v>0.98876768158843997</v>
      </c>
      <c r="C2062">
        <v>1.1772362452579399</v>
      </c>
      <c r="D2062">
        <v>0.78457209543917406</v>
      </c>
      <c r="E2062">
        <v>0.72042964134506604</v>
      </c>
      <c r="F2062">
        <v>0.55712301866137903</v>
      </c>
      <c r="G2062">
        <v>0.58963018319197202</v>
      </c>
      <c r="H2062">
        <v>0.42532555149560702</v>
      </c>
      <c r="I2062">
        <v>0.42196998426164101</v>
      </c>
      <c r="J2062">
        <v>0.36303770961592702</v>
      </c>
      <c r="K2062">
        <v>0.428721930321253</v>
      </c>
      <c r="L2062">
        <v>795.15347022879098</v>
      </c>
      <c r="M2062">
        <v>15.809073278639501</v>
      </c>
      <c r="N2062">
        <v>56.299606859578098</v>
      </c>
      <c r="O2062">
        <v>49.513127076652502</v>
      </c>
      <c r="P2062">
        <v>-4.73131202711407E-2</v>
      </c>
      <c r="Q2062">
        <v>0.40732061899280497</v>
      </c>
      <c r="R2062">
        <v>0.89129067028591202</v>
      </c>
      <c r="S2062" t="s">
        <v>5894</v>
      </c>
      <c r="T2062" t="s">
        <v>7662</v>
      </c>
      <c r="U2062" t="s">
        <v>7662</v>
      </c>
      <c r="V2062" t="s">
        <v>7662</v>
      </c>
      <c r="W2062">
        <v>2</v>
      </c>
      <c r="X2062" t="s">
        <v>9724</v>
      </c>
      <c r="Y2062">
        <v>0.62351776993371832</v>
      </c>
      <c r="Z2062" t="str">
        <f>HYPERLINK("Melting_Curves/meltCurve_sp_Q8N129_CNPY4_HUMAN_.pdf", "Melting_Curves/meltCurve_sp_Q8N129_CNPY4_HUMAN_.pdf")</f>
        <v>Melting_Curves/meltCurve_sp_Q8N129_CNPY4_HUMAN_.pdf</v>
      </c>
      <c r="AA2062" t="s">
        <v>13525</v>
      </c>
      <c r="AB2062" t="s">
        <v>17302</v>
      </c>
    </row>
    <row r="2063" spans="1:28" x14ac:dyDescent="0.25">
      <c r="A2063" t="s">
        <v>2067</v>
      </c>
      <c r="B2063">
        <v>0.98876768158843997</v>
      </c>
      <c r="C2063">
        <v>1.0087400222891501</v>
      </c>
      <c r="D2063">
        <v>0.90710568990061402</v>
      </c>
      <c r="E2063">
        <v>0.782308073049091</v>
      </c>
      <c r="F2063">
        <v>0.36402973438502401</v>
      </c>
      <c r="G2063">
        <v>0.116114520722085</v>
      </c>
      <c r="H2063">
        <v>6.2114556238325402E-2</v>
      </c>
      <c r="I2063">
        <v>4.5088487305417098E-2</v>
      </c>
      <c r="J2063">
        <v>5.7564919489565797E-2</v>
      </c>
      <c r="K2063">
        <v>3.4794533773375103E-2</v>
      </c>
      <c r="L2063">
        <v>1502.8206157183599</v>
      </c>
      <c r="M2063">
        <v>28.976713992360601</v>
      </c>
      <c r="N2063">
        <v>52.033741607153402</v>
      </c>
      <c r="O2063">
        <v>51.617918933644198</v>
      </c>
      <c r="P2063">
        <v>-0.13398023056317099</v>
      </c>
      <c r="Q2063">
        <v>4.5339792675068803E-2</v>
      </c>
      <c r="R2063">
        <v>0.996293684599731</v>
      </c>
      <c r="S2063" t="s">
        <v>5895</v>
      </c>
      <c r="T2063" t="s">
        <v>7662</v>
      </c>
      <c r="U2063" t="s">
        <v>7662</v>
      </c>
      <c r="V2063" t="s">
        <v>7662</v>
      </c>
      <c r="W2063">
        <v>23</v>
      </c>
      <c r="X2063" t="s">
        <v>9725</v>
      </c>
      <c r="Y2063">
        <v>0.42936562026266961</v>
      </c>
      <c r="Z2063" t="str">
        <f>HYPERLINK("Melting_Curves/meltCurve_sp_Q8N142_PURA1_HUMAN_.pdf", "Melting_Curves/meltCurve_sp_Q8N142_PURA1_HUMAN_.pdf")</f>
        <v>Melting_Curves/meltCurve_sp_Q8N142_PURA1_HUMAN_.pdf</v>
      </c>
      <c r="AA2063" t="s">
        <v>13526</v>
      </c>
      <c r="AB2063" t="s">
        <v>17303</v>
      </c>
    </row>
    <row r="2064" spans="1:28" x14ac:dyDescent="0.25">
      <c r="A2064" t="s">
        <v>2068</v>
      </c>
      <c r="B2064">
        <v>0.98876768158843997</v>
      </c>
      <c r="C2064">
        <v>0.92776657431046705</v>
      </c>
      <c r="D2064">
        <v>1.13979879552824</v>
      </c>
      <c r="E2064">
        <v>0.81282055358366001</v>
      </c>
      <c r="F2064">
        <v>0.38443176503521098</v>
      </c>
      <c r="G2064">
        <v>0.16955259367280701</v>
      </c>
      <c r="H2064">
        <v>6.6627806061509101E-2</v>
      </c>
      <c r="I2064">
        <v>6.5389046653879193E-2</v>
      </c>
      <c r="J2064">
        <v>5.5877417905600003E-2</v>
      </c>
      <c r="K2064">
        <v>5.24837966253568E-2</v>
      </c>
      <c r="L2064">
        <v>1792.1612059974</v>
      </c>
      <c r="M2064">
        <v>34.421084206558099</v>
      </c>
      <c r="N2064">
        <v>52.292142254793603</v>
      </c>
      <c r="O2064">
        <v>51.891001676690699</v>
      </c>
      <c r="P2064">
        <v>-0.154356988906241</v>
      </c>
      <c r="Q2064">
        <v>6.9209010317830597E-2</v>
      </c>
      <c r="R2064">
        <v>0.98263995161122897</v>
      </c>
      <c r="S2064" t="s">
        <v>5896</v>
      </c>
      <c r="T2064" t="s">
        <v>7662</v>
      </c>
      <c r="U2064" t="s">
        <v>7662</v>
      </c>
      <c r="V2064" t="s">
        <v>7662</v>
      </c>
      <c r="W2064">
        <v>14</v>
      </c>
      <c r="X2064" t="s">
        <v>9726</v>
      </c>
      <c r="Y2064">
        <v>0.44809330608073261</v>
      </c>
      <c r="Z2064" t="str">
        <f>HYPERLINK("Melting_Curves/meltCurve_sp_Q8N163_K1967_HUMAN_.pdf", "Melting_Curves/meltCurve_sp_Q8N163_K1967_HUMAN_.pdf")</f>
        <v>Melting_Curves/meltCurve_sp_Q8N163_K1967_HUMAN_.pdf</v>
      </c>
      <c r="AA2064" t="s">
        <v>13527</v>
      </c>
      <c r="AB2064" t="s">
        <v>17304</v>
      </c>
    </row>
    <row r="2065" spans="1:28" x14ac:dyDescent="0.25">
      <c r="A2065" t="s">
        <v>2069</v>
      </c>
      <c r="B2065">
        <v>0.98876768158843997</v>
      </c>
      <c r="C2065">
        <v>0.83461195679607503</v>
      </c>
      <c r="D2065">
        <v>1.1540977190839099</v>
      </c>
      <c r="E2065">
        <v>0.73014044414907597</v>
      </c>
      <c r="F2065">
        <v>0.105353178081695</v>
      </c>
      <c r="G2065">
        <v>0.31045291630767302</v>
      </c>
      <c r="H2065">
        <v>6.3209388268491803E-2</v>
      </c>
      <c r="I2065">
        <v>8.68355869162762E-2</v>
      </c>
      <c r="J2065">
        <v>0.13307730806444601</v>
      </c>
      <c r="K2065">
        <v>0</v>
      </c>
      <c r="L2065">
        <v>12541.076345256</v>
      </c>
      <c r="M2065">
        <v>250</v>
      </c>
      <c r="N2065">
        <v>50.217583508136201</v>
      </c>
      <c r="O2065">
        <v>50.161094396172203</v>
      </c>
      <c r="P2065">
        <v>-1.10084338813822</v>
      </c>
      <c r="Q2065">
        <v>0.116487841180408</v>
      </c>
      <c r="R2065">
        <v>0.93857018426601901</v>
      </c>
      <c r="S2065" t="s">
        <v>5897</v>
      </c>
      <c r="T2065" t="s">
        <v>7662</v>
      </c>
      <c r="U2065" t="s">
        <v>7662</v>
      </c>
      <c r="V2065" t="s">
        <v>7662</v>
      </c>
      <c r="W2065">
        <v>5</v>
      </c>
      <c r="X2065" t="s">
        <v>9727</v>
      </c>
      <c r="Y2065">
        <v>0.41590853645154691</v>
      </c>
      <c r="Z2065" t="str">
        <f>HYPERLINK("Melting_Curves/meltCurve_sp_Q8N1B4_VPS52_HUMAN_.pdf", "Melting_Curves/meltCurve_sp_Q8N1B4_VPS52_HUMAN_.pdf")</f>
        <v>Melting_Curves/meltCurve_sp_Q8N1B4_VPS52_HUMAN_.pdf</v>
      </c>
      <c r="AA2065" t="s">
        <v>13528</v>
      </c>
      <c r="AB2065" t="s">
        <v>17305</v>
      </c>
    </row>
    <row r="2066" spans="1:28" x14ac:dyDescent="0.25">
      <c r="A2066" t="s">
        <v>2070</v>
      </c>
      <c r="B2066">
        <v>0.98876768158843997</v>
      </c>
      <c r="C2066">
        <v>0.93968022448649202</v>
      </c>
      <c r="D2066">
        <v>0.95387767742509799</v>
      </c>
      <c r="E2066">
        <v>0.51830014883415099</v>
      </c>
      <c r="F2066">
        <v>0.12568516066204899</v>
      </c>
      <c r="G2066">
        <v>0.10504296002826601</v>
      </c>
      <c r="H2066">
        <v>6.9313092272735299E-2</v>
      </c>
      <c r="I2066">
        <v>6.4818422972136594E-2</v>
      </c>
      <c r="J2066">
        <v>0.15051207890044299</v>
      </c>
      <c r="K2066">
        <v>5.5503730884310098E-2</v>
      </c>
      <c r="L2066">
        <v>2252.8859828639902</v>
      </c>
      <c r="M2066">
        <v>45.193627495490702</v>
      </c>
      <c r="N2066">
        <v>50.057406833323199</v>
      </c>
      <c r="O2066">
        <v>49.7523369602835</v>
      </c>
      <c r="P2066">
        <v>-0.20767260947714899</v>
      </c>
      <c r="Q2066">
        <v>8.5518603348841093E-2</v>
      </c>
      <c r="R2066">
        <v>0.99289695674418099</v>
      </c>
      <c r="S2066" t="s">
        <v>5898</v>
      </c>
      <c r="T2066" t="s">
        <v>7662</v>
      </c>
      <c r="U2066" t="s">
        <v>7662</v>
      </c>
      <c r="V2066" t="s">
        <v>7662</v>
      </c>
      <c r="W2066">
        <v>1</v>
      </c>
      <c r="X2066" t="s">
        <v>9728</v>
      </c>
      <c r="Y2066">
        <v>0.38822686528534461</v>
      </c>
      <c r="Z2066" t="str">
        <f>HYPERLINK("Melting_Curves/meltCurve_sp_Q8N1F7_NUP93_HUMAN_.pdf", "Melting_Curves/meltCurve_sp_Q8N1F7_NUP93_HUMAN_.pdf")</f>
        <v>Melting_Curves/meltCurve_sp_Q8N1F7_NUP93_HUMAN_.pdf</v>
      </c>
      <c r="AA2066" t="s">
        <v>13529</v>
      </c>
      <c r="AB2066" t="s">
        <v>17306</v>
      </c>
    </row>
    <row r="2067" spans="1:28" x14ac:dyDescent="0.25">
      <c r="A2067" t="s">
        <v>2071</v>
      </c>
      <c r="B2067">
        <v>0.98876768158843997</v>
      </c>
      <c r="C2067">
        <v>0.97832603536299401</v>
      </c>
      <c r="D2067">
        <v>0.87351535846251904</v>
      </c>
      <c r="E2067">
        <v>0.43788511367655197</v>
      </c>
      <c r="F2067">
        <v>0.39394917111619998</v>
      </c>
      <c r="G2067">
        <v>0.24151350719190201</v>
      </c>
      <c r="H2067">
        <v>0.210746865639272</v>
      </c>
      <c r="I2067">
        <v>0.20350369834688001</v>
      </c>
      <c r="J2067">
        <v>0.213066829347139</v>
      </c>
      <c r="K2067">
        <v>0.22731186079343599</v>
      </c>
      <c r="L2067">
        <v>1155.5810209505</v>
      </c>
      <c r="M2067">
        <v>23.721516021701898</v>
      </c>
      <c r="N2067">
        <v>49.9287475856176</v>
      </c>
      <c r="O2067">
        <v>48.372209222153003</v>
      </c>
      <c r="P2067">
        <v>-9.5728543187274695E-2</v>
      </c>
      <c r="Q2067">
        <v>0.21918540869664299</v>
      </c>
      <c r="R2067">
        <v>0.98979677822916401</v>
      </c>
      <c r="S2067" t="s">
        <v>5899</v>
      </c>
      <c r="T2067" t="s">
        <v>7662</v>
      </c>
      <c r="U2067" t="s">
        <v>7662</v>
      </c>
      <c r="V2067" t="s">
        <v>7662</v>
      </c>
      <c r="W2067">
        <v>4</v>
      </c>
      <c r="X2067" t="s">
        <v>9729</v>
      </c>
      <c r="Y2067">
        <v>0.45370248691499487</v>
      </c>
      <c r="Z2067" t="str">
        <f>HYPERLINK("Melting_Curves/meltCurve_sp_Q8N1G2_MTR1_HUMAN_.pdf", "Melting_Curves/meltCurve_sp_Q8N1G2_MTR1_HUMAN_.pdf")</f>
        <v>Melting_Curves/meltCurve_sp_Q8N1G2_MTR1_HUMAN_.pdf</v>
      </c>
      <c r="AA2067" t="s">
        <v>13530</v>
      </c>
      <c r="AB2067" t="s">
        <v>17307</v>
      </c>
    </row>
    <row r="2068" spans="1:28" x14ac:dyDescent="0.25">
      <c r="A2068" t="s">
        <v>2072</v>
      </c>
      <c r="B2068">
        <v>0.98876768158843997</v>
      </c>
      <c r="C2068">
        <v>1.0178908198847401</v>
      </c>
      <c r="D2068">
        <v>0.84660610923705804</v>
      </c>
      <c r="E2068">
        <v>0.73833509754054805</v>
      </c>
      <c r="F2068">
        <v>0.51648948770171499</v>
      </c>
      <c r="G2068">
        <v>0.13494749981338999</v>
      </c>
      <c r="H2068">
        <v>5.3046365794023401E-2</v>
      </c>
      <c r="I2068">
        <v>4.7176855329423902E-2</v>
      </c>
      <c r="J2068">
        <v>5.2160342988759198E-2</v>
      </c>
      <c r="K2068">
        <v>4.1966559712507998E-2</v>
      </c>
      <c r="L2068">
        <v>1020.42585002461</v>
      </c>
      <c r="M2068">
        <v>19.425868406635999</v>
      </c>
      <c r="N2068">
        <v>52.611342097353301</v>
      </c>
      <c r="O2068">
        <v>51.9820665507741</v>
      </c>
      <c r="P2068">
        <v>-9.2034322980647995E-2</v>
      </c>
      <c r="Q2068">
        <v>1.49300958987262E-2</v>
      </c>
      <c r="R2068">
        <v>0.98921107658423002</v>
      </c>
      <c r="S2068" t="s">
        <v>5900</v>
      </c>
      <c r="T2068" t="s">
        <v>7662</v>
      </c>
      <c r="U2068" t="s">
        <v>7662</v>
      </c>
      <c r="V2068" t="s">
        <v>7662</v>
      </c>
      <c r="W2068">
        <v>19</v>
      </c>
      <c r="X2068" t="s">
        <v>9730</v>
      </c>
      <c r="Y2068">
        <v>0.44063569306089878</v>
      </c>
      <c r="Z2068" t="str">
        <f>HYPERLINK("Melting_Curves/meltCurve_sp_Q8N1G4_LRC47_HUMAN_.pdf", "Melting_Curves/meltCurve_sp_Q8N1G4_LRC47_HUMAN_.pdf")</f>
        <v>Melting_Curves/meltCurve_sp_Q8N1G4_LRC47_HUMAN_.pdf</v>
      </c>
      <c r="AA2068" t="s">
        <v>13531</v>
      </c>
      <c r="AB2068" t="s">
        <v>17308</v>
      </c>
    </row>
    <row r="2069" spans="1:28" x14ac:dyDescent="0.25">
      <c r="A2069" t="s">
        <v>2073</v>
      </c>
      <c r="B2069">
        <v>0.98876768158843997</v>
      </c>
      <c r="C2069">
        <v>1.00862044954057</v>
      </c>
      <c r="D2069">
        <v>0.86845443472544703</v>
      </c>
      <c r="E2069">
        <v>0.50800476680602202</v>
      </c>
      <c r="F2069">
        <v>0.50935440337707805</v>
      </c>
      <c r="G2069">
        <v>0.327234526957772</v>
      </c>
      <c r="H2069">
        <v>0.26475675622957601</v>
      </c>
      <c r="I2069">
        <v>0.26014462419523299</v>
      </c>
      <c r="J2069">
        <v>0.57082614136924004</v>
      </c>
      <c r="K2069">
        <v>0.42011172442557099</v>
      </c>
      <c r="L2069">
        <v>1352.1932968348001</v>
      </c>
      <c r="M2069">
        <v>28.103925257031499</v>
      </c>
      <c r="N2069">
        <v>50.668404803490603</v>
      </c>
      <c r="O2069">
        <v>47.872406306886496</v>
      </c>
      <c r="P2069">
        <v>-9.1177274304163697E-2</v>
      </c>
      <c r="Q2069">
        <v>0.37875743645405902</v>
      </c>
      <c r="R2069">
        <v>0.89244576089768402</v>
      </c>
      <c r="S2069" t="s">
        <v>5901</v>
      </c>
      <c r="T2069" t="s">
        <v>7662</v>
      </c>
      <c r="U2069" t="s">
        <v>7662</v>
      </c>
      <c r="V2069" t="s">
        <v>7662</v>
      </c>
      <c r="W2069">
        <v>6</v>
      </c>
      <c r="X2069" t="s">
        <v>9731</v>
      </c>
      <c r="Y2069">
        <v>0.55107382586200659</v>
      </c>
      <c r="Z2069" t="str">
        <f>HYPERLINK("Melting_Curves/meltCurve_sp_Q8N1I0_DOCK4_HUMAN_.pdf", "Melting_Curves/meltCurve_sp_Q8N1I0_DOCK4_HUMAN_.pdf")</f>
        <v>Melting_Curves/meltCurve_sp_Q8N1I0_DOCK4_HUMAN_.pdf</v>
      </c>
      <c r="AA2069" t="s">
        <v>13532</v>
      </c>
      <c r="AB2069" t="s">
        <v>17309</v>
      </c>
    </row>
    <row r="2070" spans="1:28" x14ac:dyDescent="0.25">
      <c r="A2070" t="s">
        <v>2074</v>
      </c>
      <c r="B2070">
        <v>0.98876768158843997</v>
      </c>
      <c r="C2070">
        <v>1.00749644972372</v>
      </c>
      <c r="D2070">
        <v>1.09623568310633</v>
      </c>
      <c r="E2070">
        <v>0.78306887512540502</v>
      </c>
      <c r="F2070">
        <v>0.64760757557039805</v>
      </c>
      <c r="G2070">
        <v>0.39776280581900297</v>
      </c>
      <c r="H2070">
        <v>0.208784666982548</v>
      </c>
      <c r="I2070">
        <v>9.16734357259677E-2</v>
      </c>
      <c r="J2070">
        <v>8.4002480515712602E-2</v>
      </c>
      <c r="K2070">
        <v>7.2204542122158905E-2</v>
      </c>
      <c r="L2070">
        <v>914.47815598102102</v>
      </c>
      <c r="M2070">
        <v>16.665526277502</v>
      </c>
      <c r="N2070">
        <v>55.147661306477801</v>
      </c>
      <c r="O2070">
        <v>54.100631340152198</v>
      </c>
      <c r="P2070">
        <v>-7.3943662053013004E-2</v>
      </c>
      <c r="Q2070">
        <v>3.99027331411307E-2</v>
      </c>
      <c r="R2070">
        <v>0.984956202223083</v>
      </c>
      <c r="S2070" t="s">
        <v>5902</v>
      </c>
      <c r="T2070" t="s">
        <v>7662</v>
      </c>
      <c r="U2070" t="s">
        <v>7662</v>
      </c>
      <c r="V2070" t="s">
        <v>7662</v>
      </c>
      <c r="W2070">
        <v>1</v>
      </c>
      <c r="X2070" t="s">
        <v>9732</v>
      </c>
      <c r="Y2070">
        <v>0.53238240568394846</v>
      </c>
      <c r="Z2070" t="str">
        <f>HYPERLINK("Melting_Curves/meltCurve_sp_Q8N1Q1_CAH13_HUMAN_.pdf", "Melting_Curves/meltCurve_sp_Q8N1Q1_CAH13_HUMAN_.pdf")</f>
        <v>Melting_Curves/meltCurve_sp_Q8N1Q1_CAH13_HUMAN_.pdf</v>
      </c>
      <c r="AA2070" t="s">
        <v>13533</v>
      </c>
      <c r="AB2070" t="s">
        <v>17310</v>
      </c>
    </row>
    <row r="2071" spans="1:28" x14ac:dyDescent="0.25">
      <c r="A2071" t="s">
        <v>2075</v>
      </c>
      <c r="B2071">
        <v>0.98876768158843997</v>
      </c>
      <c r="C2071">
        <v>1.07176580421201</v>
      </c>
      <c r="D2071">
        <v>0.82532954139733405</v>
      </c>
      <c r="E2071">
        <v>0.61223664666953403</v>
      </c>
      <c r="F2071">
        <v>0.66117073381610703</v>
      </c>
      <c r="G2071">
        <v>0.45455086218358998</v>
      </c>
      <c r="H2071">
        <v>0.37018796556953898</v>
      </c>
      <c r="I2071">
        <v>0.43218878804175698</v>
      </c>
      <c r="J2071">
        <v>0.609728117572781</v>
      </c>
      <c r="K2071">
        <v>0.64401687309937095</v>
      </c>
      <c r="L2071">
        <v>1214.9251404193401</v>
      </c>
      <c r="M2071">
        <v>25.487232651309</v>
      </c>
      <c r="O2071">
        <v>47.377444324248799</v>
      </c>
      <c r="P2071">
        <v>-6.4956735910012803E-2</v>
      </c>
      <c r="Q2071">
        <v>0.51702158560431499</v>
      </c>
      <c r="R2071">
        <v>0.83095826844777199</v>
      </c>
      <c r="S2071" t="s">
        <v>5903</v>
      </c>
      <c r="T2071" t="s">
        <v>7662</v>
      </c>
      <c r="U2071" t="s">
        <v>7662</v>
      </c>
      <c r="V2071" t="s">
        <v>7662</v>
      </c>
      <c r="W2071">
        <v>1</v>
      </c>
      <c r="X2071" t="s">
        <v>9733</v>
      </c>
      <c r="Y2071">
        <v>0.6445724312771034</v>
      </c>
      <c r="Z2071" t="str">
        <f>HYPERLINK("Melting_Curves/meltCurve_sp_Q8N201_INT1_HUMAN_.pdf", "Melting_Curves/meltCurve_sp_Q8N201_INT1_HUMAN_.pdf")</f>
        <v>Melting_Curves/meltCurve_sp_Q8N201_INT1_HUMAN_.pdf</v>
      </c>
      <c r="AA2071" t="s">
        <v>13534</v>
      </c>
      <c r="AB2071" t="s">
        <v>17311</v>
      </c>
    </row>
    <row r="2072" spans="1:28" x14ac:dyDescent="0.25">
      <c r="A2072" t="s">
        <v>2076</v>
      </c>
      <c r="B2072">
        <v>0.98876768158843997</v>
      </c>
      <c r="C2072">
        <v>1.0317422627117401</v>
      </c>
      <c r="D2072">
        <v>0.94073489747983996</v>
      </c>
      <c r="E2072">
        <v>0.89762453747258697</v>
      </c>
      <c r="F2072">
        <v>0.53743626988474003</v>
      </c>
      <c r="G2072">
        <v>0.22465447227968299</v>
      </c>
      <c r="H2072">
        <v>0.15009160791057599</v>
      </c>
      <c r="I2072">
        <v>0.14356256898400299</v>
      </c>
      <c r="J2072">
        <v>0.14265768724587599</v>
      </c>
      <c r="K2072">
        <v>0.15364815319684999</v>
      </c>
      <c r="L2072">
        <v>1745.81305536181</v>
      </c>
      <c r="M2072">
        <v>33.069523159869199</v>
      </c>
      <c r="N2072">
        <v>53.348656181372597</v>
      </c>
      <c r="O2072">
        <v>52.600279053353198</v>
      </c>
      <c r="P2072">
        <v>-0.13424813382196599</v>
      </c>
      <c r="Q2072">
        <v>0.14586516417263001</v>
      </c>
      <c r="R2072">
        <v>0.996920582690765</v>
      </c>
      <c r="S2072" t="s">
        <v>5904</v>
      </c>
      <c r="T2072" t="s">
        <v>7662</v>
      </c>
      <c r="U2072" t="s">
        <v>7662</v>
      </c>
      <c r="V2072" t="s">
        <v>7662</v>
      </c>
      <c r="W2072">
        <v>2</v>
      </c>
      <c r="X2072" t="s">
        <v>9734</v>
      </c>
      <c r="Y2072">
        <v>0.51462953795551836</v>
      </c>
      <c r="Z2072" t="str">
        <f>HYPERLINK("Melting_Curves/meltCurve_sp_Q8N283_ANR35_HUMAN_.pdf", "Melting_Curves/meltCurve_sp_Q8N283_ANR35_HUMAN_.pdf")</f>
        <v>Melting_Curves/meltCurve_sp_Q8N283_ANR35_HUMAN_.pdf</v>
      </c>
      <c r="AA2072" t="s">
        <v>13535</v>
      </c>
      <c r="AB2072" t="s">
        <v>17312</v>
      </c>
    </row>
    <row r="2073" spans="1:28" x14ac:dyDescent="0.25">
      <c r="A2073" t="s">
        <v>2077</v>
      </c>
      <c r="B2073">
        <v>0.98876768158843997</v>
      </c>
      <c r="C2073">
        <v>1.02181154248586</v>
      </c>
      <c r="D2073">
        <v>0.84392151451456998</v>
      </c>
      <c r="E2073">
        <v>0.79351907512220998</v>
      </c>
      <c r="F2073">
        <v>0.50977064424556395</v>
      </c>
      <c r="G2073">
        <v>0.360153545456116</v>
      </c>
      <c r="H2073">
        <v>0.23672175433465001</v>
      </c>
      <c r="I2073">
        <v>0.187805282955056</v>
      </c>
      <c r="J2073">
        <v>0.18761092477748001</v>
      </c>
      <c r="K2073">
        <v>0.19016353514682</v>
      </c>
      <c r="L2073">
        <v>831.42981875353405</v>
      </c>
      <c r="M2073">
        <v>15.851723170733701</v>
      </c>
      <c r="N2073">
        <v>53.7565591303551</v>
      </c>
      <c r="O2073">
        <v>51.636992285921103</v>
      </c>
      <c r="P2073">
        <v>-6.4485099112420396E-2</v>
      </c>
      <c r="Q2073">
        <v>0.15982744288238601</v>
      </c>
      <c r="R2073">
        <v>0.98797926663851698</v>
      </c>
      <c r="S2073" t="s">
        <v>5905</v>
      </c>
      <c r="T2073" t="s">
        <v>7662</v>
      </c>
      <c r="U2073" t="s">
        <v>7662</v>
      </c>
      <c r="V2073" t="s">
        <v>7662</v>
      </c>
      <c r="W2073">
        <v>2</v>
      </c>
      <c r="X2073" t="s">
        <v>9735</v>
      </c>
      <c r="Y2073">
        <v>0.52552262959605467</v>
      </c>
      <c r="Z2073" t="str">
        <f>HYPERLINK("Melting_Curves/meltCurve_sp_Q8N2H3_PYRD2_HUMAN_.pdf", "Melting_Curves/meltCurve_sp_Q8N2H3_PYRD2_HUMAN_.pdf")</f>
        <v>Melting_Curves/meltCurve_sp_Q8N2H3_PYRD2_HUMAN_.pdf</v>
      </c>
      <c r="AA2073" t="s">
        <v>13536</v>
      </c>
      <c r="AB2073" t="s">
        <v>17313</v>
      </c>
    </row>
    <row r="2074" spans="1:28" x14ac:dyDescent="0.25">
      <c r="A2074" t="s">
        <v>2078</v>
      </c>
      <c r="B2074">
        <v>0.98876768158843997</v>
      </c>
      <c r="C2074">
        <v>3.7530056878116702</v>
      </c>
      <c r="D2074">
        <v>1.7321497644500901</v>
      </c>
      <c r="E2074">
        <v>3.34975140664482</v>
      </c>
      <c r="F2074">
        <v>1.4173082804697199</v>
      </c>
      <c r="G2074">
        <v>0.85720660589223996</v>
      </c>
      <c r="H2074">
        <v>0.91289555691179602</v>
      </c>
      <c r="I2074">
        <v>2.50511601513898</v>
      </c>
      <c r="J2074">
        <v>1.17894370202859</v>
      </c>
      <c r="K2074">
        <v>1.0105312639044699</v>
      </c>
      <c r="L2074">
        <v>1.0000000000000001E-5</v>
      </c>
      <c r="M2074">
        <v>10.6216093711013</v>
      </c>
      <c r="Q2074">
        <v>1.5</v>
      </c>
      <c r="R2074">
        <v>-7.1788938546714504E-2</v>
      </c>
      <c r="S2074" t="s">
        <v>5906</v>
      </c>
      <c r="T2074" t="s">
        <v>7662</v>
      </c>
      <c r="U2074" t="s">
        <v>7662</v>
      </c>
      <c r="V2074" t="s">
        <v>7662</v>
      </c>
      <c r="W2074">
        <v>2</v>
      </c>
      <c r="X2074" t="s">
        <v>9736</v>
      </c>
      <c r="Y2074">
        <v>1.499987808611891</v>
      </c>
      <c r="Z2074" t="str">
        <f>HYPERLINK("Melting_Curves/meltCurve_sp_Q8N3D4_EH1L1_HUMAN_.pdf", "Melting_Curves/meltCurve_sp_Q8N3D4_EH1L1_HUMAN_.pdf")</f>
        <v>Melting_Curves/meltCurve_sp_Q8N3D4_EH1L1_HUMAN_.pdf</v>
      </c>
      <c r="AA2074" t="s">
        <v>13537</v>
      </c>
      <c r="AB2074" t="s">
        <v>17314</v>
      </c>
    </row>
    <row r="2075" spans="1:28" x14ac:dyDescent="0.25">
      <c r="A2075" t="s">
        <v>2079</v>
      </c>
      <c r="B2075">
        <v>0.98876768158843997</v>
      </c>
      <c r="C2075">
        <v>1.1163187722611301</v>
      </c>
      <c r="D2075">
        <v>0.84093891061271797</v>
      </c>
      <c r="E2075">
        <v>0.68803107936570695</v>
      </c>
      <c r="F2075">
        <v>0.64121749942442996</v>
      </c>
      <c r="G2075">
        <v>0.34190111470366302</v>
      </c>
      <c r="H2075">
        <v>0.25458198851034902</v>
      </c>
      <c r="I2075">
        <v>0.300431238042427</v>
      </c>
      <c r="J2075">
        <v>0.447027537357995</v>
      </c>
      <c r="K2075">
        <v>0.45516889013425399</v>
      </c>
      <c r="L2075">
        <v>1010.02150246919</v>
      </c>
      <c r="M2075">
        <v>19.9750072012387</v>
      </c>
      <c r="N2075">
        <v>53.875070324565797</v>
      </c>
      <c r="O2075">
        <v>50.065663342991002</v>
      </c>
      <c r="P2075">
        <v>-6.4487363677710102E-2</v>
      </c>
      <c r="Q2075">
        <v>0.353492692270166</v>
      </c>
      <c r="R2075">
        <v>0.90423663933474796</v>
      </c>
      <c r="S2075" t="s">
        <v>5907</v>
      </c>
      <c r="T2075" t="s">
        <v>7662</v>
      </c>
      <c r="U2075" t="s">
        <v>7662</v>
      </c>
      <c r="V2075" t="s">
        <v>7662</v>
      </c>
      <c r="W2075">
        <v>3</v>
      </c>
      <c r="X2075" t="s">
        <v>9737</v>
      </c>
      <c r="Y2075">
        <v>0.59016085052466238</v>
      </c>
      <c r="Z2075" t="str">
        <f>HYPERLINK("Melting_Curves/meltCurve_sp_Q8N3F8_MILK1_HUMAN_.pdf", "Melting_Curves/meltCurve_sp_Q8N3F8_MILK1_HUMAN_.pdf")</f>
        <v>Melting_Curves/meltCurve_sp_Q8N3F8_MILK1_HUMAN_.pdf</v>
      </c>
      <c r="AA2075" t="s">
        <v>13538</v>
      </c>
      <c r="AB2075" t="s">
        <v>17315</v>
      </c>
    </row>
    <row r="2076" spans="1:28" x14ac:dyDescent="0.25">
      <c r="A2076" t="s">
        <v>2080</v>
      </c>
      <c r="B2076">
        <v>0.98876768158843997</v>
      </c>
      <c r="C2076">
        <v>0.89072287711616105</v>
      </c>
      <c r="D2076">
        <v>0.95840696844482298</v>
      </c>
      <c r="E2076">
        <v>0.54111933886645402</v>
      </c>
      <c r="F2076">
        <v>0.30075232417536202</v>
      </c>
      <c r="G2076">
        <v>0.127213232218886</v>
      </c>
      <c r="H2076">
        <v>0.110176996739051</v>
      </c>
      <c r="I2076">
        <v>6.2992529525343802E-2</v>
      </c>
      <c r="J2076">
        <v>8.3551634944424996E-2</v>
      </c>
      <c r="K2076">
        <v>2.17106388857486E-2</v>
      </c>
      <c r="L2076">
        <v>1129.2108436078299</v>
      </c>
      <c r="M2076">
        <v>22.433857948679801</v>
      </c>
      <c r="N2076">
        <v>50.6343044570025</v>
      </c>
      <c r="O2076">
        <v>49.940277836022297</v>
      </c>
      <c r="P2076">
        <v>-0.10533452349467</v>
      </c>
      <c r="Q2076">
        <v>6.2073642646564203E-2</v>
      </c>
      <c r="R2076">
        <v>0.98923591171521497</v>
      </c>
      <c r="S2076" t="s">
        <v>5908</v>
      </c>
      <c r="T2076" t="s">
        <v>7662</v>
      </c>
      <c r="U2076" t="s">
        <v>7662</v>
      </c>
      <c r="V2076" t="s">
        <v>7662</v>
      </c>
      <c r="W2076">
        <v>1</v>
      </c>
      <c r="X2076" t="s">
        <v>9738</v>
      </c>
      <c r="Y2076">
        <v>0.3956210503407816</v>
      </c>
      <c r="Z2076" t="str">
        <f>HYPERLINK("Melting_Curves/meltCurve_sp_Q8N3P4_2_VPS8_HUMAN_.pdf", "Melting_Curves/meltCurve_sp_Q8N3P4_2_VPS8_HUMAN_.pdf")</f>
        <v>Melting_Curves/meltCurve_sp_Q8N3P4_2_VPS8_HUMAN_.pdf</v>
      </c>
      <c r="AA2076" t="s">
        <v>13539</v>
      </c>
      <c r="AB2076" t="s">
        <v>17316</v>
      </c>
    </row>
    <row r="2077" spans="1:28" x14ac:dyDescent="0.25">
      <c r="A2077" t="s">
        <v>2081</v>
      </c>
      <c r="B2077">
        <v>0.98876768158843997</v>
      </c>
      <c r="C2077">
        <v>1.0678177312411401</v>
      </c>
      <c r="D2077">
        <v>0.87655393657863301</v>
      </c>
      <c r="E2077">
        <v>0.61064198429486505</v>
      </c>
      <c r="F2077">
        <v>0.67271066252656297</v>
      </c>
      <c r="G2077">
        <v>0.50796723198812599</v>
      </c>
      <c r="H2077">
        <v>0.37837955191465</v>
      </c>
      <c r="I2077">
        <v>0.42104735085543399</v>
      </c>
      <c r="J2077">
        <v>0.60480852184178002</v>
      </c>
      <c r="K2077">
        <v>0.66965317254326495</v>
      </c>
      <c r="L2077">
        <v>1323.23374463458</v>
      </c>
      <c r="M2077">
        <v>27.574608130854401</v>
      </c>
      <c r="O2077">
        <v>47.737163265966203</v>
      </c>
      <c r="P2077">
        <v>-6.7862737511507107E-2</v>
      </c>
      <c r="Q2077">
        <v>0.53006855900211602</v>
      </c>
      <c r="R2077">
        <v>0.829704913651652</v>
      </c>
      <c r="S2077" t="s">
        <v>5909</v>
      </c>
      <c r="T2077" t="s">
        <v>7662</v>
      </c>
      <c r="U2077" t="s">
        <v>7662</v>
      </c>
      <c r="V2077" t="s">
        <v>7662</v>
      </c>
      <c r="W2077">
        <v>14</v>
      </c>
      <c r="X2077" t="s">
        <v>9739</v>
      </c>
      <c r="Y2077">
        <v>0.65856163280995772</v>
      </c>
      <c r="Z2077" t="str">
        <f>HYPERLINK("Melting_Curves/meltCurve_sp_Q8N3V7_2_SYNPO_HUMAN_.pdf", "Melting_Curves/meltCurve_sp_Q8N3V7_2_SYNPO_HUMAN_.pdf")</f>
        <v>Melting_Curves/meltCurve_sp_Q8N3V7_2_SYNPO_HUMAN_.pdf</v>
      </c>
      <c r="AA2077" t="s">
        <v>13540</v>
      </c>
      <c r="AB2077" t="s">
        <v>17317</v>
      </c>
    </row>
    <row r="2078" spans="1:28" x14ac:dyDescent="0.25">
      <c r="A2078" t="s">
        <v>2082</v>
      </c>
      <c r="B2078">
        <v>0.98876768158843997</v>
      </c>
      <c r="C2078">
        <v>0.93053073258362495</v>
      </c>
      <c r="D2078">
        <v>0.71216345676292503</v>
      </c>
      <c r="E2078">
        <v>0.54137191741224</v>
      </c>
      <c r="F2078">
        <v>0.53795718453942498</v>
      </c>
      <c r="G2078">
        <v>0.33772644116551098</v>
      </c>
      <c r="H2078">
        <v>0.259887256253097</v>
      </c>
      <c r="I2078">
        <v>0.36883336146047102</v>
      </c>
      <c r="J2078">
        <v>0.44119366207762001</v>
      </c>
      <c r="K2078">
        <v>0.422728417878246</v>
      </c>
      <c r="L2078">
        <v>813.65550992703095</v>
      </c>
      <c r="M2078">
        <v>17.254973443844499</v>
      </c>
      <c r="N2078">
        <v>51.1234309449273</v>
      </c>
      <c r="O2078">
        <v>46.535147108338499</v>
      </c>
      <c r="P2078">
        <v>-5.8495640862422302E-2</v>
      </c>
      <c r="Q2078">
        <v>0.36900628398785101</v>
      </c>
      <c r="R2078">
        <v>0.93483026462918295</v>
      </c>
      <c r="S2078" t="s">
        <v>5910</v>
      </c>
      <c r="T2078" t="s">
        <v>7662</v>
      </c>
      <c r="U2078" t="s">
        <v>7662</v>
      </c>
      <c r="V2078" t="s">
        <v>7662</v>
      </c>
      <c r="W2078">
        <v>3</v>
      </c>
      <c r="X2078" t="s">
        <v>9740</v>
      </c>
      <c r="Y2078">
        <v>0.53215272959057425</v>
      </c>
      <c r="Z2078" t="str">
        <f>HYPERLINK("Melting_Curves/meltCurve_sp_Q8N3X1_FNBP4_HUMAN_.pdf", "Melting_Curves/meltCurve_sp_Q8N3X1_FNBP4_HUMAN_.pdf")</f>
        <v>Melting_Curves/meltCurve_sp_Q8N3X1_FNBP4_HUMAN_.pdf</v>
      </c>
      <c r="AA2078" t="s">
        <v>13541</v>
      </c>
      <c r="AB2078" t="s">
        <v>17318</v>
      </c>
    </row>
    <row r="2079" spans="1:28" x14ac:dyDescent="0.25">
      <c r="A2079" t="s">
        <v>2083</v>
      </c>
      <c r="B2079">
        <v>0.98876768158843997</v>
      </c>
      <c r="C2079">
        <v>0.94520640972563197</v>
      </c>
      <c r="D2079">
        <v>0.98861454405180604</v>
      </c>
      <c r="E2079">
        <v>0.92586770864441703</v>
      </c>
      <c r="F2079">
        <v>0.67338886961545796</v>
      </c>
      <c r="G2079">
        <v>0.34996303669380802</v>
      </c>
      <c r="H2079">
        <v>0.14458533028632101</v>
      </c>
      <c r="I2079">
        <v>8.4660503225873901E-2</v>
      </c>
      <c r="J2079">
        <v>7.9958114549320905E-2</v>
      </c>
      <c r="K2079">
        <v>6.4415703661959603E-2</v>
      </c>
      <c r="L2079">
        <v>1213.26938749992</v>
      </c>
      <c r="M2079">
        <v>22.1501291043155</v>
      </c>
      <c r="N2079">
        <v>55.0771675231681</v>
      </c>
      <c r="O2079">
        <v>54.3342297362816</v>
      </c>
      <c r="P2079">
        <v>-9.6083952820743002E-2</v>
      </c>
      <c r="Q2079">
        <v>5.7245411384226501E-2</v>
      </c>
      <c r="R2079">
        <v>0.99714668079206503</v>
      </c>
      <c r="S2079" t="s">
        <v>5911</v>
      </c>
      <c r="T2079" t="s">
        <v>7662</v>
      </c>
      <c r="U2079" t="s">
        <v>7662</v>
      </c>
      <c r="V2079" t="s">
        <v>7662</v>
      </c>
      <c r="W2079">
        <v>10</v>
      </c>
      <c r="X2079" t="s">
        <v>9741</v>
      </c>
      <c r="Y2079">
        <v>0.53228058159868441</v>
      </c>
      <c r="Z2079" t="str">
        <f>HYPERLINK("Melting_Curves/meltCurve_sp_Q8N465_D2HDH_HUMAN_.pdf", "Melting_Curves/meltCurve_sp_Q8N465_D2HDH_HUMAN_.pdf")</f>
        <v>Melting_Curves/meltCurve_sp_Q8N465_D2HDH_HUMAN_.pdf</v>
      </c>
      <c r="AA2079" t="s">
        <v>13542</v>
      </c>
      <c r="AB2079" t="s">
        <v>17319</v>
      </c>
    </row>
    <row r="2080" spans="1:28" x14ac:dyDescent="0.25">
      <c r="A2080" t="s">
        <v>2084</v>
      </c>
      <c r="B2080">
        <v>0.98876768158843997</v>
      </c>
      <c r="C2080">
        <v>1.2116332529037499</v>
      </c>
      <c r="D2080">
        <v>0.90539426780125798</v>
      </c>
      <c r="E2080">
        <v>0.76594109276594502</v>
      </c>
      <c r="F2080">
        <v>0.83516700151094003</v>
      </c>
      <c r="G2080">
        <v>0.74142314009686305</v>
      </c>
      <c r="H2080">
        <v>0.49699719615231702</v>
      </c>
      <c r="I2080">
        <v>0.65929322315775296</v>
      </c>
      <c r="J2080">
        <v>0.44717456386392701</v>
      </c>
      <c r="K2080">
        <v>0.76825622800708804</v>
      </c>
      <c r="L2080">
        <v>850.22424749528102</v>
      </c>
      <c r="M2080">
        <v>16.397958007454999</v>
      </c>
      <c r="O2080">
        <v>51.096666256918098</v>
      </c>
      <c r="P2080">
        <v>-3.2370089937842399E-2</v>
      </c>
      <c r="Q2080">
        <v>0.59656278160551801</v>
      </c>
      <c r="R2080">
        <v>0.68482007484459895</v>
      </c>
      <c r="S2080" t="s">
        <v>5912</v>
      </c>
      <c r="T2080" t="s">
        <v>7662</v>
      </c>
      <c r="U2080" t="s">
        <v>7662</v>
      </c>
      <c r="V2080" t="s">
        <v>7662</v>
      </c>
      <c r="W2080">
        <v>1</v>
      </c>
      <c r="X2080" t="s">
        <v>9742</v>
      </c>
      <c r="Y2080">
        <v>0.76377950251112836</v>
      </c>
      <c r="Z2080" t="str">
        <f>HYPERLINK("Melting_Curves/meltCurve_sp_Q8N488_RYBP_HUMAN_.pdf", "Melting_Curves/meltCurve_sp_Q8N488_RYBP_HUMAN_.pdf")</f>
        <v>Melting_Curves/meltCurve_sp_Q8N488_RYBP_HUMAN_.pdf</v>
      </c>
      <c r="AA2080" t="s">
        <v>13543</v>
      </c>
      <c r="AB2080" t="s">
        <v>17320</v>
      </c>
    </row>
    <row r="2081" spans="1:28" x14ac:dyDescent="0.25">
      <c r="A2081" t="s">
        <v>2085</v>
      </c>
      <c r="B2081">
        <v>0.98876768158843997</v>
      </c>
      <c r="C2081">
        <v>0.99828426146597304</v>
      </c>
      <c r="D2081">
        <v>0.96615892389414704</v>
      </c>
      <c r="E2081">
        <v>0.52900184002948503</v>
      </c>
      <c r="F2081">
        <v>0.33610553857644898</v>
      </c>
      <c r="G2081">
        <v>0.14506307478937</v>
      </c>
      <c r="H2081">
        <v>9.6939805120089401E-2</v>
      </c>
      <c r="I2081">
        <v>8.6368577587653095E-2</v>
      </c>
      <c r="J2081">
        <v>0.109934431794091</v>
      </c>
      <c r="K2081">
        <v>7.8049947791974994E-2</v>
      </c>
      <c r="L2081">
        <v>1225.0349141039901</v>
      </c>
      <c r="M2081">
        <v>24.3669065421577</v>
      </c>
      <c r="N2081">
        <v>50.700726458160403</v>
      </c>
      <c r="O2081">
        <v>49.939597004776601</v>
      </c>
      <c r="P2081">
        <v>-0.11068733383941499</v>
      </c>
      <c r="Q2081">
        <v>9.2605626006025205E-2</v>
      </c>
      <c r="R2081">
        <v>0.99486493861385605</v>
      </c>
      <c r="S2081" t="s">
        <v>5913</v>
      </c>
      <c r="T2081" t="s">
        <v>7662</v>
      </c>
      <c r="U2081" t="s">
        <v>7662</v>
      </c>
      <c r="V2081" t="s">
        <v>7662</v>
      </c>
      <c r="W2081">
        <v>2</v>
      </c>
      <c r="X2081" t="s">
        <v>9743</v>
      </c>
      <c r="Y2081">
        <v>0.41193460109464508</v>
      </c>
      <c r="Z2081" t="str">
        <f>HYPERLINK("Melting_Curves/meltCurve_sp_Q8N490_4_PNKD_HUMAN_.pdf", "Melting_Curves/meltCurve_sp_Q8N490_4_PNKD_HUMAN_.pdf")</f>
        <v>Melting_Curves/meltCurve_sp_Q8N490_4_PNKD_HUMAN_.pdf</v>
      </c>
      <c r="AA2081" t="s">
        <v>13544</v>
      </c>
      <c r="AB2081" t="s">
        <v>17321</v>
      </c>
    </row>
    <row r="2082" spans="1:28" x14ac:dyDescent="0.25">
      <c r="A2082" t="s">
        <v>2086</v>
      </c>
      <c r="B2082">
        <v>0.98876768158843997</v>
      </c>
      <c r="C2082">
        <v>1.0238545759367501</v>
      </c>
      <c r="D2082">
        <v>0.97952531977333301</v>
      </c>
      <c r="E2082">
        <v>0.78888814390524498</v>
      </c>
      <c r="F2082">
        <v>0.41532373088396202</v>
      </c>
      <c r="G2082">
        <v>0.44666485532317002</v>
      </c>
      <c r="H2082">
        <v>0.30929529118127702</v>
      </c>
      <c r="I2082">
        <v>0.26603099319226797</v>
      </c>
      <c r="J2082">
        <v>0.66630402688699397</v>
      </c>
      <c r="K2082">
        <v>0.21426369571626799</v>
      </c>
      <c r="L2082">
        <v>2930.7667516595602</v>
      </c>
      <c r="M2082">
        <v>57.960977177485297</v>
      </c>
      <c r="N2082">
        <v>51.837166651129699</v>
      </c>
      <c r="O2082">
        <v>50.5044046589719</v>
      </c>
      <c r="P2082">
        <v>-0.17802557545740699</v>
      </c>
      <c r="Q2082">
        <v>0.37950874882964097</v>
      </c>
      <c r="R2082">
        <v>0.85505877342874503</v>
      </c>
      <c r="S2082" t="s">
        <v>5914</v>
      </c>
      <c r="T2082" t="s">
        <v>7662</v>
      </c>
      <c r="U2082" t="s">
        <v>7662</v>
      </c>
      <c r="V2082" t="s">
        <v>7662</v>
      </c>
      <c r="W2082">
        <v>2</v>
      </c>
      <c r="X2082" t="s">
        <v>9744</v>
      </c>
      <c r="Y2082">
        <v>0.59904276708832349</v>
      </c>
      <c r="Z2082" t="str">
        <f>HYPERLINK("Melting_Curves/meltCurve_sp_Q8N4C8_2_MINK1_HUMAN_.pdf", "Melting_Curves/meltCurve_sp_Q8N4C8_2_MINK1_HUMAN_.pdf")</f>
        <v>Melting_Curves/meltCurve_sp_Q8N4C8_2_MINK1_HUMAN_.pdf</v>
      </c>
      <c r="AA2082" t="s">
        <v>13545</v>
      </c>
      <c r="AB2082" t="s">
        <v>17322</v>
      </c>
    </row>
    <row r="2083" spans="1:28" x14ac:dyDescent="0.25">
      <c r="A2083" t="s">
        <v>2087</v>
      </c>
      <c r="B2083">
        <v>0.98876768158843997</v>
      </c>
      <c r="C2083">
        <v>0.89348134756248498</v>
      </c>
      <c r="D2083">
        <v>0.88498770944123395</v>
      </c>
      <c r="E2083">
        <v>0.76332581078783801</v>
      </c>
      <c r="F2083">
        <v>0.265360549646184</v>
      </c>
      <c r="G2083">
        <v>7.1422748798530694E-2</v>
      </c>
      <c r="H2083">
        <v>3.2048502017924703E-2</v>
      </c>
      <c r="I2083">
        <v>3.28784667008091E-2</v>
      </c>
      <c r="J2083">
        <v>0</v>
      </c>
      <c r="K2083">
        <v>1.9666918610964101E-2</v>
      </c>
      <c r="L2083">
        <v>1752.6126280195999</v>
      </c>
      <c r="M2083">
        <v>34.056041057321899</v>
      </c>
      <c r="N2083">
        <v>51.527229095427799</v>
      </c>
      <c r="O2083">
        <v>51.2861339592164</v>
      </c>
      <c r="P2083">
        <v>-0.16254004421163201</v>
      </c>
      <c r="Q2083">
        <v>2.0905844030798398E-2</v>
      </c>
      <c r="R2083">
        <v>0.98616598625409102</v>
      </c>
      <c r="S2083" t="s">
        <v>5915</v>
      </c>
      <c r="T2083" t="s">
        <v>7662</v>
      </c>
      <c r="U2083" t="s">
        <v>7662</v>
      </c>
      <c r="V2083" t="s">
        <v>7662</v>
      </c>
      <c r="W2083">
        <v>1</v>
      </c>
      <c r="X2083" t="s">
        <v>9745</v>
      </c>
      <c r="Y2083">
        <v>0.39981696682208923</v>
      </c>
      <c r="Z2083" t="str">
        <f>HYPERLINK("Melting_Curves/meltCurve_sp_Q8N4J0_CI041_HUMAN_.pdf", "Melting_Curves/meltCurve_sp_Q8N4J0_CI041_HUMAN_.pdf")</f>
        <v>Melting_Curves/meltCurve_sp_Q8N4J0_CI041_HUMAN_.pdf</v>
      </c>
      <c r="AA2083" t="s">
        <v>13546</v>
      </c>
      <c r="AB2083" t="s">
        <v>17323</v>
      </c>
    </row>
    <row r="2084" spans="1:28" x14ac:dyDescent="0.25">
      <c r="A2084" t="s">
        <v>2088</v>
      </c>
      <c r="B2084">
        <v>0.98876768158843997</v>
      </c>
      <c r="C2084">
        <v>1.0947097531636201</v>
      </c>
      <c r="D2084">
        <v>0.97593207755354205</v>
      </c>
      <c r="E2084">
        <v>0.821890722093363</v>
      </c>
      <c r="F2084">
        <v>0.63841392215270698</v>
      </c>
      <c r="G2084">
        <v>0.32697794671504998</v>
      </c>
      <c r="H2084">
        <v>0.14343479414875401</v>
      </c>
      <c r="I2084">
        <v>0.132349146124392</v>
      </c>
      <c r="J2084">
        <v>0.116628814537721</v>
      </c>
      <c r="K2084">
        <v>0.16989214315005399</v>
      </c>
      <c r="L2084">
        <v>1166.0408146873799</v>
      </c>
      <c r="M2084">
        <v>21.7157864706193</v>
      </c>
      <c r="N2084">
        <v>54.3727528278107</v>
      </c>
      <c r="O2084">
        <v>53.246403826278097</v>
      </c>
      <c r="P2084">
        <v>-8.9880236512934905E-2</v>
      </c>
      <c r="Q2084">
        <v>0.118486822403745</v>
      </c>
      <c r="R2084">
        <v>0.98986467192565397</v>
      </c>
      <c r="S2084" t="s">
        <v>5916</v>
      </c>
      <c r="T2084" t="s">
        <v>7662</v>
      </c>
      <c r="U2084" t="s">
        <v>7662</v>
      </c>
      <c r="V2084" t="s">
        <v>7662</v>
      </c>
      <c r="W2084">
        <v>5</v>
      </c>
      <c r="X2084" t="s">
        <v>9746</v>
      </c>
      <c r="Y2084">
        <v>0.53139014353848535</v>
      </c>
      <c r="Z2084" t="str">
        <f>HYPERLINK("Melting_Curves/meltCurve_sp_Q8N4P3_MESH1_HUMAN_.pdf", "Melting_Curves/meltCurve_sp_Q8N4P3_MESH1_HUMAN_.pdf")</f>
        <v>Melting_Curves/meltCurve_sp_Q8N4P3_MESH1_HUMAN_.pdf</v>
      </c>
      <c r="AA2084" t="s">
        <v>13547</v>
      </c>
      <c r="AB2084" t="s">
        <v>17324</v>
      </c>
    </row>
    <row r="2085" spans="1:28" x14ac:dyDescent="0.25">
      <c r="A2085" t="s">
        <v>2089</v>
      </c>
      <c r="B2085">
        <v>0.98876768158843997</v>
      </c>
      <c r="C2085">
        <v>0.98656621405259703</v>
      </c>
      <c r="D2085">
        <v>0.77195972684501002</v>
      </c>
      <c r="E2085">
        <v>0.42924956701094602</v>
      </c>
      <c r="F2085">
        <v>0.185871993499756</v>
      </c>
      <c r="G2085">
        <v>0.11926825045715</v>
      </c>
      <c r="H2085">
        <v>6.3395333009539007E-2</v>
      </c>
      <c r="I2085">
        <v>5.3357673908456402E-2</v>
      </c>
      <c r="J2085">
        <v>5.9324039247700702E-2</v>
      </c>
      <c r="K2085">
        <v>4.1382570510125401E-2</v>
      </c>
      <c r="L2085">
        <v>1017.8850594806</v>
      </c>
      <c r="M2085">
        <v>20.8394890280595</v>
      </c>
      <c r="N2085">
        <v>49.0960841884391</v>
      </c>
      <c r="O2085">
        <v>48.4009572691823</v>
      </c>
      <c r="P2085">
        <v>-0.102182369018292</v>
      </c>
      <c r="Q2085">
        <v>5.07276784860307E-2</v>
      </c>
      <c r="R2085">
        <v>0.99774367424585897</v>
      </c>
      <c r="S2085" t="s">
        <v>5917</v>
      </c>
      <c r="T2085" t="s">
        <v>7662</v>
      </c>
      <c r="U2085" t="s">
        <v>7662</v>
      </c>
      <c r="V2085" t="s">
        <v>7662</v>
      </c>
      <c r="W2085">
        <v>8</v>
      </c>
      <c r="X2085" t="s">
        <v>9747</v>
      </c>
      <c r="Y2085">
        <v>0.34281550424162088</v>
      </c>
      <c r="Z2085" t="str">
        <f>HYPERLINK("Melting_Curves/meltCurve_sp_Q8N4Q0_ZADH2_HUMAN_.pdf", "Melting_Curves/meltCurve_sp_Q8N4Q0_ZADH2_HUMAN_.pdf")</f>
        <v>Melting_Curves/meltCurve_sp_Q8N4Q0_ZADH2_HUMAN_.pdf</v>
      </c>
      <c r="AA2085" t="s">
        <v>13548</v>
      </c>
      <c r="AB2085" t="s">
        <v>17325</v>
      </c>
    </row>
    <row r="2086" spans="1:28" x14ac:dyDescent="0.25">
      <c r="A2086" t="s">
        <v>2090</v>
      </c>
      <c r="B2086">
        <v>0.98876768158843997</v>
      </c>
      <c r="C2086">
        <v>0.93530953130182004</v>
      </c>
      <c r="D2086">
        <v>0.95587551099895096</v>
      </c>
      <c r="E2086">
        <v>0.792878077999565</v>
      </c>
      <c r="F2086">
        <v>1.08812497135509</v>
      </c>
      <c r="G2086">
        <v>0.75190273331000501</v>
      </c>
      <c r="H2086">
        <v>0.62543449862249501</v>
      </c>
      <c r="I2086">
        <v>0.62759155497499597</v>
      </c>
      <c r="J2086">
        <v>0.76423360850786703</v>
      </c>
      <c r="K2086">
        <v>0.93073176085812204</v>
      </c>
      <c r="L2086">
        <v>14089.7095477926</v>
      </c>
      <c r="M2086">
        <v>250</v>
      </c>
      <c r="O2086">
        <v>56.355231616370602</v>
      </c>
      <c r="P2086">
        <v>-0.29167899193672803</v>
      </c>
      <c r="Q2086">
        <v>0.73699780601614495</v>
      </c>
      <c r="R2086">
        <v>0.458633455249288</v>
      </c>
      <c r="S2086" t="s">
        <v>5918</v>
      </c>
      <c r="T2086" t="s">
        <v>7662</v>
      </c>
      <c r="U2086" t="s">
        <v>7662</v>
      </c>
      <c r="V2086" t="s">
        <v>7662</v>
      </c>
      <c r="W2086">
        <v>2</v>
      </c>
      <c r="X2086" t="s">
        <v>9748</v>
      </c>
      <c r="Y2086">
        <v>0.88043749711310204</v>
      </c>
      <c r="Z2086" t="str">
        <f>HYPERLINK("Melting_Curves/meltCurve_sp_Q8N4Q1_MIA40_HUMAN_.pdf", "Melting_Curves/meltCurve_sp_Q8N4Q1_MIA40_HUMAN_.pdf")</f>
        <v>Melting_Curves/meltCurve_sp_Q8N4Q1_MIA40_HUMAN_.pdf</v>
      </c>
      <c r="AA2086" t="s">
        <v>13549</v>
      </c>
      <c r="AB2086" t="s">
        <v>17326</v>
      </c>
    </row>
    <row r="2087" spans="1:28" x14ac:dyDescent="0.25">
      <c r="A2087" t="s">
        <v>2091</v>
      </c>
      <c r="B2087">
        <v>0.98876768158843997</v>
      </c>
      <c r="C2087">
        <v>0.92016192144548503</v>
      </c>
      <c r="D2087">
        <v>0.91962734621865105</v>
      </c>
      <c r="E2087">
        <v>0.84618314636758096</v>
      </c>
      <c r="F2087">
        <v>0.80284224702809903</v>
      </c>
      <c r="G2087">
        <v>0.58754960697715297</v>
      </c>
      <c r="H2087">
        <v>0.49973029172176903</v>
      </c>
      <c r="I2087">
        <v>0.45060399034381698</v>
      </c>
      <c r="J2087">
        <v>0.41463347095493203</v>
      </c>
      <c r="K2087">
        <v>0.34800430459111797</v>
      </c>
      <c r="L2087">
        <v>526.44303224368002</v>
      </c>
      <c r="M2087">
        <v>9.1960109249375392</v>
      </c>
      <c r="N2087">
        <v>61.517217095212899</v>
      </c>
      <c r="O2087">
        <v>54.734900567990998</v>
      </c>
      <c r="P2087">
        <v>-3.2114735764981903E-2</v>
      </c>
      <c r="Q2087">
        <v>0.23592035772214501</v>
      </c>
      <c r="R2087">
        <v>0.987022364551152</v>
      </c>
      <c r="S2087" t="s">
        <v>5919</v>
      </c>
      <c r="T2087" t="s">
        <v>7662</v>
      </c>
      <c r="U2087" t="s">
        <v>7662</v>
      </c>
      <c r="V2087" t="s">
        <v>7662</v>
      </c>
      <c r="W2087">
        <v>11</v>
      </c>
      <c r="X2087" t="s">
        <v>9749</v>
      </c>
      <c r="Y2087">
        <v>0.68518208346865772</v>
      </c>
      <c r="Z2087" t="str">
        <f>HYPERLINK("Melting_Curves/meltCurve_sp_Q8N4T8_CBR4_HUMAN_.pdf", "Melting_Curves/meltCurve_sp_Q8N4T8_CBR4_HUMAN_.pdf")</f>
        <v>Melting_Curves/meltCurve_sp_Q8N4T8_CBR4_HUMAN_.pdf</v>
      </c>
      <c r="AA2087" t="s">
        <v>13550</v>
      </c>
      <c r="AB2087" t="s">
        <v>17327</v>
      </c>
    </row>
    <row r="2088" spans="1:28" x14ac:dyDescent="0.25">
      <c r="A2088" t="s">
        <v>2092</v>
      </c>
      <c r="B2088">
        <v>0.98876768158843997</v>
      </c>
      <c r="C2088">
        <v>1.07732444822527</v>
      </c>
      <c r="D2088">
        <v>0.88836962542486797</v>
      </c>
      <c r="E2088">
        <v>0.76302698620982901</v>
      </c>
      <c r="F2088">
        <v>0.71841577031053105</v>
      </c>
      <c r="G2088">
        <v>0.45450149754168401</v>
      </c>
      <c r="H2088">
        <v>0.22722788465160401</v>
      </c>
      <c r="I2088">
        <v>0.19153853366019599</v>
      </c>
      <c r="J2088">
        <v>0.20946262702643301</v>
      </c>
      <c r="K2088">
        <v>0.25305866117987502</v>
      </c>
      <c r="L2088">
        <v>844.36483085538202</v>
      </c>
      <c r="M2088">
        <v>15.5896194389719</v>
      </c>
      <c r="N2088">
        <v>55.603483696629603</v>
      </c>
      <c r="O2088">
        <v>53.294273347173601</v>
      </c>
      <c r="P2088">
        <v>-6.0978891768983703E-2</v>
      </c>
      <c r="Q2088">
        <v>0.166228908496594</v>
      </c>
      <c r="R2088">
        <v>0.97237479574338703</v>
      </c>
      <c r="S2088" t="s">
        <v>5920</v>
      </c>
      <c r="T2088" t="s">
        <v>7662</v>
      </c>
      <c r="U2088" t="s">
        <v>7662</v>
      </c>
      <c r="V2088" t="s">
        <v>7662</v>
      </c>
      <c r="W2088">
        <v>9</v>
      </c>
      <c r="X2088" t="s">
        <v>9750</v>
      </c>
      <c r="Y2088">
        <v>0.57598729907798984</v>
      </c>
      <c r="Z2088" t="str">
        <f>HYPERLINK("Melting_Curves/meltCurve_sp_Q8N573_2_OXR1_HUMAN_.pdf", "Melting_Curves/meltCurve_sp_Q8N573_2_OXR1_HUMAN_.pdf")</f>
        <v>Melting_Curves/meltCurve_sp_Q8N573_2_OXR1_HUMAN_.pdf</v>
      </c>
      <c r="AA2088" t="s">
        <v>13551</v>
      </c>
      <c r="AB2088" t="s">
        <v>17328</v>
      </c>
    </row>
    <row r="2089" spans="1:28" x14ac:dyDescent="0.25">
      <c r="A2089" t="s">
        <v>2093</v>
      </c>
      <c r="B2089">
        <v>0.98876768158843997</v>
      </c>
      <c r="C2089">
        <v>1.1136394403429499</v>
      </c>
      <c r="D2089">
        <v>1.0350814572007201</v>
      </c>
      <c r="E2089">
        <v>0.59455176969497103</v>
      </c>
      <c r="F2089">
        <v>0.61394033885355104</v>
      </c>
      <c r="G2089">
        <v>0.111873180441894</v>
      </c>
      <c r="H2089">
        <v>3.3144384838947501E-2</v>
      </c>
      <c r="I2089">
        <v>2.2526399701143299E-2</v>
      </c>
      <c r="J2089">
        <v>3.3638120699035802E-2</v>
      </c>
      <c r="K2089">
        <v>0</v>
      </c>
      <c r="L2089">
        <v>1067.1459936751701</v>
      </c>
      <c r="M2089">
        <v>20.245125244870799</v>
      </c>
      <c r="N2089">
        <v>52.7112566958277</v>
      </c>
      <c r="O2089">
        <v>52.205047404480403</v>
      </c>
      <c r="P2089">
        <v>-9.6953049630984195E-2</v>
      </c>
      <c r="Q2089">
        <v>0</v>
      </c>
      <c r="R2089">
        <v>0.96324359516952796</v>
      </c>
      <c r="S2089" t="s">
        <v>5921</v>
      </c>
      <c r="T2089" t="s">
        <v>7662</v>
      </c>
      <c r="U2089" t="s">
        <v>7662</v>
      </c>
      <c r="V2089" t="s">
        <v>7662</v>
      </c>
      <c r="W2089">
        <v>1</v>
      </c>
      <c r="X2089" t="s">
        <v>9751</v>
      </c>
      <c r="Y2089">
        <v>0.4372046117740449</v>
      </c>
      <c r="Z2089" t="str">
        <f>HYPERLINK("Melting_Curves/meltCurve_sp_Q8N5C6_SRBD1_HUMAN_.pdf", "Melting_Curves/meltCurve_sp_Q8N5C6_SRBD1_HUMAN_.pdf")</f>
        <v>Melting_Curves/meltCurve_sp_Q8N5C6_SRBD1_HUMAN_.pdf</v>
      </c>
      <c r="AA2089" t="s">
        <v>13552</v>
      </c>
      <c r="AB2089" t="s">
        <v>17329</v>
      </c>
    </row>
    <row r="2090" spans="1:28" x14ac:dyDescent="0.25">
      <c r="A2090" t="s">
        <v>2094</v>
      </c>
      <c r="B2090">
        <v>0.98876768158843997</v>
      </c>
      <c r="C2090">
        <v>1.1321835519439001</v>
      </c>
      <c r="D2090">
        <v>0.83360782709221204</v>
      </c>
      <c r="E2090">
        <v>0.65456490566134196</v>
      </c>
      <c r="F2090">
        <v>0.76744544027044703</v>
      </c>
      <c r="G2090">
        <v>0.51144255361031299</v>
      </c>
      <c r="H2090">
        <v>0.42406803636053603</v>
      </c>
      <c r="I2090">
        <v>0.50677335369787202</v>
      </c>
      <c r="J2090">
        <v>0.75929689420887603</v>
      </c>
      <c r="K2090">
        <v>0.69915268088449001</v>
      </c>
      <c r="L2090">
        <v>11512.0183668765</v>
      </c>
      <c r="M2090">
        <v>250</v>
      </c>
      <c r="O2090">
        <v>46.045126523760999</v>
      </c>
      <c r="P2090">
        <v>-0.51914446513498103</v>
      </c>
      <c r="Q2090">
        <v>0.61753483771558604</v>
      </c>
      <c r="R2090">
        <v>0.70612713040564301</v>
      </c>
      <c r="S2090" t="s">
        <v>5922</v>
      </c>
      <c r="T2090" t="s">
        <v>7662</v>
      </c>
      <c r="U2090" t="s">
        <v>7662</v>
      </c>
      <c r="V2090" t="s">
        <v>7662</v>
      </c>
      <c r="W2090">
        <v>7</v>
      </c>
      <c r="X2090" t="s">
        <v>9752</v>
      </c>
      <c r="Y2090">
        <v>0.69467165946414056</v>
      </c>
      <c r="Z2090" t="str">
        <f>HYPERLINK("Melting_Curves/meltCurve_sp_Q8N5G2_MACOI_HUMAN_.pdf", "Melting_Curves/meltCurve_sp_Q8N5G2_MACOI_HUMAN_.pdf")</f>
        <v>Melting_Curves/meltCurve_sp_Q8N5G2_MACOI_HUMAN_.pdf</v>
      </c>
      <c r="AA2090" t="s">
        <v>13553</v>
      </c>
      <c r="AB2090" t="s">
        <v>17330</v>
      </c>
    </row>
    <row r="2091" spans="1:28" x14ac:dyDescent="0.25">
      <c r="A2091" t="s">
        <v>2095</v>
      </c>
      <c r="B2091">
        <v>0.98876768158843997</v>
      </c>
      <c r="C2091">
        <v>1.0223112857279599</v>
      </c>
      <c r="D2091">
        <v>0.78065510053182297</v>
      </c>
      <c r="E2091">
        <v>0.65646569028004198</v>
      </c>
      <c r="F2091">
        <v>0.64645863176558005</v>
      </c>
      <c r="G2091">
        <v>0.47371622431983901</v>
      </c>
      <c r="H2091">
        <v>0.28825783182105502</v>
      </c>
      <c r="I2091">
        <v>0.32472149002065098</v>
      </c>
      <c r="J2091">
        <v>0.38252039452555398</v>
      </c>
      <c r="K2091">
        <v>0.39788977985612201</v>
      </c>
      <c r="L2091">
        <v>662.66331054416196</v>
      </c>
      <c r="M2091">
        <v>13.1067118462355</v>
      </c>
      <c r="N2091">
        <v>54.985094793868299</v>
      </c>
      <c r="O2091">
        <v>49.425583586048198</v>
      </c>
      <c r="P2091">
        <v>-4.46967302076412E-2</v>
      </c>
      <c r="Q2091">
        <v>0.32590782851121503</v>
      </c>
      <c r="R2091">
        <v>0.94299647420693999</v>
      </c>
      <c r="S2091" t="s">
        <v>5923</v>
      </c>
      <c r="T2091" t="s">
        <v>7662</v>
      </c>
      <c r="U2091" t="s">
        <v>7662</v>
      </c>
      <c r="V2091" t="s">
        <v>7662</v>
      </c>
      <c r="W2091">
        <v>1</v>
      </c>
      <c r="X2091" t="s">
        <v>9753</v>
      </c>
      <c r="Y2091">
        <v>0.58288335653427636</v>
      </c>
      <c r="Z2091" t="str">
        <f>HYPERLINK("Melting_Curves/meltCurve_sp_Q8N5I9_CL045_HUMAN_.pdf", "Melting_Curves/meltCurve_sp_Q8N5I9_CL045_HUMAN_.pdf")</f>
        <v>Melting_Curves/meltCurve_sp_Q8N5I9_CL045_HUMAN_.pdf</v>
      </c>
      <c r="AA2091" t="s">
        <v>13554</v>
      </c>
      <c r="AB2091" t="s">
        <v>17331</v>
      </c>
    </row>
    <row r="2092" spans="1:28" x14ac:dyDescent="0.25">
      <c r="A2092" t="s">
        <v>2096</v>
      </c>
      <c r="B2092">
        <v>0.98876768158843997</v>
      </c>
      <c r="C2092">
        <v>0.99046458116710501</v>
      </c>
      <c r="D2092">
        <v>0.95188685491855196</v>
      </c>
      <c r="E2092">
        <v>0.83919589520454996</v>
      </c>
      <c r="F2092">
        <v>0.51376702154568099</v>
      </c>
      <c r="G2092">
        <v>0.34588175749410999</v>
      </c>
      <c r="H2092">
        <v>0.26033458489986799</v>
      </c>
      <c r="I2092">
        <v>0.14475653320231399</v>
      </c>
      <c r="J2092">
        <v>0.14028673030150501</v>
      </c>
      <c r="K2092">
        <v>0.202081496402958</v>
      </c>
      <c r="L2092">
        <v>1083.2588828123701</v>
      </c>
      <c r="M2092">
        <v>20.528870990731999</v>
      </c>
      <c r="N2092">
        <v>53.831632264617099</v>
      </c>
      <c r="O2092">
        <v>52.2745252809489</v>
      </c>
      <c r="P2092">
        <v>-8.1807277466619893E-2</v>
      </c>
      <c r="Q2092">
        <v>0.16677131392910199</v>
      </c>
      <c r="R2092">
        <v>0.99040117495707403</v>
      </c>
      <c r="S2092" t="s">
        <v>5924</v>
      </c>
      <c r="T2092" t="s">
        <v>7662</v>
      </c>
      <c r="U2092" t="s">
        <v>7662</v>
      </c>
      <c r="V2092" t="s">
        <v>7662</v>
      </c>
      <c r="W2092">
        <v>1</v>
      </c>
      <c r="X2092" t="s">
        <v>9754</v>
      </c>
      <c r="Y2092">
        <v>0.53235366121770811</v>
      </c>
      <c r="Z2092" t="str">
        <f>HYPERLINK("Melting_Curves/meltCurve_sp_Q8N5L8_RP25L_HUMAN_.pdf", "Melting_Curves/meltCurve_sp_Q8N5L8_RP25L_HUMAN_.pdf")</f>
        <v>Melting_Curves/meltCurve_sp_Q8N5L8_RP25L_HUMAN_.pdf</v>
      </c>
      <c r="AA2092" t="s">
        <v>13555</v>
      </c>
      <c r="AB2092" t="s">
        <v>17332</v>
      </c>
    </row>
    <row r="2093" spans="1:28" x14ac:dyDescent="0.25">
      <c r="A2093" t="s">
        <v>2097</v>
      </c>
      <c r="B2093">
        <v>0.98876768158843997</v>
      </c>
      <c r="C2093">
        <v>0.96558225119565999</v>
      </c>
      <c r="D2093">
        <v>0.92172650083794205</v>
      </c>
      <c r="E2093">
        <v>0.76127656172205105</v>
      </c>
      <c r="F2093">
        <v>0.70070981056284198</v>
      </c>
      <c r="G2093">
        <v>0.48107955597273</v>
      </c>
      <c r="H2093">
        <v>0.25164598859840198</v>
      </c>
      <c r="I2093">
        <v>0.10630034137283199</v>
      </c>
      <c r="J2093">
        <v>6.1267213405674301E-2</v>
      </c>
      <c r="K2093">
        <v>5.3143626637265198E-2</v>
      </c>
      <c r="L2093">
        <v>743.60558114457206</v>
      </c>
      <c r="M2093">
        <v>13.3236391238951</v>
      </c>
      <c r="N2093">
        <v>55.810997297582098</v>
      </c>
      <c r="O2093">
        <v>54.598696101083597</v>
      </c>
      <c r="P2093">
        <v>-6.1016924228539299E-2</v>
      </c>
      <c r="Q2093">
        <v>0</v>
      </c>
      <c r="R2093">
        <v>0.991001619354825</v>
      </c>
      <c r="S2093" t="s">
        <v>5925</v>
      </c>
      <c r="T2093" t="s">
        <v>7662</v>
      </c>
      <c r="U2093" t="s">
        <v>7662</v>
      </c>
      <c r="V2093" t="s">
        <v>7662</v>
      </c>
      <c r="W2093">
        <v>4</v>
      </c>
      <c r="X2093" t="s">
        <v>9755</v>
      </c>
      <c r="Y2093">
        <v>0.54683964046214273</v>
      </c>
      <c r="Z2093" t="str">
        <f>HYPERLINK("Melting_Curves/meltCurve_sp_Q8N5M1_ATPF2_HUMAN_.pdf", "Melting_Curves/meltCurve_sp_Q8N5M1_ATPF2_HUMAN_.pdf")</f>
        <v>Melting_Curves/meltCurve_sp_Q8N5M1_ATPF2_HUMAN_.pdf</v>
      </c>
      <c r="AA2093" t="s">
        <v>13556</v>
      </c>
      <c r="AB2093" t="s">
        <v>17333</v>
      </c>
    </row>
    <row r="2094" spans="1:28" x14ac:dyDescent="0.25">
      <c r="A2094" t="s">
        <v>2098</v>
      </c>
      <c r="B2094">
        <v>0.98876768158843997</v>
      </c>
      <c r="C2094">
        <v>1.0278214439540301</v>
      </c>
      <c r="D2094">
        <v>1.0008599958729101</v>
      </c>
      <c r="E2094">
        <v>0.65706919872992797</v>
      </c>
      <c r="F2094">
        <v>0.765263093755572</v>
      </c>
      <c r="G2094">
        <v>0.53302759824366897</v>
      </c>
      <c r="H2094">
        <v>0.39153016280875003</v>
      </c>
      <c r="I2094">
        <v>0.47576450444067803</v>
      </c>
      <c r="J2094">
        <v>0.66334855742226195</v>
      </c>
      <c r="K2094">
        <v>0.56559373887117903</v>
      </c>
      <c r="L2094">
        <v>1127.2873264325799</v>
      </c>
      <c r="M2094">
        <v>22.568478005325499</v>
      </c>
      <c r="O2094">
        <v>49.562428972473597</v>
      </c>
      <c r="P2094">
        <v>-5.3436006200797602E-2</v>
      </c>
      <c r="Q2094">
        <v>0.530608206087259</v>
      </c>
      <c r="R2094">
        <v>0.83685370916443302</v>
      </c>
      <c r="S2094" t="s">
        <v>5926</v>
      </c>
      <c r="T2094" t="s">
        <v>7662</v>
      </c>
      <c r="U2094" t="s">
        <v>7662</v>
      </c>
      <c r="V2094" t="s">
        <v>7662</v>
      </c>
      <c r="W2094">
        <v>3</v>
      </c>
      <c r="X2094" t="s">
        <v>9756</v>
      </c>
      <c r="Y2094">
        <v>0.6914319213160226</v>
      </c>
      <c r="Z2094" t="str">
        <f>HYPERLINK("Melting_Curves/meltCurve_sp_Q8N5N7_RM50_HUMAN_.pdf", "Melting_Curves/meltCurve_sp_Q8N5N7_RM50_HUMAN_.pdf")</f>
        <v>Melting_Curves/meltCurve_sp_Q8N5N7_RM50_HUMAN_.pdf</v>
      </c>
      <c r="AA2094" t="s">
        <v>13557</v>
      </c>
      <c r="AB2094" t="s">
        <v>17334</v>
      </c>
    </row>
    <row r="2095" spans="1:28" x14ac:dyDescent="0.25">
      <c r="A2095" t="s">
        <v>2099</v>
      </c>
      <c r="B2095">
        <v>0.98876768158843997</v>
      </c>
      <c r="C2095">
        <v>1.0953566614044801</v>
      </c>
      <c r="D2095">
        <v>0.75892894053916005</v>
      </c>
      <c r="E2095">
        <v>0.67151274781247094</v>
      </c>
      <c r="F2095">
        <v>0.77458700939651404</v>
      </c>
      <c r="G2095">
        <v>0.472525309375044</v>
      </c>
      <c r="H2095">
        <v>0.39513482719836801</v>
      </c>
      <c r="I2095">
        <v>0.524301045140808</v>
      </c>
      <c r="J2095">
        <v>0.73014889210918499</v>
      </c>
      <c r="K2095">
        <v>0.80874415337490202</v>
      </c>
      <c r="S2095" t="s">
        <v>5927</v>
      </c>
      <c r="T2095" t="s">
        <v>7662</v>
      </c>
      <c r="U2095" t="s">
        <v>7663</v>
      </c>
      <c r="V2095" t="s">
        <v>7662</v>
      </c>
      <c r="W2095">
        <v>2</v>
      </c>
      <c r="X2095" t="s">
        <v>9757</v>
      </c>
      <c r="Z2095" t="str">
        <f>HYPERLINK("Melting_Curves/meltCurve_sp_Q8N5V2_NGEF_HUMAN_.pdf", "Melting_Curves/meltCurve_sp_Q8N5V2_NGEF_HUMAN_.pdf")</f>
        <v>Melting_Curves/meltCurve_sp_Q8N5V2_NGEF_HUMAN_.pdf</v>
      </c>
      <c r="AA2095" t="s">
        <v>13558</v>
      </c>
      <c r="AB2095" t="s">
        <v>17335</v>
      </c>
    </row>
    <row r="2096" spans="1:28" x14ac:dyDescent="0.25">
      <c r="A2096" t="s">
        <v>2100</v>
      </c>
      <c r="B2096">
        <v>0.98876768158843997</v>
      </c>
      <c r="C2096">
        <v>0.97864087757389595</v>
      </c>
      <c r="D2096">
        <v>0.94541064868123303</v>
      </c>
      <c r="E2096">
        <v>0.90377622348867304</v>
      </c>
      <c r="F2096">
        <v>0.593870133002392</v>
      </c>
      <c r="G2096">
        <v>0.26569305231384699</v>
      </c>
      <c r="H2096">
        <v>0.16253920859756901</v>
      </c>
      <c r="I2096">
        <v>0.16190189006761899</v>
      </c>
      <c r="J2096">
        <v>0.146168758541669</v>
      </c>
      <c r="K2096">
        <v>0.10909666616300399</v>
      </c>
      <c r="L2096">
        <v>1470.70197282757</v>
      </c>
      <c r="M2096">
        <v>27.574216261200501</v>
      </c>
      <c r="N2096">
        <v>53.954024210264699</v>
      </c>
      <c r="O2096">
        <v>53.057990406621002</v>
      </c>
      <c r="P2096">
        <v>-0.112335245930217</v>
      </c>
      <c r="Q2096">
        <v>0.13539139141616499</v>
      </c>
      <c r="R2096">
        <v>0.99693641553280399</v>
      </c>
      <c r="S2096" t="s">
        <v>5928</v>
      </c>
      <c r="T2096" t="s">
        <v>7662</v>
      </c>
      <c r="U2096" t="s">
        <v>7662</v>
      </c>
      <c r="V2096" t="s">
        <v>7662</v>
      </c>
      <c r="W2096">
        <v>11</v>
      </c>
      <c r="X2096" t="s">
        <v>9758</v>
      </c>
      <c r="Y2096">
        <v>0.52637234733233096</v>
      </c>
      <c r="Z2096" t="str">
        <f>HYPERLINK("Melting_Curves/meltCurve_sp_Q8N5Z0_AADAT_HUMAN_.pdf", "Melting_Curves/meltCurve_sp_Q8N5Z0_AADAT_HUMAN_.pdf")</f>
        <v>Melting_Curves/meltCurve_sp_Q8N5Z0_AADAT_HUMAN_.pdf</v>
      </c>
      <c r="AA2096" t="s">
        <v>13559</v>
      </c>
      <c r="AB2096" t="s">
        <v>17336</v>
      </c>
    </row>
    <row r="2097" spans="1:28" x14ac:dyDescent="0.25">
      <c r="A2097" t="s">
        <v>2101</v>
      </c>
      <c r="B2097">
        <v>0.98876768158843997</v>
      </c>
      <c r="C2097">
        <v>1.1427141597708801</v>
      </c>
      <c r="D2097">
        <v>0.71413534154848801</v>
      </c>
      <c r="E2097">
        <v>0.73984281163406596</v>
      </c>
      <c r="F2097">
        <v>0.95202114589989195</v>
      </c>
      <c r="G2097">
        <v>0.72694005361784697</v>
      </c>
      <c r="H2097">
        <v>0.50609820654633397</v>
      </c>
      <c r="I2097">
        <v>0.60884232716442099</v>
      </c>
      <c r="J2097">
        <v>0.72784296131329496</v>
      </c>
      <c r="K2097">
        <v>1.0239064611128901</v>
      </c>
      <c r="L2097">
        <v>11131.545522885999</v>
      </c>
      <c r="M2097">
        <v>250</v>
      </c>
      <c r="O2097">
        <v>44.523334126684198</v>
      </c>
      <c r="P2097">
        <v>-0.35101519162406503</v>
      </c>
      <c r="Q2097">
        <v>0.74994614167522999</v>
      </c>
      <c r="R2097">
        <v>0.40886686361163899</v>
      </c>
      <c r="S2097" t="s">
        <v>5929</v>
      </c>
      <c r="T2097" t="s">
        <v>7662</v>
      </c>
      <c r="U2097" t="s">
        <v>7662</v>
      </c>
      <c r="V2097" t="s">
        <v>7662</v>
      </c>
      <c r="W2097">
        <v>4</v>
      </c>
      <c r="X2097" t="s">
        <v>9759</v>
      </c>
      <c r="Y2097">
        <v>0.78769199142205104</v>
      </c>
      <c r="Z2097" t="str">
        <f>HYPERLINK("Melting_Curves/meltCurve_sp_Q8N684_2_CPSF7_HUMAN_.pdf", "Melting_Curves/meltCurve_sp_Q8N684_2_CPSF7_HUMAN_.pdf")</f>
        <v>Melting_Curves/meltCurve_sp_Q8N684_2_CPSF7_HUMAN_.pdf</v>
      </c>
      <c r="AA2097" t="s">
        <v>13560</v>
      </c>
      <c r="AB2097" t="s">
        <v>17337</v>
      </c>
    </row>
    <row r="2098" spans="1:28" x14ac:dyDescent="0.25">
      <c r="A2098" t="s">
        <v>2102</v>
      </c>
      <c r="B2098">
        <v>0.98876768158843997</v>
      </c>
      <c r="C2098">
        <v>1.0868481081329899</v>
      </c>
      <c r="D2098">
        <v>0.83115505808396595</v>
      </c>
      <c r="E2098">
        <v>0.63162878330949601</v>
      </c>
      <c r="F2098">
        <v>0.77862855699050304</v>
      </c>
      <c r="G2098">
        <v>0.47212997800901702</v>
      </c>
      <c r="H2098">
        <v>0.350623715860162</v>
      </c>
      <c r="I2098">
        <v>0.42007814226162699</v>
      </c>
      <c r="J2098">
        <v>0.54621921752733105</v>
      </c>
      <c r="K2098">
        <v>0.57737342518506496</v>
      </c>
      <c r="L2098">
        <v>845.63905395075506</v>
      </c>
      <c r="M2098">
        <v>17.075046917401501</v>
      </c>
      <c r="N2098">
        <v>59.841778065354802</v>
      </c>
      <c r="O2098">
        <v>48.860530445693001</v>
      </c>
      <c r="P2098">
        <v>-4.59865080613511E-2</v>
      </c>
      <c r="Q2098">
        <v>0.473667340769441</v>
      </c>
      <c r="R2098">
        <v>0.819510937985786</v>
      </c>
      <c r="S2098" t="s">
        <v>5930</v>
      </c>
      <c r="T2098" t="s">
        <v>7662</v>
      </c>
      <c r="U2098" t="s">
        <v>7662</v>
      </c>
      <c r="V2098" t="s">
        <v>7662</v>
      </c>
      <c r="W2098">
        <v>13</v>
      </c>
      <c r="X2098" t="s">
        <v>9760</v>
      </c>
      <c r="Y2098">
        <v>0.65077951279148161</v>
      </c>
      <c r="Z2098" t="str">
        <f>HYPERLINK("Melting_Curves/meltCurve_sp_Q8N6H7_ARFG2_HUMAN_.pdf", "Melting_Curves/meltCurve_sp_Q8N6H7_ARFG2_HUMAN_.pdf")</f>
        <v>Melting_Curves/meltCurve_sp_Q8N6H7_ARFG2_HUMAN_.pdf</v>
      </c>
      <c r="AA2098" t="s">
        <v>13561</v>
      </c>
      <c r="AB2098" t="s">
        <v>17338</v>
      </c>
    </row>
    <row r="2099" spans="1:28" x14ac:dyDescent="0.25">
      <c r="A2099" t="s">
        <v>2103</v>
      </c>
      <c r="B2099">
        <v>0.98876768158843997</v>
      </c>
      <c r="C2099">
        <v>0.95843258838864998</v>
      </c>
      <c r="D2099">
        <v>0.88269934635570502</v>
      </c>
      <c r="E2099">
        <v>0.62796081580027896</v>
      </c>
      <c r="F2099">
        <v>0.62152263421934295</v>
      </c>
      <c r="G2099">
        <v>0.498153640631193</v>
      </c>
      <c r="H2099">
        <v>0.36296803066271</v>
      </c>
      <c r="I2099">
        <v>0.38769567725134801</v>
      </c>
      <c r="J2099">
        <v>0.19487699515384699</v>
      </c>
      <c r="K2099">
        <v>0.49613459783599101</v>
      </c>
      <c r="L2099">
        <v>678.16849009367195</v>
      </c>
      <c r="M2099">
        <v>13.393111009520901</v>
      </c>
      <c r="N2099">
        <v>55.242822115264197</v>
      </c>
      <c r="O2099">
        <v>49.546712659034</v>
      </c>
      <c r="P2099">
        <v>-4.4854257289988597E-2</v>
      </c>
      <c r="Q2099">
        <v>0.33636582866344999</v>
      </c>
      <c r="R2099">
        <v>0.90895437792167399</v>
      </c>
      <c r="S2099" t="s">
        <v>5931</v>
      </c>
      <c r="T2099" t="s">
        <v>7662</v>
      </c>
      <c r="U2099" t="s">
        <v>7662</v>
      </c>
      <c r="V2099" t="s">
        <v>7662</v>
      </c>
      <c r="W2099">
        <v>2</v>
      </c>
      <c r="X2099" t="s">
        <v>9761</v>
      </c>
      <c r="Y2099">
        <v>0.59032662985830053</v>
      </c>
      <c r="Z2099" t="str">
        <f>HYPERLINK("Melting_Curves/meltCurve_sp_Q8N6N3_2_CA052_HUMAN_.pdf", "Melting_Curves/meltCurve_sp_Q8N6N3_2_CA052_HUMAN_.pdf")</f>
        <v>Melting_Curves/meltCurve_sp_Q8N6N3_2_CA052_HUMAN_.pdf</v>
      </c>
      <c r="AA2099" t="s">
        <v>13562</v>
      </c>
      <c r="AB2099" t="s">
        <v>17339</v>
      </c>
    </row>
    <row r="2100" spans="1:28" x14ac:dyDescent="0.25">
      <c r="A2100" t="s">
        <v>2104</v>
      </c>
      <c r="B2100">
        <v>0.98876768158843997</v>
      </c>
      <c r="C2100">
        <v>1.07003758952283</v>
      </c>
      <c r="D2100">
        <v>0.83565708037257402</v>
      </c>
      <c r="E2100">
        <v>0.36202129561186802</v>
      </c>
      <c r="F2100">
        <v>0.21335378368563501</v>
      </c>
      <c r="G2100">
        <v>0.121424597573111</v>
      </c>
      <c r="H2100">
        <v>8.2228523012947599E-2</v>
      </c>
      <c r="I2100">
        <v>6.8209792889897897E-2</v>
      </c>
      <c r="J2100">
        <v>8.0812544443585196E-2</v>
      </c>
      <c r="K2100">
        <v>6.8631684994139297E-2</v>
      </c>
      <c r="L2100">
        <v>1335.12749981969</v>
      </c>
      <c r="M2100">
        <v>27.428482256549501</v>
      </c>
      <c r="N2100">
        <v>49.007133722495702</v>
      </c>
      <c r="O2100">
        <v>48.420153926686297</v>
      </c>
      <c r="P2100">
        <v>-0.12966205788878701</v>
      </c>
      <c r="Q2100">
        <v>8.4426610792368698E-2</v>
      </c>
      <c r="R2100">
        <v>0.99222738555703405</v>
      </c>
      <c r="S2100" t="s">
        <v>5932</v>
      </c>
      <c r="T2100" t="s">
        <v>7662</v>
      </c>
      <c r="U2100" t="s">
        <v>7662</v>
      </c>
      <c r="V2100" t="s">
        <v>7662</v>
      </c>
      <c r="W2100">
        <v>8</v>
      </c>
      <c r="X2100" t="s">
        <v>9762</v>
      </c>
      <c r="Y2100">
        <v>0.3559125584538641</v>
      </c>
      <c r="Z2100" t="str">
        <f>HYPERLINK("Melting_Curves/meltCurve_sp_Q8N8N7_PTGR2_HUMAN_.pdf", "Melting_Curves/meltCurve_sp_Q8N8N7_PTGR2_HUMAN_.pdf")</f>
        <v>Melting_Curves/meltCurve_sp_Q8N8N7_PTGR2_HUMAN_.pdf</v>
      </c>
      <c r="AA2100" t="s">
        <v>13563</v>
      </c>
      <c r="AB2100" t="s">
        <v>17340</v>
      </c>
    </row>
    <row r="2101" spans="1:28" x14ac:dyDescent="0.25">
      <c r="A2101" t="s">
        <v>2105</v>
      </c>
      <c r="B2101">
        <v>0.98876768158843997</v>
      </c>
      <c r="C2101">
        <v>1.0439270345728999</v>
      </c>
      <c r="D2101">
        <v>0.94283465560897695</v>
      </c>
      <c r="E2101">
        <v>0.77738640246900403</v>
      </c>
      <c r="F2101">
        <v>0.82831128976685597</v>
      </c>
      <c r="G2101">
        <v>0</v>
      </c>
      <c r="H2101">
        <v>0.392637962047933</v>
      </c>
      <c r="I2101">
        <v>0.481293211792716</v>
      </c>
      <c r="J2101">
        <v>0.35316397416955297</v>
      </c>
      <c r="K2101">
        <v>0.56444573882266103</v>
      </c>
      <c r="L2101">
        <v>13303.3738863241</v>
      </c>
      <c r="M2101">
        <v>250</v>
      </c>
      <c r="N2101">
        <v>53.483266378130899</v>
      </c>
      <c r="O2101">
        <v>53.210076597755197</v>
      </c>
      <c r="P2101">
        <v>-0.75372431193411804</v>
      </c>
      <c r="Q2101">
        <v>0.358308181692854</v>
      </c>
      <c r="R2101">
        <v>0.761425046335518</v>
      </c>
      <c r="S2101" t="s">
        <v>5933</v>
      </c>
      <c r="T2101" t="s">
        <v>7662</v>
      </c>
      <c r="U2101" t="s">
        <v>7662</v>
      </c>
      <c r="V2101" t="s">
        <v>7662</v>
      </c>
      <c r="W2101">
        <v>2</v>
      </c>
      <c r="X2101" t="s">
        <v>9763</v>
      </c>
      <c r="Y2101">
        <v>0.64100117464647677</v>
      </c>
      <c r="Z2101" t="str">
        <f>HYPERLINK("Melting_Curves/meltCurve_sp_Q8N8S7_ENAH_HUMAN_.pdf", "Melting_Curves/meltCurve_sp_Q8N8S7_ENAH_HUMAN_.pdf")</f>
        <v>Melting_Curves/meltCurve_sp_Q8N8S7_ENAH_HUMAN_.pdf</v>
      </c>
      <c r="AA2101" t="s">
        <v>13564</v>
      </c>
      <c r="AB2101" t="s">
        <v>17341</v>
      </c>
    </row>
    <row r="2102" spans="1:28" x14ac:dyDescent="0.25">
      <c r="A2102" t="s">
        <v>2106</v>
      </c>
      <c r="B2102">
        <v>0.98876768158843997</v>
      </c>
      <c r="C2102">
        <v>0.85528128883736798</v>
      </c>
      <c r="D2102">
        <v>0.77567156317854102</v>
      </c>
      <c r="E2102">
        <v>0.35966692638446301</v>
      </c>
      <c r="F2102">
        <v>0.17035152693661301</v>
      </c>
      <c r="G2102">
        <v>8.8525593013706202E-2</v>
      </c>
      <c r="H2102">
        <v>4.0319741635197803E-2</v>
      </c>
      <c r="I2102">
        <v>5.1066194340633003E-2</v>
      </c>
      <c r="J2102">
        <v>5.4914544348439502E-2</v>
      </c>
      <c r="K2102">
        <v>5.0954796090147698E-2</v>
      </c>
      <c r="L2102">
        <v>940.52336158898197</v>
      </c>
      <c r="M2102">
        <v>19.478273670094101</v>
      </c>
      <c r="N2102">
        <v>48.492218393089402</v>
      </c>
      <c r="O2102">
        <v>47.785463609699597</v>
      </c>
      <c r="P2102">
        <v>-9.7853442671488197E-2</v>
      </c>
      <c r="Q2102">
        <v>3.9791066568135101E-2</v>
      </c>
      <c r="R2102">
        <v>0.99467763674235998</v>
      </c>
      <c r="S2102" t="s">
        <v>5934</v>
      </c>
      <c r="T2102" t="s">
        <v>7662</v>
      </c>
      <c r="U2102" t="s">
        <v>7662</v>
      </c>
      <c r="V2102" t="s">
        <v>7662</v>
      </c>
      <c r="W2102">
        <v>3</v>
      </c>
      <c r="X2102" t="s">
        <v>9764</v>
      </c>
      <c r="Y2102">
        <v>0.31933829030100241</v>
      </c>
      <c r="Z2102" t="str">
        <f>HYPERLINK("Melting_Curves/meltCurve_sp_Q8N8V2_GBP7_HUMAN_.pdf", "Melting_Curves/meltCurve_sp_Q8N8V2_GBP7_HUMAN_.pdf")</f>
        <v>Melting_Curves/meltCurve_sp_Q8N8V2_GBP7_HUMAN_.pdf</v>
      </c>
      <c r="AA2102" t="s">
        <v>13565</v>
      </c>
      <c r="AB2102" t="s">
        <v>17342</v>
      </c>
    </row>
    <row r="2103" spans="1:28" x14ac:dyDescent="0.25">
      <c r="A2103" t="s">
        <v>2107</v>
      </c>
      <c r="B2103">
        <v>0.98876768158843997</v>
      </c>
      <c r="C2103">
        <v>0.73870924552627104</v>
      </c>
      <c r="D2103">
        <v>1.0758716040089</v>
      </c>
      <c r="E2103">
        <v>0.89693283318025196</v>
      </c>
      <c r="F2103">
        <v>0.35028919476283399</v>
      </c>
      <c r="G2103">
        <v>0.19757261013570901</v>
      </c>
      <c r="H2103">
        <v>0.142574883798118</v>
      </c>
      <c r="I2103">
        <v>0.14111018896525299</v>
      </c>
      <c r="J2103">
        <v>0.22352953108687201</v>
      </c>
      <c r="K2103">
        <v>0.19657945356953299</v>
      </c>
      <c r="L2103">
        <v>2900.2869130561799</v>
      </c>
      <c r="M2103">
        <v>56.055248497977601</v>
      </c>
      <c r="N2103">
        <v>52.1528337428756</v>
      </c>
      <c r="O2103">
        <v>51.674067152890601</v>
      </c>
      <c r="P2103">
        <v>-0.22258427294803301</v>
      </c>
      <c r="Q2103">
        <v>0.17925055994410999</v>
      </c>
      <c r="R2103">
        <v>0.93992221950964205</v>
      </c>
      <c r="S2103" t="s">
        <v>5935</v>
      </c>
      <c r="T2103" t="s">
        <v>7662</v>
      </c>
      <c r="U2103" t="s">
        <v>7662</v>
      </c>
      <c r="V2103" t="s">
        <v>7662</v>
      </c>
      <c r="W2103">
        <v>1</v>
      </c>
      <c r="X2103" t="s">
        <v>9765</v>
      </c>
      <c r="Y2103">
        <v>0.50192009356803202</v>
      </c>
      <c r="Z2103" t="str">
        <f>HYPERLINK("Melting_Curves/meltCurve_sp_Q8N999_3_CL029_HUMAN_.pdf", "Melting_Curves/meltCurve_sp_Q8N999_3_CL029_HUMAN_.pdf")</f>
        <v>Melting_Curves/meltCurve_sp_Q8N999_3_CL029_HUMAN_.pdf</v>
      </c>
      <c r="AA2103" t="s">
        <v>13566</v>
      </c>
      <c r="AB2103" t="s">
        <v>17343</v>
      </c>
    </row>
    <row r="2104" spans="1:28" x14ac:dyDescent="0.25">
      <c r="A2104" t="s">
        <v>2108</v>
      </c>
      <c r="B2104">
        <v>0.98876768158843997</v>
      </c>
      <c r="C2104">
        <v>0.88371722868518798</v>
      </c>
      <c r="D2104">
        <v>0.86553594671162803</v>
      </c>
      <c r="E2104">
        <v>0.53062743992301897</v>
      </c>
      <c r="F2104">
        <v>0.20020876417633501</v>
      </c>
      <c r="G2104">
        <v>0.117842963245021</v>
      </c>
      <c r="H2104">
        <v>8.6482082509080904E-2</v>
      </c>
      <c r="I2104">
        <v>6.9298905766270305E-2</v>
      </c>
      <c r="J2104">
        <v>0.167691618442081</v>
      </c>
      <c r="K2104">
        <v>8.2549309580833105E-2</v>
      </c>
      <c r="L2104">
        <v>1172.21357641801</v>
      </c>
      <c r="M2104">
        <v>23.688833921305999</v>
      </c>
      <c r="N2104">
        <v>49.902234482950298</v>
      </c>
      <c r="O2104">
        <v>49.135211735842702</v>
      </c>
      <c r="P2104">
        <v>-0.10967421066357</v>
      </c>
      <c r="Q2104">
        <v>9.0073264231803604E-2</v>
      </c>
      <c r="R2104">
        <v>0.98512642062133404</v>
      </c>
      <c r="S2104" t="s">
        <v>5936</v>
      </c>
      <c r="T2104" t="s">
        <v>7662</v>
      </c>
      <c r="U2104" t="s">
        <v>7662</v>
      </c>
      <c r="V2104" t="s">
        <v>7662</v>
      </c>
      <c r="W2104">
        <v>9</v>
      </c>
      <c r="X2104" t="s">
        <v>9766</v>
      </c>
      <c r="Y2104">
        <v>0.38675521614834618</v>
      </c>
      <c r="Z2104" t="str">
        <f>HYPERLINK("Melting_Curves/meltCurve_sp_Q8N9L9_ACOT4_HUMAN_.pdf", "Melting_Curves/meltCurve_sp_Q8N9L9_ACOT4_HUMAN_.pdf")</f>
        <v>Melting_Curves/meltCurve_sp_Q8N9L9_ACOT4_HUMAN_.pdf</v>
      </c>
      <c r="AA2104" t="s">
        <v>13567</v>
      </c>
      <c r="AB2104" t="s">
        <v>17344</v>
      </c>
    </row>
    <row r="2105" spans="1:28" x14ac:dyDescent="0.25">
      <c r="A2105" t="s">
        <v>2109</v>
      </c>
      <c r="B2105">
        <v>0.98876768158843997</v>
      </c>
      <c r="C2105">
        <v>0.96664011685532203</v>
      </c>
      <c r="D2105">
        <v>0.93407899970824304</v>
      </c>
      <c r="E2105">
        <v>0.80942000947513904</v>
      </c>
      <c r="F2105">
        <v>0.64087335201944895</v>
      </c>
      <c r="G2105">
        <v>0.452754810039182</v>
      </c>
      <c r="H2105">
        <v>0.275026243724667</v>
      </c>
      <c r="I2105">
        <v>0.136157107879946</v>
      </c>
      <c r="J2105">
        <v>0.13562835714983301</v>
      </c>
      <c r="K2105">
        <v>9.1344679769066198E-2</v>
      </c>
      <c r="L2105">
        <v>684.18370018685005</v>
      </c>
      <c r="M2105">
        <v>12.281642176043601</v>
      </c>
      <c r="N2105">
        <v>55.795522421138301</v>
      </c>
      <c r="O2105">
        <v>54.292689791317102</v>
      </c>
      <c r="P2105">
        <v>-5.6024852728329702E-2</v>
      </c>
      <c r="Q2105">
        <v>9.5558915402451598E-3</v>
      </c>
      <c r="R2105">
        <v>0.99780438819187001</v>
      </c>
      <c r="S2105" t="s">
        <v>5937</v>
      </c>
      <c r="T2105" t="s">
        <v>7662</v>
      </c>
      <c r="U2105" t="s">
        <v>7662</v>
      </c>
      <c r="V2105" t="s">
        <v>7662</v>
      </c>
      <c r="W2105">
        <v>3</v>
      </c>
      <c r="X2105" t="s">
        <v>9767</v>
      </c>
      <c r="Y2105">
        <v>0.54902205560452488</v>
      </c>
      <c r="Z2105" t="str">
        <f>HYPERLINK("Melting_Curves/meltCurve_sp_Q8N9V3_2_WSDU1_HUMAN_.pdf", "Melting_Curves/meltCurve_sp_Q8N9V3_2_WSDU1_HUMAN_.pdf")</f>
        <v>Melting_Curves/meltCurve_sp_Q8N9V3_2_WSDU1_HUMAN_.pdf</v>
      </c>
      <c r="AA2105" t="s">
        <v>13568</v>
      </c>
      <c r="AB2105" t="s">
        <v>17345</v>
      </c>
    </row>
    <row r="2106" spans="1:28" x14ac:dyDescent="0.25">
      <c r="A2106" t="s">
        <v>2110</v>
      </c>
      <c r="B2106">
        <v>0.98876768158843997</v>
      </c>
      <c r="C2106">
        <v>0.96997140516959901</v>
      </c>
      <c r="D2106">
        <v>0.868989733575109</v>
      </c>
      <c r="E2106">
        <v>0.52943497581374099</v>
      </c>
      <c r="F2106">
        <v>0.21585453840960001</v>
      </c>
      <c r="G2106">
        <v>0.11679235621525701</v>
      </c>
      <c r="H2106">
        <v>7.5171404329532399E-2</v>
      </c>
      <c r="I2106">
        <v>7.4747215349633994E-2</v>
      </c>
      <c r="J2106">
        <v>8.1991387831022403E-2</v>
      </c>
      <c r="K2106">
        <v>8.1032113575114098E-2</v>
      </c>
      <c r="L2106">
        <v>1208.4973795241101</v>
      </c>
      <c r="M2106">
        <v>24.300845913662101</v>
      </c>
      <c r="N2106">
        <v>50.052519256304102</v>
      </c>
      <c r="O2106">
        <v>49.397572587645399</v>
      </c>
      <c r="P2106">
        <v>-0.11409205899711899</v>
      </c>
      <c r="Q2106">
        <v>7.2330922970910497E-2</v>
      </c>
      <c r="R2106">
        <v>0.998653963197359</v>
      </c>
      <c r="S2106" t="s">
        <v>5938</v>
      </c>
      <c r="T2106" t="s">
        <v>7662</v>
      </c>
      <c r="U2106" t="s">
        <v>7662</v>
      </c>
      <c r="V2106" t="s">
        <v>7662</v>
      </c>
      <c r="W2106">
        <v>11</v>
      </c>
      <c r="X2106" t="s">
        <v>9768</v>
      </c>
      <c r="Y2106">
        <v>0.3819831281562584</v>
      </c>
      <c r="Z2106" t="str">
        <f>HYPERLINK("Melting_Curves/meltCurve_sp_Q8NBF2_NHLC2_HUMAN_.pdf", "Melting_Curves/meltCurve_sp_Q8NBF2_NHLC2_HUMAN_.pdf")</f>
        <v>Melting_Curves/meltCurve_sp_Q8NBF2_NHLC2_HUMAN_.pdf</v>
      </c>
      <c r="AA2106" t="s">
        <v>13569</v>
      </c>
      <c r="AB2106" t="s">
        <v>17346</v>
      </c>
    </row>
    <row r="2107" spans="1:28" x14ac:dyDescent="0.25">
      <c r="A2107" t="s">
        <v>2111</v>
      </c>
      <c r="B2107">
        <v>0.98876768158843997</v>
      </c>
      <c r="C2107">
        <v>1.0964647226375399</v>
      </c>
      <c r="D2107">
        <v>0.70676812447305803</v>
      </c>
      <c r="E2107">
        <v>0.343717150652666</v>
      </c>
      <c r="F2107">
        <v>0.10754951579361501</v>
      </c>
      <c r="G2107">
        <v>6.9647827188947298E-2</v>
      </c>
      <c r="H2107">
        <v>5.0345528051255202E-2</v>
      </c>
      <c r="I2107">
        <v>4.4339854727341199E-2</v>
      </c>
      <c r="J2107">
        <v>6.8700577364017301E-2</v>
      </c>
      <c r="K2107">
        <v>8.0981534929693497E-2</v>
      </c>
      <c r="L2107">
        <v>1259.24352306126</v>
      </c>
      <c r="M2107">
        <v>26.240956554745001</v>
      </c>
      <c r="N2107">
        <v>48.2170999292887</v>
      </c>
      <c r="O2107">
        <v>47.711630234935299</v>
      </c>
      <c r="P2107">
        <v>-0.12943028732172401</v>
      </c>
      <c r="Q2107">
        <v>5.8683615918953401E-2</v>
      </c>
      <c r="R2107">
        <v>0.98330818240681905</v>
      </c>
      <c r="S2107" t="s">
        <v>5939</v>
      </c>
      <c r="T2107" t="s">
        <v>7662</v>
      </c>
      <c r="U2107" t="s">
        <v>7662</v>
      </c>
      <c r="V2107" t="s">
        <v>7662</v>
      </c>
      <c r="W2107">
        <v>7</v>
      </c>
      <c r="X2107" t="s">
        <v>9769</v>
      </c>
      <c r="Y2107">
        <v>0.31682353800691587</v>
      </c>
      <c r="Z2107" t="str">
        <f>HYPERLINK("Melting_Curves/meltCurve_sp_Q8NBJ7_SUMF2_HUMAN_.pdf", "Melting_Curves/meltCurve_sp_Q8NBJ7_SUMF2_HUMAN_.pdf")</f>
        <v>Melting_Curves/meltCurve_sp_Q8NBJ7_SUMF2_HUMAN_.pdf</v>
      </c>
      <c r="AA2107" t="s">
        <v>13570</v>
      </c>
      <c r="AB2107" t="s">
        <v>17347</v>
      </c>
    </row>
    <row r="2108" spans="1:28" x14ac:dyDescent="0.25">
      <c r="A2108" t="s">
        <v>2112</v>
      </c>
      <c r="B2108">
        <v>0.98876768158843997</v>
      </c>
      <c r="C2108">
        <v>0.87346944316786301</v>
      </c>
      <c r="D2108">
        <v>0.88335254022685705</v>
      </c>
      <c r="E2108">
        <v>0.32875481615019703</v>
      </c>
      <c r="F2108">
        <v>0.13330854520865501</v>
      </c>
      <c r="G2108">
        <v>5.58962305952121E-2</v>
      </c>
      <c r="H2108">
        <v>4.2554180606354998E-2</v>
      </c>
      <c r="I2108">
        <v>4.3421114130261798E-2</v>
      </c>
      <c r="J2108">
        <v>5.4649726587972E-2</v>
      </c>
      <c r="K2108">
        <v>3.7593020989989602E-2</v>
      </c>
      <c r="L2108">
        <v>1418.7855017904701</v>
      </c>
      <c r="M2108">
        <v>29.1627545706307</v>
      </c>
      <c r="N2108">
        <v>48.804101768021503</v>
      </c>
      <c r="O2108">
        <v>48.423559353642503</v>
      </c>
      <c r="P2108">
        <v>-0.14396400779737401</v>
      </c>
      <c r="Q2108">
        <v>4.3821629160887103E-2</v>
      </c>
      <c r="R2108">
        <v>0.99098865968224104</v>
      </c>
      <c r="S2108" t="s">
        <v>5940</v>
      </c>
      <c r="T2108" t="s">
        <v>7662</v>
      </c>
      <c r="U2108" t="s">
        <v>7662</v>
      </c>
      <c r="V2108" t="s">
        <v>7662</v>
      </c>
      <c r="W2108">
        <v>2</v>
      </c>
      <c r="X2108" t="s">
        <v>9770</v>
      </c>
      <c r="Y2108">
        <v>0.32568364196459149</v>
      </c>
      <c r="Z2108" t="str">
        <f>HYPERLINK("Melting_Curves/meltCurve_sp_Q8NBX0_SCPDL_HUMAN_.pdf", "Melting_Curves/meltCurve_sp_Q8NBX0_SCPDL_HUMAN_.pdf")</f>
        <v>Melting_Curves/meltCurve_sp_Q8NBX0_SCPDL_HUMAN_.pdf</v>
      </c>
      <c r="AA2108" t="s">
        <v>13571</v>
      </c>
      <c r="AB2108" t="s">
        <v>17348</v>
      </c>
    </row>
    <row r="2109" spans="1:28" x14ac:dyDescent="0.25">
      <c r="A2109" t="s">
        <v>2113</v>
      </c>
      <c r="B2109">
        <v>0.98876768158843997</v>
      </c>
      <c r="C2109">
        <v>0.93285813864588496</v>
      </c>
      <c r="D2109">
        <v>0.86402685233906595</v>
      </c>
      <c r="E2109">
        <v>0.38392201793103198</v>
      </c>
      <c r="F2109">
        <v>0.42135346321377898</v>
      </c>
      <c r="G2109">
        <v>0.18780732882412199</v>
      </c>
      <c r="H2109">
        <v>0.12339674156426</v>
      </c>
      <c r="I2109">
        <v>0.106052282583462</v>
      </c>
      <c r="J2109">
        <v>0.220720720883857</v>
      </c>
      <c r="K2109">
        <v>0.1529219881786</v>
      </c>
      <c r="L2109">
        <v>956.56033233749497</v>
      </c>
      <c r="M2109">
        <v>19.562054214483599</v>
      </c>
      <c r="N2109">
        <v>49.817120680807498</v>
      </c>
      <c r="O2109">
        <v>48.396372269259302</v>
      </c>
      <c r="P2109">
        <v>-8.5757495421107596E-2</v>
      </c>
      <c r="Q2109">
        <v>0.15137665286788299</v>
      </c>
      <c r="R2109">
        <v>0.96764389570159404</v>
      </c>
      <c r="S2109" t="s">
        <v>5941</v>
      </c>
      <c r="T2109" t="s">
        <v>7662</v>
      </c>
      <c r="U2109" t="s">
        <v>7662</v>
      </c>
      <c r="V2109" t="s">
        <v>7662</v>
      </c>
      <c r="W2109">
        <v>1</v>
      </c>
      <c r="X2109" t="s">
        <v>9771</v>
      </c>
      <c r="Y2109">
        <v>0.41554837314988707</v>
      </c>
      <c r="Z2109" t="str">
        <f>HYPERLINK("Melting_Curves/meltCurve_sp_Q8NC06_ACBD4_HUMAN_.pdf", "Melting_Curves/meltCurve_sp_Q8NC06_ACBD4_HUMAN_.pdf")</f>
        <v>Melting_Curves/meltCurve_sp_Q8NC06_ACBD4_HUMAN_.pdf</v>
      </c>
      <c r="AA2109" t="s">
        <v>13572</v>
      </c>
      <c r="AB2109" t="s">
        <v>17349</v>
      </c>
    </row>
    <row r="2110" spans="1:28" x14ac:dyDescent="0.25">
      <c r="A2110" t="s">
        <v>2114</v>
      </c>
      <c r="B2110">
        <v>0.98876768158843997</v>
      </c>
      <c r="C2110">
        <v>1.1189025442931999</v>
      </c>
      <c r="D2110">
        <v>0.95383645746636903</v>
      </c>
      <c r="E2110">
        <v>0.84656433177325596</v>
      </c>
      <c r="F2110">
        <v>1.2192609861194399</v>
      </c>
      <c r="G2110">
        <v>0.79681943502796804</v>
      </c>
      <c r="H2110">
        <v>0.70845556475558202</v>
      </c>
      <c r="I2110">
        <v>0.82775304550611695</v>
      </c>
      <c r="J2110">
        <v>1.1756349197712499</v>
      </c>
      <c r="K2110">
        <v>1.22488060910304</v>
      </c>
      <c r="L2110">
        <v>15000</v>
      </c>
      <c r="M2110">
        <v>225.14830742304099</v>
      </c>
      <c r="O2110">
        <v>66.617496277729302</v>
      </c>
      <c r="P2110">
        <v>0.190062735941401</v>
      </c>
      <c r="Q2110">
        <v>1.2249451256808901</v>
      </c>
      <c r="R2110">
        <v>0.245715712906342</v>
      </c>
      <c r="S2110" t="s">
        <v>5942</v>
      </c>
      <c r="T2110" t="s">
        <v>7662</v>
      </c>
      <c r="U2110" t="s">
        <v>7662</v>
      </c>
      <c r="V2110" t="s">
        <v>7662</v>
      </c>
      <c r="W2110">
        <v>6</v>
      </c>
      <c r="X2110" t="s">
        <v>9772</v>
      </c>
      <c r="Y2110">
        <v>1.025290795574652</v>
      </c>
      <c r="Z2110" t="str">
        <f>HYPERLINK("Melting_Curves/meltCurve_sp_Q8NC51_4_PAIRB_HUMAN_.pdf", "Melting_Curves/meltCurve_sp_Q8NC51_4_PAIRB_HUMAN_.pdf")</f>
        <v>Melting_Curves/meltCurve_sp_Q8NC51_4_PAIRB_HUMAN_.pdf</v>
      </c>
      <c r="AA2110" t="s">
        <v>13573</v>
      </c>
      <c r="AB2110" t="s">
        <v>17350</v>
      </c>
    </row>
    <row r="2111" spans="1:28" x14ac:dyDescent="0.25">
      <c r="A2111" t="s">
        <v>2115</v>
      </c>
      <c r="B2111">
        <v>0.98876768158843997</v>
      </c>
      <c r="C2111">
        <v>1.0474949867182799</v>
      </c>
      <c r="D2111">
        <v>0.92107293471137996</v>
      </c>
      <c r="E2111">
        <v>0.86734887343150802</v>
      </c>
      <c r="F2111">
        <v>0.67448770883401599</v>
      </c>
      <c r="G2111">
        <v>0.444775603877264</v>
      </c>
      <c r="H2111">
        <v>0.32022542842688501</v>
      </c>
      <c r="I2111">
        <v>0.30060445305545103</v>
      </c>
      <c r="J2111">
        <v>0.37810354028231302</v>
      </c>
      <c r="K2111">
        <v>0.40296619929380101</v>
      </c>
      <c r="L2111">
        <v>1292.9779263390601</v>
      </c>
      <c r="M2111">
        <v>24.458313631437498</v>
      </c>
      <c r="N2111">
        <v>55.503977746938702</v>
      </c>
      <c r="O2111">
        <v>52.514960438412203</v>
      </c>
      <c r="P2111">
        <v>-7.6412742194255603E-2</v>
      </c>
      <c r="Q2111">
        <v>0.34373997924741101</v>
      </c>
      <c r="R2111">
        <v>0.98005048792886496</v>
      </c>
      <c r="S2111" t="s">
        <v>5943</v>
      </c>
      <c r="T2111" t="s">
        <v>7662</v>
      </c>
      <c r="U2111" t="s">
        <v>7662</v>
      </c>
      <c r="V2111" t="s">
        <v>7662</v>
      </c>
      <c r="W2111">
        <v>2</v>
      </c>
      <c r="X2111" t="s">
        <v>9773</v>
      </c>
      <c r="Y2111">
        <v>0.63144633118826055</v>
      </c>
      <c r="Z2111" t="str">
        <f>HYPERLINK("Melting_Curves/meltCurve_sp_Q8NC96_NECP1_HUMAN_.pdf", "Melting_Curves/meltCurve_sp_Q8NC96_NECP1_HUMAN_.pdf")</f>
        <v>Melting_Curves/meltCurve_sp_Q8NC96_NECP1_HUMAN_.pdf</v>
      </c>
      <c r="AA2111" t="s">
        <v>13574</v>
      </c>
      <c r="AB2111" t="s">
        <v>17351</v>
      </c>
    </row>
    <row r="2112" spans="1:28" x14ac:dyDescent="0.25">
      <c r="A2112" t="s">
        <v>2116</v>
      </c>
      <c r="B2112">
        <v>0.98876768158843997</v>
      </c>
      <c r="C2112">
        <v>0.88622848282869005</v>
      </c>
      <c r="D2112">
        <v>0.91315769593585405</v>
      </c>
      <c r="E2112">
        <v>0.60118531791003005</v>
      </c>
      <c r="F2112">
        <v>0.43053583385112298</v>
      </c>
      <c r="G2112">
        <v>0.27440865173645701</v>
      </c>
      <c r="H2112">
        <v>0.17510236575069801</v>
      </c>
      <c r="I2112">
        <v>0.13879745877169899</v>
      </c>
      <c r="J2112">
        <v>0.16327123282216999</v>
      </c>
      <c r="K2112">
        <v>0.14657820109759301</v>
      </c>
      <c r="L2112">
        <v>804.62513470871397</v>
      </c>
      <c r="M2112">
        <v>15.829670559265301</v>
      </c>
      <c r="N2112">
        <v>51.801060638507202</v>
      </c>
      <c r="O2112">
        <v>50.0397297031693</v>
      </c>
      <c r="P2112">
        <v>-6.8939694203825702E-2</v>
      </c>
      <c r="Q2112">
        <v>0.128360509314875</v>
      </c>
      <c r="R2112">
        <v>0.99172180698134604</v>
      </c>
      <c r="S2112" t="s">
        <v>5944</v>
      </c>
      <c r="T2112" t="s">
        <v>7662</v>
      </c>
      <c r="U2112" t="s">
        <v>7662</v>
      </c>
      <c r="V2112" t="s">
        <v>7662</v>
      </c>
      <c r="W2112">
        <v>2</v>
      </c>
      <c r="X2112" t="s">
        <v>9774</v>
      </c>
      <c r="Y2112">
        <v>0.46150628509912972</v>
      </c>
      <c r="Z2112" t="str">
        <f>HYPERLINK("Melting_Curves/meltCurve_sp_Q8NCA5_2_FA98A_HUMAN_.pdf", "Melting_Curves/meltCurve_sp_Q8NCA5_2_FA98A_HUMAN_.pdf")</f>
        <v>Melting_Curves/meltCurve_sp_Q8NCA5_2_FA98A_HUMAN_.pdf</v>
      </c>
      <c r="AA2112" t="s">
        <v>13575</v>
      </c>
      <c r="AB2112" t="s">
        <v>17352</v>
      </c>
    </row>
    <row r="2113" spans="1:28" x14ac:dyDescent="0.25">
      <c r="A2113" t="s">
        <v>2117</v>
      </c>
      <c r="B2113">
        <v>0.98876768158843997</v>
      </c>
      <c r="C2113">
        <v>0.99889064653237203</v>
      </c>
      <c r="D2113">
        <v>0.80574923632440498</v>
      </c>
      <c r="E2113">
        <v>0.74771187785761595</v>
      </c>
      <c r="F2113">
        <v>0.79009931411588097</v>
      </c>
      <c r="G2113">
        <v>0.64570422360395996</v>
      </c>
      <c r="H2113">
        <v>0.422994409023214</v>
      </c>
      <c r="I2113">
        <v>0.46314700858503899</v>
      </c>
      <c r="J2113">
        <v>0.57416717891458002</v>
      </c>
      <c r="K2113">
        <v>0.526528148794284</v>
      </c>
      <c r="L2113">
        <v>552.64506723806096</v>
      </c>
      <c r="M2113">
        <v>10.6980167653237</v>
      </c>
      <c r="N2113">
        <v>67.852951573040201</v>
      </c>
      <c r="O2113">
        <v>49.951736309856102</v>
      </c>
      <c r="P2113">
        <v>-2.8865208967869701E-2</v>
      </c>
      <c r="Q2113">
        <v>0.46108663781677001</v>
      </c>
      <c r="R2113">
        <v>0.87623987369071699</v>
      </c>
      <c r="S2113" t="s">
        <v>5945</v>
      </c>
      <c r="T2113" t="s">
        <v>7662</v>
      </c>
      <c r="U2113" t="s">
        <v>7662</v>
      </c>
      <c r="V2113" t="s">
        <v>7662</v>
      </c>
      <c r="W2113">
        <v>3</v>
      </c>
      <c r="X2113" t="s">
        <v>9775</v>
      </c>
      <c r="Y2113">
        <v>0.69004279264890245</v>
      </c>
      <c r="Z2113" t="str">
        <f>HYPERLINK("Melting_Curves/meltCurve_sp_Q8NCC3_PAG15_HUMAN_.pdf", "Melting_Curves/meltCurve_sp_Q8NCC3_PAG15_HUMAN_.pdf")</f>
        <v>Melting_Curves/meltCurve_sp_Q8NCC3_PAG15_HUMAN_.pdf</v>
      </c>
      <c r="AA2113" t="s">
        <v>13576</v>
      </c>
      <c r="AB2113" t="s">
        <v>17353</v>
      </c>
    </row>
    <row r="2114" spans="1:28" x14ac:dyDescent="0.25">
      <c r="A2114" t="s">
        <v>2118</v>
      </c>
      <c r="B2114">
        <v>0.98876768158843997</v>
      </c>
      <c r="C2114">
        <v>0.92229494336926199</v>
      </c>
      <c r="D2114">
        <v>0.90695389229243195</v>
      </c>
      <c r="E2114">
        <v>0.79179607398889396</v>
      </c>
      <c r="F2114">
        <v>0.29089029565175201</v>
      </c>
      <c r="G2114">
        <v>0.115181029368903</v>
      </c>
      <c r="H2114">
        <v>7.2392815383656703E-2</v>
      </c>
      <c r="I2114">
        <v>5.9876197953596902E-2</v>
      </c>
      <c r="J2114">
        <v>7.2916599073881094E-2</v>
      </c>
      <c r="K2114">
        <v>5.48979205668471E-2</v>
      </c>
      <c r="L2114">
        <v>1965.4845196236499</v>
      </c>
      <c r="M2114">
        <v>38.1618418844077</v>
      </c>
      <c r="N2114">
        <v>51.702682130616303</v>
      </c>
      <c r="O2114">
        <v>51.363103664882402</v>
      </c>
      <c r="P2114">
        <v>-0.17307320346697899</v>
      </c>
      <c r="Q2114">
        <v>6.8225830513701402E-2</v>
      </c>
      <c r="R2114">
        <v>0.99080835150794</v>
      </c>
      <c r="S2114" t="s">
        <v>5946</v>
      </c>
      <c r="T2114" t="s">
        <v>7662</v>
      </c>
      <c r="U2114" t="s">
        <v>7662</v>
      </c>
      <c r="V2114" t="s">
        <v>7662</v>
      </c>
      <c r="W2114">
        <v>13</v>
      </c>
      <c r="X2114" t="s">
        <v>9776</v>
      </c>
      <c r="Y2114">
        <v>0.42917338984083209</v>
      </c>
      <c r="Z2114" t="str">
        <f>HYPERLINK("Melting_Curves/meltCurve_sp_Q8NCN5_PDPR_HUMAN_.pdf", "Melting_Curves/meltCurve_sp_Q8NCN5_PDPR_HUMAN_.pdf")</f>
        <v>Melting_Curves/meltCurve_sp_Q8NCN5_PDPR_HUMAN_.pdf</v>
      </c>
      <c r="AA2114" t="s">
        <v>13577</v>
      </c>
      <c r="AB2114" t="s">
        <v>17354</v>
      </c>
    </row>
    <row r="2115" spans="1:28" x14ac:dyDescent="0.25">
      <c r="A2115" t="s">
        <v>2119</v>
      </c>
      <c r="B2115">
        <v>0.98876768158843997</v>
      </c>
      <c r="C2115">
        <v>1.2031111300514199</v>
      </c>
      <c r="D2115">
        <v>0.96059730044171299</v>
      </c>
      <c r="E2115">
        <v>0.79812208115377803</v>
      </c>
      <c r="F2115">
        <v>0.55439330480108096</v>
      </c>
      <c r="G2115">
        <v>0.344931576659532</v>
      </c>
      <c r="H2115">
        <v>0.35840435523761</v>
      </c>
      <c r="I2115">
        <v>0.12560736480328499</v>
      </c>
      <c r="J2115">
        <v>0.10034751630005299</v>
      </c>
      <c r="K2115">
        <v>0.13044634667744001</v>
      </c>
      <c r="L2115">
        <v>897.97488742616997</v>
      </c>
      <c r="M2115">
        <v>16.753138019603899</v>
      </c>
      <c r="N2115">
        <v>54.482747223589001</v>
      </c>
      <c r="O2115">
        <v>52.854163039082103</v>
      </c>
      <c r="P2115">
        <v>-6.9831872369482698E-2</v>
      </c>
      <c r="Q2115">
        <v>0.118812588317273</v>
      </c>
      <c r="R2115">
        <v>0.950943189089408</v>
      </c>
      <c r="S2115" t="s">
        <v>5947</v>
      </c>
      <c r="T2115" t="s">
        <v>7662</v>
      </c>
      <c r="U2115" t="s">
        <v>7662</v>
      </c>
      <c r="V2115" t="s">
        <v>7662</v>
      </c>
      <c r="W2115">
        <v>14</v>
      </c>
      <c r="X2115" t="s">
        <v>9777</v>
      </c>
      <c r="Y2115">
        <v>0.53414806796098091</v>
      </c>
      <c r="Z2115" t="str">
        <f>HYPERLINK("Melting_Curves/meltCurve_sp_Q8NCW5_2_NNRE_HUMAN_.pdf", "Melting_Curves/meltCurve_sp_Q8NCW5_2_NNRE_HUMAN_.pdf")</f>
        <v>Melting_Curves/meltCurve_sp_Q8NCW5_2_NNRE_HUMAN_.pdf</v>
      </c>
      <c r="AA2115" t="s">
        <v>13578</v>
      </c>
      <c r="AB2115" t="s">
        <v>17355</v>
      </c>
    </row>
    <row r="2116" spans="1:28" x14ac:dyDescent="0.25">
      <c r="A2116" t="s">
        <v>2120</v>
      </c>
      <c r="B2116">
        <v>0.98876768158843997</v>
      </c>
      <c r="C2116">
        <v>1.1786193988345</v>
      </c>
      <c r="D2116">
        <v>0.93564944631834102</v>
      </c>
      <c r="E2116">
        <v>0.87082240893560203</v>
      </c>
      <c r="F2116">
        <v>1.04537065994187</v>
      </c>
      <c r="G2116">
        <v>0.70046350843602401</v>
      </c>
      <c r="H2116">
        <v>0.49372364056043799</v>
      </c>
      <c r="I2116">
        <v>0.35716129545036202</v>
      </c>
      <c r="J2116">
        <v>0.112418039191043</v>
      </c>
      <c r="K2116">
        <v>8.7665890255986298E-2</v>
      </c>
      <c r="L2116">
        <v>1057.0288481236701</v>
      </c>
      <c r="M2116">
        <v>17.378180907074402</v>
      </c>
      <c r="N2116">
        <v>60.825057598283102</v>
      </c>
      <c r="O2116">
        <v>60.0367882974328</v>
      </c>
      <c r="P2116">
        <v>-7.2368835393974901E-2</v>
      </c>
      <c r="Q2116">
        <v>0</v>
      </c>
      <c r="R2116">
        <v>0.94859463120490595</v>
      </c>
      <c r="S2116" t="s">
        <v>5948</v>
      </c>
      <c r="T2116" t="s">
        <v>7662</v>
      </c>
      <c r="U2116" t="s">
        <v>7662</v>
      </c>
      <c r="V2116" t="s">
        <v>7662</v>
      </c>
      <c r="W2116">
        <v>15</v>
      </c>
      <c r="X2116" t="s">
        <v>9778</v>
      </c>
      <c r="Y2116">
        <v>0.6996905912237682</v>
      </c>
      <c r="Z2116" t="str">
        <f>HYPERLINK("Melting_Curves/meltCurve_sp_Q8NCW5_NNRE_HUMAN_.pdf", "Melting_Curves/meltCurve_sp_Q8NCW5_NNRE_HUMAN_.pdf")</f>
        <v>Melting_Curves/meltCurve_sp_Q8NCW5_NNRE_HUMAN_.pdf</v>
      </c>
      <c r="AA2116" t="s">
        <v>13578</v>
      </c>
      <c r="AB2116" t="s">
        <v>17356</v>
      </c>
    </row>
    <row r="2117" spans="1:28" x14ac:dyDescent="0.25">
      <c r="A2117" t="s">
        <v>2121</v>
      </c>
      <c r="B2117">
        <v>0.98876768158843997</v>
      </c>
      <c r="C2117">
        <v>0.99973169544747498</v>
      </c>
      <c r="D2117">
        <v>0.91089949278049498</v>
      </c>
      <c r="E2117">
        <v>0.59640311015596503</v>
      </c>
      <c r="F2117">
        <v>0.64923652901487106</v>
      </c>
      <c r="G2117">
        <v>0.28032356199717001</v>
      </c>
      <c r="H2117">
        <v>0.27253542403483799</v>
      </c>
      <c r="I2117">
        <v>0.23227001061819899</v>
      </c>
      <c r="J2117">
        <v>0.34496273768145203</v>
      </c>
      <c r="K2117">
        <v>0.33926963650008801</v>
      </c>
      <c r="L2117">
        <v>903.11406348213995</v>
      </c>
      <c r="M2117">
        <v>17.807101422586101</v>
      </c>
      <c r="N2117">
        <v>53.134292945403601</v>
      </c>
      <c r="O2117">
        <v>50.089876037609997</v>
      </c>
      <c r="P2117">
        <v>-6.4204200325719205E-2</v>
      </c>
      <c r="Q2117">
        <v>0.27763316333982602</v>
      </c>
      <c r="R2117">
        <v>0.94449734595846702</v>
      </c>
      <c r="S2117" t="s">
        <v>5949</v>
      </c>
      <c r="T2117" t="s">
        <v>7662</v>
      </c>
      <c r="U2117" t="s">
        <v>7662</v>
      </c>
      <c r="V2117" t="s">
        <v>7662</v>
      </c>
      <c r="W2117">
        <v>6</v>
      </c>
      <c r="X2117" t="s">
        <v>9779</v>
      </c>
      <c r="Y2117">
        <v>0.54812936279734781</v>
      </c>
      <c r="Z2117" t="str">
        <f>HYPERLINK("Melting_Curves/meltCurve_sp_Q8ND24_RN214_HUMAN_.pdf", "Melting_Curves/meltCurve_sp_Q8ND24_RN214_HUMAN_.pdf")</f>
        <v>Melting_Curves/meltCurve_sp_Q8ND24_RN214_HUMAN_.pdf</v>
      </c>
      <c r="AA2117" t="s">
        <v>13579</v>
      </c>
      <c r="AB2117" t="s">
        <v>17357</v>
      </c>
    </row>
    <row r="2118" spans="1:28" x14ac:dyDescent="0.25">
      <c r="A2118" t="s">
        <v>2122</v>
      </c>
      <c r="B2118">
        <v>0.98876768158843997</v>
      </c>
      <c r="C2118">
        <v>1.00716098575845</v>
      </c>
      <c r="D2118">
        <v>0.83431943448554902</v>
      </c>
      <c r="E2118">
        <v>0.56858329679100195</v>
      </c>
      <c r="F2118">
        <v>0.34088025369517699</v>
      </c>
      <c r="G2118">
        <v>0.211278422509</v>
      </c>
      <c r="H2118">
        <v>0.14475549426880799</v>
      </c>
      <c r="I2118">
        <v>0.14684874039975301</v>
      </c>
      <c r="J2118">
        <v>0.208790938252189</v>
      </c>
      <c r="K2118">
        <v>0.18835453904397501</v>
      </c>
      <c r="L2118">
        <v>1036.54517753302</v>
      </c>
      <c r="M2118">
        <v>20.876470241707999</v>
      </c>
      <c r="N2118">
        <v>50.6196230312108</v>
      </c>
      <c r="O2118">
        <v>49.202512446781697</v>
      </c>
      <c r="P2118">
        <v>-8.8614893610325998E-2</v>
      </c>
      <c r="Q2118">
        <v>0.16461821100365501</v>
      </c>
      <c r="R2118">
        <v>0.99398437764572301</v>
      </c>
      <c r="S2118" t="s">
        <v>5950</v>
      </c>
      <c r="T2118" t="s">
        <v>7662</v>
      </c>
      <c r="U2118" t="s">
        <v>7662</v>
      </c>
      <c r="V2118" t="s">
        <v>7662</v>
      </c>
      <c r="W2118">
        <v>12</v>
      </c>
      <c r="X2118" t="s">
        <v>9780</v>
      </c>
      <c r="Y2118">
        <v>0.44406726490009812</v>
      </c>
      <c r="Z2118" t="str">
        <f>HYPERLINK("Melting_Curves/meltCurve_sp_Q8ND30_LIPB2_HUMAN_.pdf", "Melting_Curves/meltCurve_sp_Q8ND30_LIPB2_HUMAN_.pdf")</f>
        <v>Melting_Curves/meltCurve_sp_Q8ND30_LIPB2_HUMAN_.pdf</v>
      </c>
      <c r="AA2118" t="s">
        <v>13580</v>
      </c>
      <c r="AB2118" t="s">
        <v>17358</v>
      </c>
    </row>
    <row r="2119" spans="1:28" x14ac:dyDescent="0.25">
      <c r="A2119" t="s">
        <v>2123</v>
      </c>
      <c r="B2119">
        <v>0.98876768158843997</v>
      </c>
      <c r="C2119">
        <v>1.0841910623961499</v>
      </c>
      <c r="D2119">
        <v>0.85320792461445305</v>
      </c>
      <c r="E2119">
        <v>0.75100208478840103</v>
      </c>
      <c r="F2119">
        <v>0.76216705931833995</v>
      </c>
      <c r="G2119">
        <v>0.49633825547215199</v>
      </c>
      <c r="H2119">
        <v>0.32401113156636802</v>
      </c>
      <c r="I2119">
        <v>0.34745849127937301</v>
      </c>
      <c r="J2119">
        <v>0.370302920878533</v>
      </c>
      <c r="K2119">
        <v>0.48430476626460101</v>
      </c>
      <c r="L2119">
        <v>840.83905088422</v>
      </c>
      <c r="M2119">
        <v>16.0058325037805</v>
      </c>
      <c r="N2119">
        <v>57.062721173438703</v>
      </c>
      <c r="O2119">
        <v>51.733780996932502</v>
      </c>
      <c r="P2119">
        <v>-4.9532927313000498E-2</v>
      </c>
      <c r="Q2119">
        <v>0.35965219692683098</v>
      </c>
      <c r="R2119">
        <v>0.91889704838686004</v>
      </c>
      <c r="S2119" t="s">
        <v>5951</v>
      </c>
      <c r="T2119" t="s">
        <v>7662</v>
      </c>
      <c r="U2119" t="s">
        <v>7662</v>
      </c>
      <c r="V2119" t="s">
        <v>7662</v>
      </c>
      <c r="W2119">
        <v>3</v>
      </c>
      <c r="X2119" t="s">
        <v>9781</v>
      </c>
      <c r="Y2119">
        <v>0.63991753021210707</v>
      </c>
      <c r="Z2119" t="str">
        <f>HYPERLINK("Melting_Curves/meltCurve_sp_Q8ND76_3_CCNY_HUMAN_.pdf", "Melting_Curves/meltCurve_sp_Q8ND76_3_CCNY_HUMAN_.pdf")</f>
        <v>Melting_Curves/meltCurve_sp_Q8ND76_3_CCNY_HUMAN_.pdf</v>
      </c>
      <c r="AA2119" t="s">
        <v>13581</v>
      </c>
      <c r="AB2119" t="s">
        <v>17359</v>
      </c>
    </row>
    <row r="2120" spans="1:28" x14ac:dyDescent="0.25">
      <c r="A2120" t="s">
        <v>2124</v>
      </c>
      <c r="B2120">
        <v>0.98876768158843997</v>
      </c>
      <c r="C2120">
        <v>0.88048589505920005</v>
      </c>
      <c r="D2120">
        <v>1.1288948511389301</v>
      </c>
      <c r="E2120">
        <v>1.1017195857850599</v>
      </c>
      <c r="F2120">
        <v>0.55578263120468796</v>
      </c>
      <c r="G2120">
        <v>0.42905642463132698</v>
      </c>
      <c r="H2120">
        <v>0.26879953841812598</v>
      </c>
      <c r="I2120">
        <v>0.16616610356412101</v>
      </c>
      <c r="J2120">
        <v>0.126055367288396</v>
      </c>
      <c r="K2120">
        <v>4.7109696437137097E-2</v>
      </c>
      <c r="L2120">
        <v>1191.04448587823</v>
      </c>
      <c r="M2120">
        <v>21.694049843653399</v>
      </c>
      <c r="N2120">
        <v>55.547344176671402</v>
      </c>
      <c r="O2120">
        <v>54.441777850417999</v>
      </c>
      <c r="P2120">
        <v>-8.8524255371891999E-2</v>
      </c>
      <c r="Q2120">
        <v>0.11140535771506101</v>
      </c>
      <c r="R2120">
        <v>0.93085468497532098</v>
      </c>
      <c r="S2120" t="s">
        <v>5952</v>
      </c>
      <c r="T2120" t="s">
        <v>7662</v>
      </c>
      <c r="U2120" t="s">
        <v>7662</v>
      </c>
      <c r="V2120" t="s">
        <v>7662</v>
      </c>
      <c r="W2120">
        <v>2</v>
      </c>
      <c r="X2120" t="s">
        <v>9782</v>
      </c>
      <c r="Y2120">
        <v>0.56324445832083148</v>
      </c>
      <c r="Z2120" t="str">
        <f>HYPERLINK("Melting_Curves/meltCurve_sp_Q8NDH3_2_PEPL1_HUMAN_.pdf", "Melting_Curves/meltCurve_sp_Q8NDH3_2_PEPL1_HUMAN_.pdf")</f>
        <v>Melting_Curves/meltCurve_sp_Q8NDH3_2_PEPL1_HUMAN_.pdf</v>
      </c>
      <c r="AA2120" t="s">
        <v>13582</v>
      </c>
      <c r="AB2120" t="s">
        <v>17360</v>
      </c>
    </row>
    <row r="2121" spans="1:28" x14ac:dyDescent="0.25">
      <c r="A2121" t="s">
        <v>2125</v>
      </c>
      <c r="B2121">
        <v>0.98876768158843997</v>
      </c>
      <c r="C2121">
        <v>1.0147069212642299</v>
      </c>
      <c r="D2121">
        <v>0.77249777195716596</v>
      </c>
      <c r="E2121">
        <v>0.46351487558947502</v>
      </c>
      <c r="F2121">
        <v>0.29935938012484398</v>
      </c>
      <c r="G2121">
        <v>0.179951171599529</v>
      </c>
      <c r="H2121">
        <v>0.124539174071107</v>
      </c>
      <c r="I2121">
        <v>0.12642219007928099</v>
      </c>
      <c r="J2121">
        <v>0.114972307730521</v>
      </c>
      <c r="K2121">
        <v>0.131268101248464</v>
      </c>
      <c r="L2121">
        <v>958.62038430896405</v>
      </c>
      <c r="M2121">
        <v>19.591939493858199</v>
      </c>
      <c r="N2121">
        <v>49.626285795451302</v>
      </c>
      <c r="O2121">
        <v>48.428120853627803</v>
      </c>
      <c r="P2121">
        <v>-8.8978217985338795E-2</v>
      </c>
      <c r="Q2121">
        <v>0.120271745682865</v>
      </c>
      <c r="R2121">
        <v>0.99482426391971202</v>
      </c>
      <c r="S2121" t="s">
        <v>5953</v>
      </c>
      <c r="T2121" t="s">
        <v>7662</v>
      </c>
      <c r="U2121" t="s">
        <v>7662</v>
      </c>
      <c r="V2121" t="s">
        <v>7662</v>
      </c>
      <c r="W2121">
        <v>6</v>
      </c>
      <c r="X2121" t="s">
        <v>9783</v>
      </c>
      <c r="Y2121">
        <v>0.39497766778134891</v>
      </c>
      <c r="Z2121" t="str">
        <f>HYPERLINK("Melting_Curves/meltCurve_sp_Q8NDI1_3_EHBP1_HUMAN_.pdf", "Melting_Curves/meltCurve_sp_Q8NDI1_3_EHBP1_HUMAN_.pdf")</f>
        <v>Melting_Curves/meltCurve_sp_Q8NDI1_3_EHBP1_HUMAN_.pdf</v>
      </c>
      <c r="AA2121" t="s">
        <v>13583</v>
      </c>
      <c r="AB2121" t="s">
        <v>17361</v>
      </c>
    </row>
    <row r="2122" spans="1:28" x14ac:dyDescent="0.25">
      <c r="A2122" t="s">
        <v>2126</v>
      </c>
      <c r="B2122">
        <v>0.98876768158843997</v>
      </c>
      <c r="C2122">
        <v>0.74470790716217306</v>
      </c>
      <c r="D2122">
        <v>0.46965217337519999</v>
      </c>
      <c r="E2122">
        <v>0.21689384066109099</v>
      </c>
      <c r="F2122">
        <v>0.122844006375654</v>
      </c>
      <c r="G2122">
        <v>7.32223475377414E-2</v>
      </c>
      <c r="H2122">
        <v>5.6615169954497897E-2</v>
      </c>
      <c r="I2122">
        <v>4.98648269847295E-2</v>
      </c>
      <c r="J2122">
        <v>7.0050535180907897E-2</v>
      </c>
      <c r="K2122">
        <v>4.4819354324626602E-2</v>
      </c>
      <c r="L2122">
        <v>858.84237304304702</v>
      </c>
      <c r="M2122">
        <v>18.8886556870421</v>
      </c>
      <c r="N2122">
        <v>45.751188180456403</v>
      </c>
      <c r="O2122">
        <v>44.968239466904699</v>
      </c>
      <c r="P2122">
        <v>-9.9234812700955993E-2</v>
      </c>
      <c r="Q2122">
        <v>5.5044776581580399E-2</v>
      </c>
      <c r="R2122">
        <v>0.99564506279576304</v>
      </c>
      <c r="S2122" t="s">
        <v>5954</v>
      </c>
      <c r="T2122" t="s">
        <v>7662</v>
      </c>
      <c r="U2122" t="s">
        <v>7662</v>
      </c>
      <c r="V2122" t="s">
        <v>7662</v>
      </c>
      <c r="W2122">
        <v>4</v>
      </c>
      <c r="X2122" t="s">
        <v>9784</v>
      </c>
      <c r="Y2122">
        <v>0.24469766461925271</v>
      </c>
      <c r="Z2122" t="str">
        <f>HYPERLINK("Melting_Curves/meltCurve_sp_Q8NE62_CHDH_HUMAN_.pdf", "Melting_Curves/meltCurve_sp_Q8NE62_CHDH_HUMAN_.pdf")</f>
        <v>Melting_Curves/meltCurve_sp_Q8NE62_CHDH_HUMAN_.pdf</v>
      </c>
      <c r="AA2122" t="s">
        <v>13584</v>
      </c>
      <c r="AB2122" t="s">
        <v>17362</v>
      </c>
    </row>
    <row r="2123" spans="1:28" x14ac:dyDescent="0.25">
      <c r="A2123" t="s">
        <v>2127</v>
      </c>
      <c r="B2123">
        <v>0.98876768158843997</v>
      </c>
      <c r="C2123">
        <v>1.0109599751046501</v>
      </c>
      <c r="D2123">
        <v>0.76977031436815202</v>
      </c>
      <c r="E2123">
        <v>0.65948846825733998</v>
      </c>
      <c r="F2123">
        <v>0.60768875864943495</v>
      </c>
      <c r="G2123">
        <v>0.45813451782237102</v>
      </c>
      <c r="H2123">
        <v>0.34153555772056898</v>
      </c>
      <c r="I2123">
        <v>0.40753794096713303</v>
      </c>
      <c r="J2123">
        <v>0.39217217930114601</v>
      </c>
      <c r="K2123">
        <v>0.47835547463509498</v>
      </c>
      <c r="L2123">
        <v>738.57419779796101</v>
      </c>
      <c r="M2123">
        <v>15.0320343281396</v>
      </c>
      <c r="N2123">
        <v>54.8874311303382</v>
      </c>
      <c r="O2123">
        <v>48.288405928051603</v>
      </c>
      <c r="P2123">
        <v>-4.6964870983302799E-2</v>
      </c>
      <c r="Q2123">
        <v>0.39658690845991701</v>
      </c>
      <c r="R2123">
        <v>0.94905763619960504</v>
      </c>
      <c r="S2123" t="s">
        <v>5955</v>
      </c>
      <c r="T2123" t="s">
        <v>7662</v>
      </c>
      <c r="U2123" t="s">
        <v>7662</v>
      </c>
      <c r="V2123" t="s">
        <v>7662</v>
      </c>
      <c r="W2123">
        <v>9</v>
      </c>
      <c r="X2123" t="s">
        <v>9785</v>
      </c>
      <c r="Y2123">
        <v>0.59505370538698132</v>
      </c>
      <c r="Z2123" t="str">
        <f>HYPERLINK("Melting_Curves/meltCurve_sp_Q8NE71_2_ABCF1_HUMAN_.pdf", "Melting_Curves/meltCurve_sp_Q8NE71_2_ABCF1_HUMAN_.pdf")</f>
        <v>Melting_Curves/meltCurve_sp_Q8NE71_2_ABCF1_HUMAN_.pdf</v>
      </c>
      <c r="AA2123" t="s">
        <v>13585</v>
      </c>
      <c r="AB2123" t="s">
        <v>17363</v>
      </c>
    </row>
    <row r="2124" spans="1:28" x14ac:dyDescent="0.25">
      <c r="A2124" t="s">
        <v>2128</v>
      </c>
      <c r="B2124">
        <v>0.98876768158843997</v>
      </c>
      <c r="C2124">
        <v>0.90285139607757203</v>
      </c>
      <c r="D2124">
        <v>0.89617418843435204</v>
      </c>
      <c r="E2124">
        <v>0.50980527178269697</v>
      </c>
      <c r="F2124">
        <v>0.25992793549548099</v>
      </c>
      <c r="G2124">
        <v>0.104740628058688</v>
      </c>
      <c r="H2124">
        <v>4.4466795514644303E-2</v>
      </c>
      <c r="I2124">
        <v>4.7823227818655903E-2</v>
      </c>
      <c r="J2124">
        <v>3.5403099524514703E-2</v>
      </c>
      <c r="K2124">
        <v>5.7753141286617203E-2</v>
      </c>
      <c r="L2124">
        <v>1056.4522923750901</v>
      </c>
      <c r="M2124">
        <v>21.140792921076699</v>
      </c>
      <c r="N2124">
        <v>50.157057726401703</v>
      </c>
      <c r="O2124">
        <v>49.531530237653797</v>
      </c>
      <c r="P2124">
        <v>-0.102707609938036</v>
      </c>
      <c r="Q2124">
        <v>3.7475626141288999E-2</v>
      </c>
      <c r="R2124">
        <v>0.99575234752632302</v>
      </c>
      <c r="S2124" t="s">
        <v>5956</v>
      </c>
      <c r="T2124" t="s">
        <v>7662</v>
      </c>
      <c r="U2124" t="s">
        <v>7662</v>
      </c>
      <c r="V2124" t="s">
        <v>7662</v>
      </c>
      <c r="W2124">
        <v>6</v>
      </c>
      <c r="X2124" t="s">
        <v>9786</v>
      </c>
      <c r="Y2124">
        <v>0.36944372154702593</v>
      </c>
      <c r="Z2124" t="str">
        <f>HYPERLINK("Melting_Curves/meltCurve_sp_Q8NEB9_PK3C3_HUMAN_.pdf", "Melting_Curves/meltCurve_sp_Q8NEB9_PK3C3_HUMAN_.pdf")</f>
        <v>Melting_Curves/meltCurve_sp_Q8NEB9_PK3C3_HUMAN_.pdf</v>
      </c>
      <c r="AA2124" t="s">
        <v>13586</v>
      </c>
      <c r="AB2124" t="s">
        <v>17364</v>
      </c>
    </row>
    <row r="2125" spans="1:28" x14ac:dyDescent="0.25">
      <c r="A2125" t="s">
        <v>2129</v>
      </c>
      <c r="B2125">
        <v>0.98876768158843997</v>
      </c>
      <c r="C2125">
        <v>1.0569252471206201</v>
      </c>
      <c r="D2125">
        <v>0.94422780144281504</v>
      </c>
      <c r="E2125">
        <v>0.83666115692194298</v>
      </c>
      <c r="F2125">
        <v>1.1114497353222801</v>
      </c>
      <c r="G2125">
        <v>0.78838620588462005</v>
      </c>
      <c r="H2125">
        <v>0.633922361695898</v>
      </c>
      <c r="I2125">
        <v>0.72409945605186599</v>
      </c>
      <c r="J2125">
        <v>1.0779026321079299</v>
      </c>
      <c r="K2125">
        <v>1.1579980720343399</v>
      </c>
      <c r="L2125">
        <v>11484.574053598</v>
      </c>
      <c r="M2125">
        <v>250</v>
      </c>
      <c r="O2125">
        <v>45.935357126858797</v>
      </c>
      <c r="P2125">
        <v>-0.130148032582244</v>
      </c>
      <c r="Q2125">
        <v>0.90434565978714898</v>
      </c>
      <c r="R2125">
        <v>7.3476452569002301E-2</v>
      </c>
      <c r="S2125" t="s">
        <v>5957</v>
      </c>
      <c r="T2125" t="s">
        <v>7662</v>
      </c>
      <c r="U2125" t="s">
        <v>7662</v>
      </c>
      <c r="V2125" t="s">
        <v>7662</v>
      </c>
      <c r="W2125">
        <v>1</v>
      </c>
      <c r="X2125" t="s">
        <v>9787</v>
      </c>
      <c r="Y2125">
        <v>0.9232874984144338</v>
      </c>
      <c r="Z2125" t="str">
        <f>HYPERLINK("Melting_Curves/meltCurve_sp_Q8NEF9_SRFB1_HUMAN_.pdf", "Melting_Curves/meltCurve_sp_Q8NEF9_SRFB1_HUMAN_.pdf")</f>
        <v>Melting_Curves/meltCurve_sp_Q8NEF9_SRFB1_HUMAN_.pdf</v>
      </c>
      <c r="AA2125" t="s">
        <v>13587</v>
      </c>
      <c r="AB2125" t="s">
        <v>17365</v>
      </c>
    </row>
    <row r="2126" spans="1:28" x14ac:dyDescent="0.25">
      <c r="A2126" t="s">
        <v>2130</v>
      </c>
      <c r="B2126">
        <v>0.98876768158843997</v>
      </c>
      <c r="C2126">
        <v>0.90105837050570803</v>
      </c>
      <c r="D2126">
        <v>0.84080092032273201</v>
      </c>
      <c r="E2126">
        <v>0.385206605579754</v>
      </c>
      <c r="F2126">
        <v>0.23565045694924</v>
      </c>
      <c r="G2126">
        <v>0.124215701545924</v>
      </c>
      <c r="H2126">
        <v>7.0483375717448796E-2</v>
      </c>
      <c r="I2126">
        <v>5.6888966557383E-2</v>
      </c>
      <c r="J2126">
        <v>6.44278102390929E-2</v>
      </c>
      <c r="K2126">
        <v>6.6110581737771998E-2</v>
      </c>
      <c r="L2126">
        <v>1021.40257489444</v>
      </c>
      <c r="M2126">
        <v>20.9132321463489</v>
      </c>
      <c r="N2126">
        <v>49.155140341520003</v>
      </c>
      <c r="O2126">
        <v>48.400031041055698</v>
      </c>
      <c r="P2126">
        <v>-0.101248666271101</v>
      </c>
      <c r="Q2126">
        <v>6.2736029176195598E-2</v>
      </c>
      <c r="R2126">
        <v>0.99518066627145396</v>
      </c>
      <c r="S2126" t="s">
        <v>5958</v>
      </c>
      <c r="T2126" t="s">
        <v>7662</v>
      </c>
      <c r="U2126" t="s">
        <v>7662</v>
      </c>
      <c r="V2126" t="s">
        <v>7662</v>
      </c>
      <c r="W2126">
        <v>7</v>
      </c>
      <c r="X2126" t="s">
        <v>9788</v>
      </c>
      <c r="Y2126">
        <v>0.35091572756096318</v>
      </c>
      <c r="Z2126" t="str">
        <f>HYPERLINK("Melting_Curves/meltCurve_sp_Q8NEU8_2_DP13B_HUMAN_.pdf", "Melting_Curves/meltCurve_sp_Q8NEU8_2_DP13B_HUMAN_.pdf")</f>
        <v>Melting_Curves/meltCurve_sp_Q8NEU8_2_DP13B_HUMAN_.pdf</v>
      </c>
      <c r="AA2126" t="s">
        <v>13588</v>
      </c>
      <c r="AB2126" t="s">
        <v>17366</v>
      </c>
    </row>
    <row r="2127" spans="1:28" x14ac:dyDescent="0.25">
      <c r="A2127" t="s">
        <v>2131</v>
      </c>
      <c r="B2127">
        <v>0.98876768158843997</v>
      </c>
      <c r="C2127">
        <v>1.0160402117715699</v>
      </c>
      <c r="D2127">
        <v>0.82596556248290398</v>
      </c>
      <c r="E2127">
        <v>0.75897532939814605</v>
      </c>
      <c r="F2127">
        <v>0.53790803028277201</v>
      </c>
      <c r="G2127">
        <v>0.152490592241665</v>
      </c>
      <c r="H2127">
        <v>8.8788355121210805E-2</v>
      </c>
      <c r="I2127">
        <v>7.0872015747782596E-2</v>
      </c>
      <c r="J2127">
        <v>6.1977899354048502E-2</v>
      </c>
      <c r="K2127">
        <v>8.0132166850204203E-2</v>
      </c>
      <c r="L2127">
        <v>1009.43298541995</v>
      </c>
      <c r="M2127">
        <v>19.1896326001755</v>
      </c>
      <c r="N2127">
        <v>52.829360648085</v>
      </c>
      <c r="O2127">
        <v>52.041756198611097</v>
      </c>
      <c r="P2127">
        <v>-8.8549619825059794E-2</v>
      </c>
      <c r="Q2127">
        <v>3.9459914945481199E-2</v>
      </c>
      <c r="R2127">
        <v>0.98464254022396203</v>
      </c>
      <c r="S2127" t="s">
        <v>5959</v>
      </c>
      <c r="T2127" t="s">
        <v>7662</v>
      </c>
      <c r="U2127" t="s">
        <v>7662</v>
      </c>
      <c r="V2127" t="s">
        <v>7662</v>
      </c>
      <c r="W2127">
        <v>7</v>
      </c>
      <c r="X2127" t="s">
        <v>9789</v>
      </c>
      <c r="Y2127">
        <v>0.45721358282115071</v>
      </c>
      <c r="Z2127" t="str">
        <f>HYPERLINK("Melting_Curves/meltCurve_sp_Q8NEZ5_FBX22_HUMAN_.pdf", "Melting_Curves/meltCurve_sp_Q8NEZ5_FBX22_HUMAN_.pdf")</f>
        <v>Melting_Curves/meltCurve_sp_Q8NEZ5_FBX22_HUMAN_.pdf</v>
      </c>
      <c r="AA2127" t="s">
        <v>13589</v>
      </c>
      <c r="AB2127" t="s">
        <v>17367</v>
      </c>
    </row>
    <row r="2128" spans="1:28" x14ac:dyDescent="0.25">
      <c r="A2128" t="s">
        <v>2132</v>
      </c>
      <c r="B2128">
        <v>0.98876768158843997</v>
      </c>
      <c r="C2128">
        <v>1.1623024836310201</v>
      </c>
      <c r="D2128">
        <v>0.83150505802236896</v>
      </c>
      <c r="E2128">
        <v>0.78302679127686203</v>
      </c>
      <c r="F2128">
        <v>0.79610909340536995</v>
      </c>
      <c r="G2128">
        <v>0.554831752654251</v>
      </c>
      <c r="H2128">
        <v>0.44862712662194398</v>
      </c>
      <c r="I2128">
        <v>0.51117023773764303</v>
      </c>
      <c r="J2128">
        <v>0.65331715131896795</v>
      </c>
      <c r="K2128">
        <v>0.78661349590521301</v>
      </c>
      <c r="L2128">
        <v>1006.46296833623</v>
      </c>
      <c r="M2128">
        <v>20.186226882684501</v>
      </c>
      <c r="O2128">
        <v>49.3773454109105</v>
      </c>
      <c r="P2128">
        <v>-4.1240377425472603E-2</v>
      </c>
      <c r="Q2128">
        <v>0.59650200461799896</v>
      </c>
      <c r="R2128">
        <v>0.69859590201326904</v>
      </c>
      <c r="S2128" t="s">
        <v>5960</v>
      </c>
      <c r="T2128" t="s">
        <v>7662</v>
      </c>
      <c r="U2128" t="s">
        <v>7662</v>
      </c>
      <c r="V2128" t="s">
        <v>7662</v>
      </c>
      <c r="W2128">
        <v>11</v>
      </c>
      <c r="X2128" t="s">
        <v>9790</v>
      </c>
      <c r="Y2128">
        <v>0.73462257028346301</v>
      </c>
      <c r="Z2128" t="str">
        <f>HYPERLINK("Melting_Curves/meltCurve_sp_Q8NFC6_BD1L1_HUMAN_.pdf", "Melting_Curves/meltCurve_sp_Q8NFC6_BD1L1_HUMAN_.pdf")</f>
        <v>Melting_Curves/meltCurve_sp_Q8NFC6_BD1L1_HUMAN_.pdf</v>
      </c>
      <c r="AA2128" t="s">
        <v>13590</v>
      </c>
      <c r="AB2128" t="s">
        <v>17368</v>
      </c>
    </row>
    <row r="2129" spans="1:28" x14ac:dyDescent="0.25">
      <c r="A2129" t="s">
        <v>2133</v>
      </c>
      <c r="B2129">
        <v>0.98876768158843997</v>
      </c>
      <c r="C2129">
        <v>1.0497966564522101</v>
      </c>
      <c r="D2129">
        <v>0.92058499029005703</v>
      </c>
      <c r="E2129">
        <v>0.80705591111671804</v>
      </c>
      <c r="F2129">
        <v>0.59703099685608996</v>
      </c>
      <c r="G2129">
        <v>0.29914829433439699</v>
      </c>
      <c r="H2129">
        <v>0.111518214513354</v>
      </c>
      <c r="I2129">
        <v>9.6825485273905998E-2</v>
      </c>
      <c r="J2129">
        <v>0.13501729837666601</v>
      </c>
      <c r="K2129">
        <v>1.6621335579032101E-2</v>
      </c>
      <c r="L2129">
        <v>982.535309138505</v>
      </c>
      <c r="M2129">
        <v>18.267581406327</v>
      </c>
      <c r="N2129">
        <v>54.065555459147497</v>
      </c>
      <c r="O2129">
        <v>53.153613130647997</v>
      </c>
      <c r="P2129">
        <v>-8.2047230441514296E-2</v>
      </c>
      <c r="Q2129">
        <v>4.5105350004809301E-2</v>
      </c>
      <c r="R2129">
        <v>0.992142506842148</v>
      </c>
      <c r="S2129" t="s">
        <v>5961</v>
      </c>
      <c r="T2129" t="s">
        <v>7662</v>
      </c>
      <c r="U2129" t="s">
        <v>7662</v>
      </c>
      <c r="V2129" t="s">
        <v>7662</v>
      </c>
      <c r="W2129">
        <v>2</v>
      </c>
      <c r="X2129" t="s">
        <v>9791</v>
      </c>
      <c r="Y2129">
        <v>0.49892780060875291</v>
      </c>
      <c r="Z2129" t="str">
        <f>HYPERLINK("Melting_Curves/meltCurve_sp_Q8NFH3_NUP43_HUMAN_.pdf", "Melting_Curves/meltCurve_sp_Q8NFH3_NUP43_HUMAN_.pdf")</f>
        <v>Melting_Curves/meltCurve_sp_Q8NFH3_NUP43_HUMAN_.pdf</v>
      </c>
      <c r="AA2129" t="s">
        <v>13591</v>
      </c>
      <c r="AB2129" t="s">
        <v>17369</v>
      </c>
    </row>
    <row r="2130" spans="1:28" x14ac:dyDescent="0.25">
      <c r="A2130" t="s">
        <v>2134</v>
      </c>
      <c r="B2130">
        <v>0.98876768158843997</v>
      </c>
      <c r="C2130">
        <v>0.96737629884910903</v>
      </c>
      <c r="D2130">
        <v>0.86652473558688703</v>
      </c>
      <c r="E2130">
        <v>0.73250111527589201</v>
      </c>
      <c r="F2130">
        <v>0.55157518274926998</v>
      </c>
      <c r="G2130">
        <v>0.30182902072706502</v>
      </c>
      <c r="H2130">
        <v>0.117073022462664</v>
      </c>
      <c r="I2130">
        <v>9.0355930599357995E-2</v>
      </c>
      <c r="J2130">
        <v>0.13091237099636899</v>
      </c>
      <c r="K2130">
        <v>9.69426469062383E-2</v>
      </c>
      <c r="L2130">
        <v>795.08904500319795</v>
      </c>
      <c r="M2130">
        <v>15.009527263463401</v>
      </c>
      <c r="N2130">
        <v>53.370517044916703</v>
      </c>
      <c r="O2130">
        <v>52.0586733588854</v>
      </c>
      <c r="P2130">
        <v>-6.8268289196200704E-2</v>
      </c>
      <c r="Q2130">
        <v>5.2975252831447099E-2</v>
      </c>
      <c r="R2130">
        <v>0.99362987101567801</v>
      </c>
      <c r="S2130" t="s">
        <v>5962</v>
      </c>
      <c r="T2130" t="s">
        <v>7662</v>
      </c>
      <c r="U2130" t="s">
        <v>7662</v>
      </c>
      <c r="V2130" t="s">
        <v>7662</v>
      </c>
      <c r="W2130">
        <v>3</v>
      </c>
      <c r="X2130" t="s">
        <v>9792</v>
      </c>
      <c r="Y2130">
        <v>0.48286238233943279</v>
      </c>
      <c r="Z2130" t="str">
        <f>HYPERLINK("Melting_Curves/meltCurve_sp_Q8NFH4_NUP37_HUMAN_.pdf", "Melting_Curves/meltCurve_sp_Q8NFH4_NUP37_HUMAN_.pdf")</f>
        <v>Melting_Curves/meltCurve_sp_Q8NFH4_NUP37_HUMAN_.pdf</v>
      </c>
      <c r="AA2130" t="s">
        <v>13592</v>
      </c>
      <c r="AB2130" t="s">
        <v>17370</v>
      </c>
    </row>
    <row r="2131" spans="1:28" x14ac:dyDescent="0.25">
      <c r="A2131" t="s">
        <v>2135</v>
      </c>
      <c r="B2131">
        <v>0.98876768158843997</v>
      </c>
      <c r="C2131">
        <v>0.90697317982508296</v>
      </c>
      <c r="D2131">
        <v>0.88705685132553103</v>
      </c>
      <c r="E2131">
        <v>0.52290833326117403</v>
      </c>
      <c r="F2131">
        <v>0.38469489357603498</v>
      </c>
      <c r="G2131">
        <v>0.275603407022528</v>
      </c>
      <c r="H2131">
        <v>0.227128273712359</v>
      </c>
      <c r="I2131">
        <v>0.26633822671962298</v>
      </c>
      <c r="J2131">
        <v>0.35131157152616799</v>
      </c>
      <c r="K2131">
        <v>0.39722535316341301</v>
      </c>
      <c r="L2131">
        <v>1265.4662210136501</v>
      </c>
      <c r="M2131">
        <v>26.057260980989799</v>
      </c>
      <c r="N2131">
        <v>50.352805280240503</v>
      </c>
      <c r="O2131">
        <v>48.281494749559599</v>
      </c>
      <c r="P2131">
        <v>-9.4206425884321404E-2</v>
      </c>
      <c r="Q2131">
        <v>0.30178767806124901</v>
      </c>
      <c r="R2131">
        <v>0.96615672689197596</v>
      </c>
      <c r="S2131" t="s">
        <v>5963</v>
      </c>
      <c r="T2131" t="s">
        <v>7662</v>
      </c>
      <c r="U2131" t="s">
        <v>7662</v>
      </c>
      <c r="V2131" t="s">
        <v>7662</v>
      </c>
      <c r="W2131">
        <v>8</v>
      </c>
      <c r="X2131" t="s">
        <v>9793</v>
      </c>
      <c r="Y2131">
        <v>0.50678620796021723</v>
      </c>
      <c r="Z2131" t="str">
        <f>HYPERLINK("Melting_Curves/meltCurve_sp_Q8NFH8_4_REPS2_HUMAN_.pdf", "Melting_Curves/meltCurve_sp_Q8NFH8_4_REPS2_HUMAN_.pdf")</f>
        <v>Melting_Curves/meltCurve_sp_Q8NFH8_4_REPS2_HUMAN_.pdf</v>
      </c>
      <c r="AA2131" t="s">
        <v>13593</v>
      </c>
      <c r="AB2131" t="s">
        <v>17371</v>
      </c>
    </row>
    <row r="2132" spans="1:28" x14ac:dyDescent="0.25">
      <c r="A2132" t="s">
        <v>2136</v>
      </c>
      <c r="B2132">
        <v>0.98876768158843997</v>
      </c>
      <c r="C2132">
        <v>1.0072165482647399</v>
      </c>
      <c r="D2132">
        <v>0.92369366053271895</v>
      </c>
      <c r="E2132">
        <v>0.844652509080981</v>
      </c>
      <c r="F2132">
        <v>0.60111662965392998</v>
      </c>
      <c r="G2132">
        <v>0.29254909826575998</v>
      </c>
      <c r="H2132">
        <v>0.17367676621432501</v>
      </c>
      <c r="I2132">
        <v>0.160532845716788</v>
      </c>
      <c r="J2132">
        <v>0.155108080507811</v>
      </c>
      <c r="K2132">
        <v>0.11037595787531999</v>
      </c>
      <c r="L2132">
        <v>1139.8909477536699</v>
      </c>
      <c r="M2132">
        <v>21.3536111947822</v>
      </c>
      <c r="N2132">
        <v>54.103804944670301</v>
      </c>
      <c r="O2132">
        <v>52.9200969897053</v>
      </c>
      <c r="P2132">
        <v>-8.83701486802137E-2</v>
      </c>
      <c r="Q2132">
        <v>0.12400028061737101</v>
      </c>
      <c r="R2132">
        <v>0.99709548192108</v>
      </c>
      <c r="S2132" t="s">
        <v>5964</v>
      </c>
      <c r="T2132" t="s">
        <v>7662</v>
      </c>
      <c r="U2132" t="s">
        <v>7662</v>
      </c>
      <c r="V2132" t="s">
        <v>7662</v>
      </c>
      <c r="W2132">
        <v>8</v>
      </c>
      <c r="X2132" t="s">
        <v>9794</v>
      </c>
      <c r="Y2132">
        <v>0.52548095154508589</v>
      </c>
      <c r="Z2132" t="str">
        <f>HYPERLINK("Melting_Curves/meltCurve_sp_Q8NFI3_ENASE_HUMAN_.pdf", "Melting_Curves/meltCurve_sp_Q8NFI3_ENASE_HUMAN_.pdf")</f>
        <v>Melting_Curves/meltCurve_sp_Q8NFI3_ENASE_HUMAN_.pdf</v>
      </c>
      <c r="AA2132" t="s">
        <v>13594</v>
      </c>
      <c r="AB2132" t="s">
        <v>17372</v>
      </c>
    </row>
    <row r="2133" spans="1:28" x14ac:dyDescent="0.25">
      <c r="A2133" t="s">
        <v>2137</v>
      </c>
      <c r="B2133">
        <v>0.98876768158843997</v>
      </c>
      <c r="C2133">
        <v>1.1006958335363699</v>
      </c>
      <c r="D2133">
        <v>0.90889922845597204</v>
      </c>
      <c r="E2133">
        <v>0.77967055011065201</v>
      </c>
      <c r="F2133">
        <v>0.80199938033923601</v>
      </c>
      <c r="G2133">
        <v>0.673330582165375</v>
      </c>
      <c r="H2133">
        <v>0.44444251052747002</v>
      </c>
      <c r="I2133">
        <v>0.53585113047691402</v>
      </c>
      <c r="J2133">
        <v>0.46631091613832099</v>
      </c>
      <c r="K2133">
        <v>0.80301710081947297</v>
      </c>
      <c r="L2133">
        <v>922.44826645175897</v>
      </c>
      <c r="M2133">
        <v>17.967516380488799</v>
      </c>
      <c r="O2133">
        <v>50.716489184044597</v>
      </c>
      <c r="P2133">
        <v>-3.81874596514582E-2</v>
      </c>
      <c r="Q2133">
        <v>0.56885801991377904</v>
      </c>
      <c r="R2133">
        <v>0.73813267864145304</v>
      </c>
      <c r="S2133" t="s">
        <v>5965</v>
      </c>
      <c r="T2133" t="s">
        <v>7662</v>
      </c>
      <c r="U2133" t="s">
        <v>7662</v>
      </c>
      <c r="V2133" t="s">
        <v>7662</v>
      </c>
      <c r="W2133">
        <v>2</v>
      </c>
      <c r="X2133" t="s">
        <v>9795</v>
      </c>
      <c r="Y2133">
        <v>0.73908502635721052</v>
      </c>
      <c r="Z2133" t="str">
        <f>HYPERLINK("Melting_Curves/meltCurve_sp_Q8NFQ8_TOIP2_HUMAN_.pdf", "Melting_Curves/meltCurve_sp_Q8NFQ8_TOIP2_HUMAN_.pdf")</f>
        <v>Melting_Curves/meltCurve_sp_Q8NFQ8_TOIP2_HUMAN_.pdf</v>
      </c>
      <c r="AA2133" t="s">
        <v>13595</v>
      </c>
      <c r="AB2133" t="s">
        <v>17373</v>
      </c>
    </row>
    <row r="2134" spans="1:28" x14ac:dyDescent="0.25">
      <c r="A2134" t="s">
        <v>2138</v>
      </c>
      <c r="B2134">
        <v>0.98876768158843997</v>
      </c>
      <c r="C2134">
        <v>1.06990717977629</v>
      </c>
      <c r="D2134">
        <v>0.93404038134753598</v>
      </c>
      <c r="E2134">
        <v>0.80142613888185599</v>
      </c>
      <c r="F2134">
        <v>0.78030156381358196</v>
      </c>
      <c r="G2134">
        <v>0.46387793527149601</v>
      </c>
      <c r="H2134">
        <v>0.30144796975140697</v>
      </c>
      <c r="I2134">
        <v>0.29857059181315598</v>
      </c>
      <c r="J2134">
        <v>0.38259925107384302</v>
      </c>
      <c r="K2134">
        <v>0.39490512484533002</v>
      </c>
      <c r="L2134">
        <v>1129.60257431945</v>
      </c>
      <c r="M2134">
        <v>21.0909715418133</v>
      </c>
      <c r="N2134">
        <v>56.4131041807616</v>
      </c>
      <c r="O2134">
        <v>53.0840693126611</v>
      </c>
      <c r="P2134">
        <v>-6.6748659114721595E-2</v>
      </c>
      <c r="Q2134">
        <v>0.32801635905805099</v>
      </c>
      <c r="R2134">
        <v>0.95927736826006305</v>
      </c>
      <c r="S2134" t="s">
        <v>5966</v>
      </c>
      <c r="T2134" t="s">
        <v>7662</v>
      </c>
      <c r="U2134" t="s">
        <v>7662</v>
      </c>
      <c r="V2134" t="s">
        <v>7662</v>
      </c>
      <c r="W2134">
        <v>7</v>
      </c>
      <c r="X2134" t="s">
        <v>9796</v>
      </c>
      <c r="Y2134">
        <v>0.64012548085777576</v>
      </c>
      <c r="Z2134" t="str">
        <f>HYPERLINK("Melting_Curves/meltCurve_sp_Q8NFU3_4_TSTD1_HUMAN_.pdf", "Melting_Curves/meltCurve_sp_Q8NFU3_4_TSTD1_HUMAN_.pdf")</f>
        <v>Melting_Curves/meltCurve_sp_Q8NFU3_4_TSTD1_HUMAN_.pdf</v>
      </c>
      <c r="AA2134" t="s">
        <v>13596</v>
      </c>
      <c r="AB2134" t="s">
        <v>17374</v>
      </c>
    </row>
    <row r="2135" spans="1:28" x14ac:dyDescent="0.25">
      <c r="A2135" t="s">
        <v>2139</v>
      </c>
      <c r="B2135">
        <v>0.98876768158843997</v>
      </c>
      <c r="C2135">
        <v>1.25907093395322</v>
      </c>
      <c r="D2135">
        <v>0.90221492455915797</v>
      </c>
      <c r="E2135">
        <v>0.79779490899521999</v>
      </c>
      <c r="F2135">
        <v>1.02311322062781</v>
      </c>
      <c r="G2135">
        <v>0.701386801489428</v>
      </c>
      <c r="H2135">
        <v>0.56546772362466502</v>
      </c>
      <c r="I2135">
        <v>0.64571322254254804</v>
      </c>
      <c r="J2135">
        <v>1.03503312469725</v>
      </c>
      <c r="K2135">
        <v>0.76846041612564697</v>
      </c>
      <c r="L2135">
        <v>1037.84671170859</v>
      </c>
      <c r="M2135">
        <v>20.259898054599301</v>
      </c>
      <c r="O2135">
        <v>50.735398863405003</v>
      </c>
      <c r="P2135">
        <v>-2.4596905734205299E-2</v>
      </c>
      <c r="Q2135">
        <v>0.75362259179373703</v>
      </c>
      <c r="R2135">
        <v>0.36101586312138401</v>
      </c>
      <c r="S2135" t="s">
        <v>5967</v>
      </c>
      <c r="T2135" t="s">
        <v>7662</v>
      </c>
      <c r="U2135" t="s">
        <v>7662</v>
      </c>
      <c r="V2135" t="s">
        <v>7662</v>
      </c>
      <c r="W2135">
        <v>7</v>
      </c>
      <c r="X2135" t="s">
        <v>9797</v>
      </c>
      <c r="Y2135">
        <v>0.84915948754150627</v>
      </c>
      <c r="Z2135" t="str">
        <f>HYPERLINK("Melting_Curves/meltCurve_sp_Q8NFU3_TSTD1_HUMAN_.pdf", "Melting_Curves/meltCurve_sp_Q8NFU3_TSTD1_HUMAN_.pdf")</f>
        <v>Melting_Curves/meltCurve_sp_Q8NFU3_TSTD1_HUMAN_.pdf</v>
      </c>
      <c r="AA2135" t="s">
        <v>13596</v>
      </c>
      <c r="AB2135" t="s">
        <v>17375</v>
      </c>
    </row>
    <row r="2136" spans="1:28" x14ac:dyDescent="0.25">
      <c r="A2136" t="s">
        <v>2140</v>
      </c>
      <c r="B2136">
        <v>0.98876768158843997</v>
      </c>
      <c r="C2136">
        <v>1.0762657734254599</v>
      </c>
      <c r="D2136">
        <v>0.82245998195780301</v>
      </c>
      <c r="E2136">
        <v>0.65242868457658298</v>
      </c>
      <c r="F2136">
        <v>0.30050654813154098</v>
      </c>
      <c r="G2136">
        <v>0.11501986585222</v>
      </c>
      <c r="H2136">
        <v>6.8495500599850698E-2</v>
      </c>
      <c r="I2136">
        <v>6.1922617968135397E-2</v>
      </c>
      <c r="J2136">
        <v>7.5951115355436902E-2</v>
      </c>
      <c r="K2136">
        <v>3.2979258905151097E-2</v>
      </c>
      <c r="L2136">
        <v>1093.4388820458701</v>
      </c>
      <c r="M2136">
        <v>21.5185953995902</v>
      </c>
      <c r="N2136">
        <v>51.035738535926001</v>
      </c>
      <c r="O2136">
        <v>50.380945830551802</v>
      </c>
      <c r="P2136">
        <v>-0.102009889276508</v>
      </c>
      <c r="Q2136">
        <v>4.4690595527414001E-2</v>
      </c>
      <c r="R2136">
        <v>0.98731005819734596</v>
      </c>
      <c r="S2136" t="s">
        <v>5968</v>
      </c>
      <c r="T2136" t="s">
        <v>7662</v>
      </c>
      <c r="U2136" t="s">
        <v>7662</v>
      </c>
      <c r="V2136" t="s">
        <v>7662</v>
      </c>
      <c r="W2136">
        <v>8</v>
      </c>
      <c r="X2136" t="s">
        <v>9798</v>
      </c>
      <c r="Y2136">
        <v>0.40057792625285699</v>
      </c>
      <c r="Z2136" t="str">
        <f>HYPERLINK("Melting_Curves/meltCurve_sp_Q8NFV4_ABHDB_HUMAN_.pdf", "Melting_Curves/meltCurve_sp_Q8NFV4_ABHDB_HUMAN_.pdf")</f>
        <v>Melting_Curves/meltCurve_sp_Q8NFV4_ABHDB_HUMAN_.pdf</v>
      </c>
      <c r="AA2136" t="s">
        <v>13597</v>
      </c>
      <c r="AB2136" t="s">
        <v>17376</v>
      </c>
    </row>
    <row r="2137" spans="1:28" x14ac:dyDescent="0.25">
      <c r="A2137" t="s">
        <v>2141</v>
      </c>
      <c r="B2137">
        <v>0.98876768158843997</v>
      </c>
      <c r="C2137">
        <v>0.82617179986800104</v>
      </c>
      <c r="D2137">
        <v>1.0396271155904899</v>
      </c>
      <c r="E2137">
        <v>0.69274544743175104</v>
      </c>
      <c r="F2137">
        <v>0.104180901638812</v>
      </c>
      <c r="G2137">
        <v>5.99286506939136E-2</v>
      </c>
      <c r="H2137">
        <v>3.5449257372350197E-2</v>
      </c>
      <c r="I2137">
        <v>3.0231189200578001E-2</v>
      </c>
      <c r="J2137">
        <v>4.0182637707988897E-2</v>
      </c>
      <c r="K2137">
        <v>2.8711699616313702E-2</v>
      </c>
      <c r="L2137">
        <v>3006.6057684267898</v>
      </c>
      <c r="M2137">
        <v>59.372012184621198</v>
      </c>
      <c r="N2137">
        <v>50.709243327097198</v>
      </c>
      <c r="O2137">
        <v>50.582766148097697</v>
      </c>
      <c r="P2137">
        <v>-0.28203439241332201</v>
      </c>
      <c r="Q2137">
        <v>3.8868818770920098E-2</v>
      </c>
      <c r="R2137">
        <v>0.98143612335278996</v>
      </c>
      <c r="S2137" t="s">
        <v>5969</v>
      </c>
      <c r="T2137" t="s">
        <v>7662</v>
      </c>
      <c r="U2137" t="s">
        <v>7662</v>
      </c>
      <c r="V2137" t="s">
        <v>7662</v>
      </c>
      <c r="W2137">
        <v>10</v>
      </c>
      <c r="X2137" t="s">
        <v>9799</v>
      </c>
      <c r="Y2137">
        <v>0.38127397133674029</v>
      </c>
      <c r="Z2137" t="str">
        <f>HYPERLINK("Melting_Curves/meltCurve_sp_Q8NFW8_NEUA_HUMAN_.pdf", "Melting_Curves/meltCurve_sp_Q8NFW8_NEUA_HUMAN_.pdf")</f>
        <v>Melting_Curves/meltCurve_sp_Q8NFW8_NEUA_HUMAN_.pdf</v>
      </c>
      <c r="AA2137" t="s">
        <v>13598</v>
      </c>
      <c r="AB2137" t="s">
        <v>17377</v>
      </c>
    </row>
    <row r="2138" spans="1:28" x14ac:dyDescent="0.25">
      <c r="A2138" t="s">
        <v>2142</v>
      </c>
      <c r="B2138">
        <v>0.98876768158843997</v>
      </c>
      <c r="C2138">
        <v>1.7588847323888199</v>
      </c>
      <c r="D2138">
        <v>0.72679848252938595</v>
      </c>
      <c r="E2138">
        <v>1.04788259679401</v>
      </c>
      <c r="F2138">
        <v>1.36418340716678</v>
      </c>
      <c r="G2138">
        <v>1.0955801112479799</v>
      </c>
      <c r="H2138">
        <v>0.66055208461257098</v>
      </c>
      <c r="I2138">
        <v>0.72752980996432504</v>
      </c>
      <c r="J2138">
        <v>1.24661120202027</v>
      </c>
      <c r="K2138">
        <v>1.4535274658622801</v>
      </c>
      <c r="L2138">
        <v>15000</v>
      </c>
      <c r="M2138">
        <v>224.055596874624</v>
      </c>
      <c r="O2138">
        <v>66.942335387362604</v>
      </c>
      <c r="P2138">
        <v>0.37951907650631</v>
      </c>
      <c r="Q2138">
        <v>1.4535640919570301</v>
      </c>
      <c r="R2138">
        <v>0.13373183084978299</v>
      </c>
      <c r="S2138" t="s">
        <v>5970</v>
      </c>
      <c r="T2138" t="s">
        <v>7662</v>
      </c>
      <c r="U2138" t="s">
        <v>7662</v>
      </c>
      <c r="V2138" t="s">
        <v>7662</v>
      </c>
      <c r="W2138">
        <v>2</v>
      </c>
      <c r="X2138" t="s">
        <v>9800</v>
      </c>
      <c r="Y2138">
        <v>1.04608152217965</v>
      </c>
      <c r="Z2138" t="str">
        <f>HYPERLINK("Melting_Curves/meltCurve_sp_Q8NHG8_ZNRF2_HUMAN_.pdf", "Melting_Curves/meltCurve_sp_Q8NHG8_ZNRF2_HUMAN_.pdf")</f>
        <v>Melting_Curves/meltCurve_sp_Q8NHG8_ZNRF2_HUMAN_.pdf</v>
      </c>
      <c r="AA2138" t="s">
        <v>13599</v>
      </c>
      <c r="AB2138" t="s">
        <v>17378</v>
      </c>
    </row>
    <row r="2139" spans="1:28" x14ac:dyDescent="0.25">
      <c r="A2139" t="s">
        <v>2143</v>
      </c>
      <c r="B2139">
        <v>0.98876768158843997</v>
      </c>
      <c r="C2139">
        <v>1.0412046187952999</v>
      </c>
      <c r="D2139">
        <v>1.0490865738725199</v>
      </c>
      <c r="E2139">
        <v>0.62024685453886197</v>
      </c>
      <c r="F2139">
        <v>0.29482036187696298</v>
      </c>
      <c r="G2139">
        <v>0.137903082969413</v>
      </c>
      <c r="H2139">
        <v>8.7497228596572899E-2</v>
      </c>
      <c r="I2139">
        <v>8.8381530920588702E-2</v>
      </c>
      <c r="J2139">
        <v>9.0925331064399401E-2</v>
      </c>
      <c r="K2139">
        <v>9.9131069367003402E-2</v>
      </c>
      <c r="L2139">
        <v>1661.87833866045</v>
      </c>
      <c r="M2139">
        <v>32.786507662137602</v>
      </c>
      <c r="N2139">
        <v>51.024170404461898</v>
      </c>
      <c r="O2139">
        <v>50.5003971730467</v>
      </c>
      <c r="P2139">
        <v>-0.14653732341562001</v>
      </c>
      <c r="Q2139">
        <v>9.7169763874081994E-2</v>
      </c>
      <c r="R2139">
        <v>0.99375619685139605</v>
      </c>
      <c r="S2139" t="s">
        <v>5971</v>
      </c>
      <c r="T2139" t="s">
        <v>7662</v>
      </c>
      <c r="U2139" t="s">
        <v>7662</v>
      </c>
      <c r="V2139" t="s">
        <v>7662</v>
      </c>
      <c r="W2139">
        <v>2</v>
      </c>
      <c r="X2139" t="s">
        <v>9801</v>
      </c>
      <c r="Y2139">
        <v>0.42353746973368689</v>
      </c>
      <c r="Z2139" t="str">
        <f>HYPERLINK("Melting_Curves/meltCurve_sp_Q8NHH9_2_ATLA2_HUMAN_.pdf", "Melting_Curves/meltCurve_sp_Q8NHH9_2_ATLA2_HUMAN_.pdf")</f>
        <v>Melting_Curves/meltCurve_sp_Q8NHH9_2_ATLA2_HUMAN_.pdf</v>
      </c>
      <c r="AA2139" t="s">
        <v>13600</v>
      </c>
      <c r="AB2139" t="s">
        <v>17379</v>
      </c>
    </row>
    <row r="2140" spans="1:28" x14ac:dyDescent="0.25">
      <c r="A2140" t="s">
        <v>2144</v>
      </c>
      <c r="B2140">
        <v>0.98876768158843997</v>
      </c>
      <c r="C2140">
        <v>1.0379399250654699</v>
      </c>
      <c r="D2140">
        <v>0.82916693074533698</v>
      </c>
      <c r="E2140">
        <v>0.68977423259629</v>
      </c>
      <c r="F2140">
        <v>0.57772582835703001</v>
      </c>
      <c r="G2140">
        <v>0.37778852587322698</v>
      </c>
      <c r="H2140">
        <v>0.25356090337519799</v>
      </c>
      <c r="I2140">
        <v>0.23332831740375601</v>
      </c>
      <c r="J2140">
        <v>0.322728844624522</v>
      </c>
      <c r="K2140">
        <v>0.34493523695740502</v>
      </c>
      <c r="L2140">
        <v>827.39289750317096</v>
      </c>
      <c r="M2140">
        <v>16.220221341231699</v>
      </c>
      <c r="N2140">
        <v>53.581965648715901</v>
      </c>
      <c r="O2140">
        <v>50.253529430767998</v>
      </c>
      <c r="P2140">
        <v>-5.8871276057873602E-2</v>
      </c>
      <c r="Q2140">
        <v>0.27047378606121503</v>
      </c>
      <c r="R2140">
        <v>0.96947075686020001</v>
      </c>
      <c r="S2140" t="s">
        <v>5972</v>
      </c>
      <c r="T2140" t="s">
        <v>7662</v>
      </c>
      <c r="U2140" t="s">
        <v>7662</v>
      </c>
      <c r="V2140" t="s">
        <v>7662</v>
      </c>
      <c r="W2140">
        <v>1</v>
      </c>
      <c r="X2140" t="s">
        <v>9802</v>
      </c>
      <c r="Y2140">
        <v>0.55297604787585686</v>
      </c>
      <c r="Z2140" t="str">
        <f>HYPERLINK("Melting_Curves/meltCurve_sp_Q8NHM4_TRY6_HUMAN_.pdf", "Melting_Curves/meltCurve_sp_Q8NHM4_TRY6_HUMAN_.pdf")</f>
        <v>Melting_Curves/meltCurve_sp_Q8NHM4_TRY6_HUMAN_.pdf</v>
      </c>
      <c r="AA2140" t="s">
        <v>13601</v>
      </c>
      <c r="AB2140" t="s">
        <v>17380</v>
      </c>
    </row>
    <row r="2141" spans="1:28" x14ac:dyDescent="0.25">
      <c r="A2141" t="s">
        <v>2145</v>
      </c>
      <c r="B2141">
        <v>0.98876768158843997</v>
      </c>
      <c r="C2141">
        <v>1.37101760503581</v>
      </c>
      <c r="D2141">
        <v>0.94630719256487805</v>
      </c>
      <c r="E2141">
        <v>1.0769063398450001</v>
      </c>
      <c r="F2141">
        <v>1.1055262335840399</v>
      </c>
      <c r="G2141">
        <v>0.82415139203360799</v>
      </c>
      <c r="H2141">
        <v>0.64549641721575501</v>
      </c>
      <c r="I2141">
        <v>0.58521330266916605</v>
      </c>
      <c r="J2141">
        <v>0.92339681765411297</v>
      </c>
      <c r="K2141">
        <v>1.25220682717605</v>
      </c>
      <c r="L2141">
        <v>4264.2385375166796</v>
      </c>
      <c r="M2141">
        <v>77.0059256464816</v>
      </c>
      <c r="O2141">
        <v>55.338149369503597</v>
      </c>
      <c r="P2141">
        <v>-5.4135594342103702E-2</v>
      </c>
      <c r="Q2141">
        <v>0.84438791821619597</v>
      </c>
      <c r="R2141">
        <v>0.198124431791383</v>
      </c>
      <c r="S2141" t="s">
        <v>5973</v>
      </c>
      <c r="T2141" t="s">
        <v>7662</v>
      </c>
      <c r="U2141" t="s">
        <v>7662</v>
      </c>
      <c r="V2141" t="s">
        <v>7662</v>
      </c>
      <c r="W2141">
        <v>1</v>
      </c>
      <c r="X2141" t="s">
        <v>9803</v>
      </c>
      <c r="Y2141">
        <v>0.92430122407083859</v>
      </c>
      <c r="Z2141" t="str">
        <f>HYPERLINK("Melting_Curves/meltCurve_sp_Q8NI08_2_NCOA7_HUMAN_.pdf", "Melting_Curves/meltCurve_sp_Q8NI08_2_NCOA7_HUMAN_.pdf")</f>
        <v>Melting_Curves/meltCurve_sp_Q8NI08_2_NCOA7_HUMAN_.pdf</v>
      </c>
      <c r="AA2141" t="s">
        <v>13602</v>
      </c>
      <c r="AB2141" t="s">
        <v>17381</v>
      </c>
    </row>
    <row r="2142" spans="1:28" x14ac:dyDescent="0.25">
      <c r="A2142" t="s">
        <v>2146</v>
      </c>
      <c r="B2142">
        <v>0.98876768158843997</v>
      </c>
      <c r="C2142">
        <v>0.93422575924845197</v>
      </c>
      <c r="D2142">
        <v>1.07059941055457</v>
      </c>
      <c r="E2142">
        <v>1.0608562251659901</v>
      </c>
      <c r="F2142">
        <v>0.57975482826103697</v>
      </c>
      <c r="G2142">
        <v>0.35894084345275601</v>
      </c>
      <c r="H2142">
        <v>0.22569975963950001</v>
      </c>
      <c r="I2142">
        <v>0.25517339673811401</v>
      </c>
      <c r="J2142">
        <v>0.264911096931225</v>
      </c>
      <c r="K2142">
        <v>0.35151840273476898</v>
      </c>
      <c r="L2142">
        <v>13230.0655777837</v>
      </c>
      <c r="M2142">
        <v>250</v>
      </c>
      <c r="N2142">
        <v>53.1058269760874</v>
      </c>
      <c r="O2142">
        <v>52.9168978232033</v>
      </c>
      <c r="P2142">
        <v>-0.83710454051704897</v>
      </c>
      <c r="Q2142">
        <v>0.291248687337542</v>
      </c>
      <c r="R2142">
        <v>0.97671733925895099</v>
      </c>
      <c r="S2142" t="s">
        <v>5974</v>
      </c>
      <c r="T2142" t="s">
        <v>7662</v>
      </c>
      <c r="U2142" t="s">
        <v>7662</v>
      </c>
      <c r="V2142" t="s">
        <v>7662</v>
      </c>
      <c r="W2142">
        <v>6</v>
      </c>
      <c r="X2142" t="s">
        <v>9804</v>
      </c>
      <c r="Y2142">
        <v>0.5965562745067442</v>
      </c>
      <c r="Z2142" t="str">
        <f>HYPERLINK("Melting_Curves/meltCurve_sp_Q8NI27_THOC2_HUMAN_.pdf", "Melting_Curves/meltCurve_sp_Q8NI27_THOC2_HUMAN_.pdf")</f>
        <v>Melting_Curves/meltCurve_sp_Q8NI27_THOC2_HUMAN_.pdf</v>
      </c>
      <c r="AA2142" t="s">
        <v>13603</v>
      </c>
      <c r="AB2142" t="s">
        <v>17382</v>
      </c>
    </row>
    <row r="2143" spans="1:28" x14ac:dyDescent="0.25">
      <c r="A2143" t="s">
        <v>2147</v>
      </c>
      <c r="B2143">
        <v>0.98876768158843997</v>
      </c>
      <c r="C2143">
        <v>1.0153372269041301</v>
      </c>
      <c r="D2143">
        <v>0.87891178618147103</v>
      </c>
      <c r="E2143">
        <v>0.61234267564797096</v>
      </c>
      <c r="F2143">
        <v>0.388747899260591</v>
      </c>
      <c r="G2143">
        <v>0.25506119163756702</v>
      </c>
      <c r="H2143">
        <v>0.19100517654277399</v>
      </c>
      <c r="I2143">
        <v>0.222753879830349</v>
      </c>
      <c r="J2143">
        <v>0.30684904579102801</v>
      </c>
      <c r="K2143">
        <v>0.31136218593352499</v>
      </c>
      <c r="L2143">
        <v>1228.0154791622699</v>
      </c>
      <c r="M2143">
        <v>24.708729607327399</v>
      </c>
      <c r="N2143">
        <v>51.142752073057302</v>
      </c>
      <c r="O2143">
        <v>49.377552794389302</v>
      </c>
      <c r="P2143">
        <v>-9.3700459602286595E-2</v>
      </c>
      <c r="Q2143">
        <v>0.25101223164365799</v>
      </c>
      <c r="R2143">
        <v>0.98465413664908097</v>
      </c>
      <c r="S2143" t="s">
        <v>5975</v>
      </c>
      <c r="T2143" t="s">
        <v>7662</v>
      </c>
      <c r="U2143" t="s">
        <v>7662</v>
      </c>
      <c r="V2143" t="s">
        <v>7662</v>
      </c>
      <c r="W2143">
        <v>6</v>
      </c>
      <c r="X2143" t="s">
        <v>9805</v>
      </c>
      <c r="Y2143">
        <v>0.50001132796113212</v>
      </c>
      <c r="Z2143" t="str">
        <f>HYPERLINK("Melting_Curves/meltCurve_sp_Q8NI60_ADCK3_HUMAN_.pdf", "Melting_Curves/meltCurve_sp_Q8NI60_ADCK3_HUMAN_.pdf")</f>
        <v>Melting_Curves/meltCurve_sp_Q8NI60_ADCK3_HUMAN_.pdf</v>
      </c>
      <c r="AA2143" t="s">
        <v>13604</v>
      </c>
      <c r="AB2143" t="s">
        <v>17383</v>
      </c>
    </row>
    <row r="2144" spans="1:28" x14ac:dyDescent="0.25">
      <c r="A2144" t="s">
        <v>2148</v>
      </c>
      <c r="B2144">
        <v>0.98876768158843997</v>
      </c>
      <c r="C2144">
        <v>1.1300707875506799</v>
      </c>
      <c r="D2144">
        <v>0.99886556857294795</v>
      </c>
      <c r="E2144">
        <v>0.81076793265786995</v>
      </c>
      <c r="F2144">
        <v>0.84920422081778202</v>
      </c>
      <c r="G2144">
        <v>0.53452790900702996</v>
      </c>
      <c r="H2144">
        <v>0.42983182931590302</v>
      </c>
      <c r="I2144">
        <v>0.45785209028075602</v>
      </c>
      <c r="J2144">
        <v>0.59660489860838695</v>
      </c>
      <c r="K2144">
        <v>0.61631666193443202</v>
      </c>
      <c r="L2144">
        <v>1375.6934204860199</v>
      </c>
      <c r="M2144">
        <v>25.988491453200702</v>
      </c>
      <c r="O2144">
        <v>52.6242754886078</v>
      </c>
      <c r="P2144">
        <v>-5.9598395484213203E-2</v>
      </c>
      <c r="Q2144">
        <v>0.51728075908264903</v>
      </c>
      <c r="R2144">
        <v>0.87397015308780501</v>
      </c>
      <c r="S2144" t="s">
        <v>5976</v>
      </c>
      <c r="T2144" t="s">
        <v>7662</v>
      </c>
      <c r="U2144" t="s">
        <v>7662</v>
      </c>
      <c r="V2144" t="s">
        <v>7662</v>
      </c>
      <c r="W2144">
        <v>1</v>
      </c>
      <c r="X2144" t="s">
        <v>9806</v>
      </c>
      <c r="Y2144">
        <v>0.72953685729880136</v>
      </c>
      <c r="Z2144" t="str">
        <f>HYPERLINK("Melting_Curves/meltCurve_sp_Q8TAE8_G45IP_HUMAN_.pdf", "Melting_Curves/meltCurve_sp_Q8TAE8_G45IP_HUMAN_.pdf")</f>
        <v>Melting_Curves/meltCurve_sp_Q8TAE8_G45IP_HUMAN_.pdf</v>
      </c>
      <c r="AA2144" t="s">
        <v>13605</v>
      </c>
      <c r="AB2144" t="s">
        <v>17384</v>
      </c>
    </row>
    <row r="2145" spans="1:28" x14ac:dyDescent="0.25">
      <c r="A2145" t="s">
        <v>2149</v>
      </c>
      <c r="B2145">
        <v>0.98876768158843997</v>
      </c>
      <c r="C2145">
        <v>0.93664001311383505</v>
      </c>
      <c r="D2145">
        <v>0.98749166919423803</v>
      </c>
      <c r="E2145">
        <v>0.62654729086649197</v>
      </c>
      <c r="F2145">
        <v>0.28960695525007801</v>
      </c>
      <c r="G2145">
        <v>0.162757672781943</v>
      </c>
      <c r="H2145">
        <v>0.120248431140938</v>
      </c>
      <c r="I2145">
        <v>0.11566600741702</v>
      </c>
      <c r="J2145">
        <v>0.172194422550317</v>
      </c>
      <c r="K2145">
        <v>0.10535093661610501</v>
      </c>
      <c r="L2145">
        <v>1617.53345212615</v>
      </c>
      <c r="M2145">
        <v>32.037997844572899</v>
      </c>
      <c r="N2145">
        <v>50.9671778657166</v>
      </c>
      <c r="O2145">
        <v>50.292491269405403</v>
      </c>
      <c r="P2145">
        <v>-0.13854808062872001</v>
      </c>
      <c r="Q2145">
        <v>0.13004644288005901</v>
      </c>
      <c r="R2145">
        <v>0.99468835639566899</v>
      </c>
      <c r="S2145" t="s">
        <v>5977</v>
      </c>
      <c r="T2145" t="s">
        <v>7662</v>
      </c>
      <c r="U2145" t="s">
        <v>7662</v>
      </c>
      <c r="V2145" t="s">
        <v>7662</v>
      </c>
      <c r="W2145">
        <v>4</v>
      </c>
      <c r="X2145" t="s">
        <v>9807</v>
      </c>
      <c r="Y2145">
        <v>0.43893245334276643</v>
      </c>
      <c r="Z2145" t="str">
        <f>HYPERLINK("Melting_Curves/meltCurve_sp_Q8TAQ2_2_SMRC2_HUMAN_.pdf", "Melting_Curves/meltCurve_sp_Q8TAQ2_2_SMRC2_HUMAN_.pdf")</f>
        <v>Melting_Curves/meltCurve_sp_Q8TAQ2_2_SMRC2_HUMAN_.pdf</v>
      </c>
      <c r="AA2145" t="s">
        <v>13606</v>
      </c>
      <c r="AB2145" t="s">
        <v>17385</v>
      </c>
    </row>
    <row r="2146" spans="1:28" x14ac:dyDescent="0.25">
      <c r="A2146" t="s">
        <v>2150</v>
      </c>
      <c r="B2146">
        <v>0.98876768158843997</v>
      </c>
      <c r="C2146">
        <v>0.96827895867789104</v>
      </c>
      <c r="D2146">
        <v>0.86711372169391399</v>
      </c>
      <c r="E2146">
        <v>0.58535617325244305</v>
      </c>
      <c r="F2146">
        <v>0.31916021985003401</v>
      </c>
      <c r="G2146">
        <v>0.123067021032679</v>
      </c>
      <c r="H2146">
        <v>5.5043184662868998E-2</v>
      </c>
      <c r="I2146">
        <v>4.4246002236587798E-2</v>
      </c>
      <c r="J2146">
        <v>4.7675863187522899E-2</v>
      </c>
      <c r="K2146">
        <v>3.9322074651410903E-2</v>
      </c>
      <c r="L2146">
        <v>974.88750785536899</v>
      </c>
      <c r="M2146">
        <v>19.245229212289502</v>
      </c>
      <c r="N2146">
        <v>50.813150265096397</v>
      </c>
      <c r="O2146">
        <v>50.118635514916498</v>
      </c>
      <c r="P2146">
        <v>-9.3229403955286005E-2</v>
      </c>
      <c r="Q2146">
        <v>2.8880683067075599E-2</v>
      </c>
      <c r="R2146">
        <v>0.99962532605002297</v>
      </c>
      <c r="S2146" t="s">
        <v>5978</v>
      </c>
      <c r="T2146" t="s">
        <v>7662</v>
      </c>
      <c r="U2146" t="s">
        <v>7662</v>
      </c>
      <c r="V2146" t="s">
        <v>7662</v>
      </c>
      <c r="W2146">
        <v>8</v>
      </c>
      <c r="X2146" t="s">
        <v>9808</v>
      </c>
      <c r="Y2146">
        <v>0.38833302150022092</v>
      </c>
      <c r="Z2146" t="str">
        <f>HYPERLINK("Melting_Curves/meltCurve_sp_Q8TAT6_NPL4_HUMAN_.pdf", "Melting_Curves/meltCurve_sp_Q8TAT6_NPL4_HUMAN_.pdf")</f>
        <v>Melting_Curves/meltCurve_sp_Q8TAT6_NPL4_HUMAN_.pdf</v>
      </c>
      <c r="AA2146" t="s">
        <v>13607</v>
      </c>
      <c r="AB2146" t="s">
        <v>17386</v>
      </c>
    </row>
    <row r="2147" spans="1:28" x14ac:dyDescent="0.25">
      <c r="A2147" t="s">
        <v>2151</v>
      </c>
      <c r="B2147">
        <v>0.98876768158843997</v>
      </c>
      <c r="C2147">
        <v>1.0790477865825301</v>
      </c>
      <c r="D2147">
        <v>0.91432789696169303</v>
      </c>
      <c r="E2147">
        <v>0.73397011201610096</v>
      </c>
      <c r="F2147">
        <v>0.67772552266268304</v>
      </c>
      <c r="G2147">
        <v>0.18900346924532899</v>
      </c>
      <c r="H2147">
        <v>5.9090522316942999E-2</v>
      </c>
      <c r="I2147">
        <v>5.0275403922678701E-2</v>
      </c>
      <c r="J2147">
        <v>4.8214531821316402E-2</v>
      </c>
      <c r="K2147">
        <v>6.0623976125695797E-2</v>
      </c>
      <c r="L2147">
        <v>1101.7410945747099</v>
      </c>
      <c r="M2147">
        <v>20.532355341968699</v>
      </c>
      <c r="N2147">
        <v>53.754640051444497</v>
      </c>
      <c r="O2147">
        <v>53.157561637721301</v>
      </c>
      <c r="P2147">
        <v>-9.48305361010153E-2</v>
      </c>
      <c r="Q2147">
        <v>1.7976832005179799E-2</v>
      </c>
      <c r="R2147">
        <v>0.97967048147482205</v>
      </c>
      <c r="S2147" t="s">
        <v>5979</v>
      </c>
      <c r="T2147" t="s">
        <v>7662</v>
      </c>
      <c r="U2147" t="s">
        <v>7662</v>
      </c>
      <c r="V2147" t="s">
        <v>7662</v>
      </c>
      <c r="W2147">
        <v>3</v>
      </c>
      <c r="X2147" t="s">
        <v>9809</v>
      </c>
      <c r="Y2147">
        <v>0.47792512507933688</v>
      </c>
      <c r="Z2147" t="str">
        <f>HYPERLINK("Melting_Curves/meltCurve_sp_Q8TB03_CX038_HUMAN_.pdf", "Melting_Curves/meltCurve_sp_Q8TB03_CX038_HUMAN_.pdf")</f>
        <v>Melting_Curves/meltCurve_sp_Q8TB03_CX038_HUMAN_.pdf</v>
      </c>
      <c r="AA2147" t="s">
        <v>13608</v>
      </c>
      <c r="AB2147" t="s">
        <v>17387</v>
      </c>
    </row>
    <row r="2148" spans="1:28" x14ac:dyDescent="0.25">
      <c r="A2148" t="s">
        <v>2152</v>
      </c>
      <c r="B2148">
        <v>0.98876768158843997</v>
      </c>
      <c r="C2148">
        <v>0.954849283951413</v>
      </c>
      <c r="D2148">
        <v>0.91411054640229605</v>
      </c>
      <c r="E2148">
        <v>0.774082427464579</v>
      </c>
      <c r="F2148">
        <v>0.28902867434774798</v>
      </c>
      <c r="G2148">
        <v>9.03934126831826E-2</v>
      </c>
      <c r="H2148">
        <v>4.7090591586294597E-2</v>
      </c>
      <c r="I2148">
        <v>3.9972148488733303E-2</v>
      </c>
      <c r="J2148">
        <v>3.9696800313355297E-2</v>
      </c>
      <c r="K2148">
        <v>4.7488528548306902E-2</v>
      </c>
      <c r="L2148">
        <v>1829.89421635179</v>
      </c>
      <c r="M2148">
        <v>35.521067348669803</v>
      </c>
      <c r="N2148">
        <v>51.651117259819998</v>
      </c>
      <c r="O2148">
        <v>51.353286125405297</v>
      </c>
      <c r="P2148">
        <v>-0.16524023233801299</v>
      </c>
      <c r="Q2148">
        <v>4.4443047745704102E-2</v>
      </c>
      <c r="R2148">
        <v>0.99513345193371205</v>
      </c>
      <c r="S2148" t="s">
        <v>5980</v>
      </c>
      <c r="T2148" t="s">
        <v>7662</v>
      </c>
      <c r="U2148" t="s">
        <v>7662</v>
      </c>
      <c r="V2148" t="s">
        <v>7662</v>
      </c>
      <c r="W2148">
        <v>12</v>
      </c>
      <c r="X2148" t="s">
        <v>9810</v>
      </c>
      <c r="Y2148">
        <v>0.4155609726984576</v>
      </c>
      <c r="Z2148" t="str">
        <f>HYPERLINK("Melting_Curves/meltCurve_sp_Q8TB22_SPT20_HUMAN_.pdf", "Melting_Curves/meltCurve_sp_Q8TB22_SPT20_HUMAN_.pdf")</f>
        <v>Melting_Curves/meltCurve_sp_Q8TB22_SPT20_HUMAN_.pdf</v>
      </c>
      <c r="AA2148" t="s">
        <v>13609</v>
      </c>
      <c r="AB2148" t="s">
        <v>17388</v>
      </c>
    </row>
    <row r="2149" spans="1:28" x14ac:dyDescent="0.25">
      <c r="A2149" t="s">
        <v>2153</v>
      </c>
      <c r="B2149">
        <v>0.98876768158843997</v>
      </c>
      <c r="C2149">
        <v>1.0109508782472401</v>
      </c>
      <c r="D2149">
        <v>0.811034015254812</v>
      </c>
      <c r="E2149">
        <v>0.76153397327223404</v>
      </c>
      <c r="F2149">
        <v>0.77573234530717095</v>
      </c>
      <c r="G2149">
        <v>0.60511317343170801</v>
      </c>
      <c r="H2149">
        <v>0.17973041584410801</v>
      </c>
      <c r="I2149">
        <v>4.5251449529247097E-2</v>
      </c>
      <c r="J2149">
        <v>4.2847458225445303E-3</v>
      </c>
      <c r="K2149">
        <v>1.70756337446871E-2</v>
      </c>
      <c r="L2149">
        <v>948.99890877379005</v>
      </c>
      <c r="M2149">
        <v>16.776959887013099</v>
      </c>
      <c r="N2149">
        <v>56.565606392608203</v>
      </c>
      <c r="O2149">
        <v>55.780246815405903</v>
      </c>
      <c r="P2149">
        <v>-7.5197070406922903E-2</v>
      </c>
      <c r="Q2149">
        <v>0</v>
      </c>
      <c r="R2149">
        <v>0.94771323147235598</v>
      </c>
      <c r="S2149" t="s">
        <v>5981</v>
      </c>
      <c r="T2149" t="s">
        <v>7662</v>
      </c>
      <c r="U2149" t="s">
        <v>7662</v>
      </c>
      <c r="V2149" t="s">
        <v>7662</v>
      </c>
      <c r="W2149">
        <v>3</v>
      </c>
      <c r="X2149" t="s">
        <v>9811</v>
      </c>
      <c r="Y2149">
        <v>0.56742725499419344</v>
      </c>
      <c r="Z2149" t="str">
        <f>HYPERLINK("Melting_Curves/meltCurve_sp_Q8TB45_DPTOR_HUMAN_.pdf", "Melting_Curves/meltCurve_sp_Q8TB45_DPTOR_HUMAN_.pdf")</f>
        <v>Melting_Curves/meltCurve_sp_Q8TB45_DPTOR_HUMAN_.pdf</v>
      </c>
      <c r="AA2149" t="s">
        <v>13610</v>
      </c>
      <c r="AB2149" t="s">
        <v>17389</v>
      </c>
    </row>
    <row r="2150" spans="1:28" x14ac:dyDescent="0.25">
      <c r="A2150" t="s">
        <v>2154</v>
      </c>
      <c r="B2150">
        <v>0.98876768158843997</v>
      </c>
      <c r="C2150">
        <v>1.13745420870327</v>
      </c>
      <c r="D2150">
        <v>0.82069152437362103</v>
      </c>
      <c r="E2150">
        <v>0.520429316123311</v>
      </c>
      <c r="F2150">
        <v>0.72867756368782</v>
      </c>
      <c r="G2150">
        <v>0.51260699497887796</v>
      </c>
      <c r="H2150">
        <v>0.37401801932208201</v>
      </c>
      <c r="I2150">
        <v>0.44961231393148599</v>
      </c>
      <c r="J2150">
        <v>0.60053462185839102</v>
      </c>
      <c r="K2150">
        <v>0.641530271797075</v>
      </c>
      <c r="L2150">
        <v>11519.491308381101</v>
      </c>
      <c r="M2150">
        <v>250</v>
      </c>
      <c r="O2150">
        <v>46.075018070906602</v>
      </c>
      <c r="P2150">
        <v>-0.61479531897091699</v>
      </c>
      <c r="Q2150">
        <v>0.54677272858657</v>
      </c>
      <c r="R2150">
        <v>0.80338900310434902</v>
      </c>
      <c r="S2150" t="s">
        <v>5982</v>
      </c>
      <c r="T2150" t="s">
        <v>7662</v>
      </c>
      <c r="U2150" t="s">
        <v>7662</v>
      </c>
      <c r="V2150" t="s">
        <v>7662</v>
      </c>
      <c r="W2150">
        <v>4</v>
      </c>
      <c r="X2150" t="s">
        <v>9812</v>
      </c>
      <c r="Y2150">
        <v>0.63863269926492516</v>
      </c>
      <c r="Z2150" t="str">
        <f>HYPERLINK("Melting_Curves/meltCurve_sp_Q8TBA6_2_GOGA5_HUMAN_.pdf", "Melting_Curves/meltCurve_sp_Q8TBA6_2_GOGA5_HUMAN_.pdf")</f>
        <v>Melting_Curves/meltCurve_sp_Q8TBA6_2_GOGA5_HUMAN_.pdf</v>
      </c>
      <c r="AA2150" t="s">
        <v>13611</v>
      </c>
      <c r="AB2150" t="s">
        <v>17390</v>
      </c>
    </row>
    <row r="2151" spans="1:28" x14ac:dyDescent="0.25">
      <c r="A2151" t="s">
        <v>2155</v>
      </c>
      <c r="B2151">
        <v>0.98876768158843997</v>
      </c>
      <c r="C2151">
        <v>0.88256935964622696</v>
      </c>
      <c r="D2151">
        <v>0.85817773043900403</v>
      </c>
      <c r="E2151">
        <v>0.70168219141562904</v>
      </c>
      <c r="F2151">
        <v>0.29926006240232</v>
      </c>
      <c r="G2151">
        <v>0.14163385025969799</v>
      </c>
      <c r="H2151">
        <v>0.104856893209441</v>
      </c>
      <c r="I2151">
        <v>9.0211076765944906E-2</v>
      </c>
      <c r="J2151">
        <v>0.11648000300365</v>
      </c>
      <c r="K2151">
        <v>7.6480411463676901E-2</v>
      </c>
      <c r="L2151">
        <v>1119.9331868474901</v>
      </c>
      <c r="M2151">
        <v>22.0154371324629</v>
      </c>
      <c r="N2151">
        <v>51.276743387790901</v>
      </c>
      <c r="O2151">
        <v>50.456222698733299</v>
      </c>
      <c r="P2151">
        <v>-0.100351798276074</v>
      </c>
      <c r="Q2151">
        <v>8.0052904698352204E-2</v>
      </c>
      <c r="R2151">
        <v>0.982138335276727</v>
      </c>
      <c r="S2151" t="s">
        <v>5983</v>
      </c>
      <c r="T2151" t="s">
        <v>7662</v>
      </c>
      <c r="U2151" t="s">
        <v>7662</v>
      </c>
      <c r="V2151" t="s">
        <v>7662</v>
      </c>
      <c r="W2151">
        <v>8</v>
      </c>
      <c r="X2151" t="s">
        <v>9813</v>
      </c>
      <c r="Y2151">
        <v>0.42402891743481069</v>
      </c>
      <c r="Z2151" t="str">
        <f>HYPERLINK("Melting_Curves/meltCurve_sp_Q8TBC4_UBA3_HUMAN_.pdf", "Melting_Curves/meltCurve_sp_Q8TBC4_UBA3_HUMAN_.pdf")</f>
        <v>Melting_Curves/meltCurve_sp_Q8TBC4_UBA3_HUMAN_.pdf</v>
      </c>
      <c r="AA2151" t="s">
        <v>13612</v>
      </c>
      <c r="AB2151" t="s">
        <v>17391</v>
      </c>
    </row>
    <row r="2152" spans="1:28" x14ac:dyDescent="0.25">
      <c r="A2152" t="s">
        <v>2156</v>
      </c>
      <c r="B2152">
        <v>0.98876768158843997</v>
      </c>
      <c r="C2152">
        <v>0.87018117448031895</v>
      </c>
      <c r="D2152">
        <v>0.841192103372705</v>
      </c>
      <c r="E2152">
        <v>0.58699139976418202</v>
      </c>
      <c r="F2152">
        <v>0.212777644817251</v>
      </c>
      <c r="G2152">
        <v>0.13182131912912701</v>
      </c>
      <c r="H2152">
        <v>8.6623534547742895E-2</v>
      </c>
      <c r="I2152">
        <v>6.5648874210680996E-2</v>
      </c>
      <c r="J2152">
        <v>6.9451994956608198E-2</v>
      </c>
      <c r="K2152">
        <v>4.94184228745118E-2</v>
      </c>
      <c r="L2152">
        <v>959.75260715212403</v>
      </c>
      <c r="M2152">
        <v>19.219374522738299</v>
      </c>
      <c r="N2152">
        <v>50.206161226259098</v>
      </c>
      <c r="O2152">
        <v>49.4055382976128</v>
      </c>
      <c r="P2152">
        <v>-9.2491183019054998E-2</v>
      </c>
      <c r="Q2152">
        <v>4.9000942754738902E-2</v>
      </c>
      <c r="R2152">
        <v>0.98632888341734004</v>
      </c>
      <c r="S2152" t="s">
        <v>5984</v>
      </c>
      <c r="T2152" t="s">
        <v>7662</v>
      </c>
      <c r="U2152" t="s">
        <v>7662</v>
      </c>
      <c r="V2152" t="s">
        <v>7662</v>
      </c>
      <c r="W2152">
        <v>4</v>
      </c>
      <c r="X2152" t="s">
        <v>9814</v>
      </c>
      <c r="Y2152">
        <v>0.37830477181409139</v>
      </c>
      <c r="Z2152" t="str">
        <f>HYPERLINK("Melting_Curves/meltCurve_sp_Q8TBG4_2_AT2L1_HUMAN_.pdf", "Melting_Curves/meltCurve_sp_Q8TBG4_2_AT2L1_HUMAN_.pdf")</f>
        <v>Melting_Curves/meltCurve_sp_Q8TBG4_2_AT2L1_HUMAN_.pdf</v>
      </c>
      <c r="AA2152" t="s">
        <v>13613</v>
      </c>
      <c r="AB2152" t="s">
        <v>17392</v>
      </c>
    </row>
    <row r="2153" spans="1:28" x14ac:dyDescent="0.25">
      <c r="A2153" t="s">
        <v>2157</v>
      </c>
      <c r="B2153">
        <v>0.98876768158843997</v>
      </c>
      <c r="C2153">
        <v>0.96421569166551302</v>
      </c>
      <c r="D2153">
        <v>0.75321332975705702</v>
      </c>
      <c r="E2153">
        <v>0.47919515297426002</v>
      </c>
      <c r="F2153">
        <v>0.22961183308383601</v>
      </c>
      <c r="G2153">
        <v>9.54628058269371E-2</v>
      </c>
      <c r="H2153">
        <v>5.8228783833128198E-2</v>
      </c>
      <c r="I2153">
        <v>5.3169933082737E-2</v>
      </c>
      <c r="J2153">
        <v>5.6370658865907197E-2</v>
      </c>
      <c r="K2153">
        <v>5.3743733980228803E-2</v>
      </c>
      <c r="L2153">
        <v>900.30221714366303</v>
      </c>
      <c r="M2153">
        <v>18.3074477227625</v>
      </c>
      <c r="N2153">
        <v>49.397930630214702</v>
      </c>
      <c r="O2153">
        <v>48.601340691056997</v>
      </c>
      <c r="P2153">
        <v>-9.0471195955607306E-2</v>
      </c>
      <c r="Q2153">
        <v>3.9337755991887199E-2</v>
      </c>
      <c r="R2153">
        <v>0.99742340757390902</v>
      </c>
      <c r="S2153" t="s">
        <v>5985</v>
      </c>
      <c r="T2153" t="s">
        <v>7662</v>
      </c>
      <c r="U2153" t="s">
        <v>7662</v>
      </c>
      <c r="V2153" t="s">
        <v>7662</v>
      </c>
      <c r="W2153">
        <v>2</v>
      </c>
      <c r="X2153" t="s">
        <v>9815</v>
      </c>
      <c r="Y2153">
        <v>0.34923773202603808</v>
      </c>
      <c r="Z2153" t="str">
        <f>HYPERLINK("Melting_Curves/meltCurve_sp_Q8TBX8_PI42C_HUMAN_.pdf", "Melting_Curves/meltCurve_sp_Q8TBX8_PI42C_HUMAN_.pdf")</f>
        <v>Melting_Curves/meltCurve_sp_Q8TBX8_PI42C_HUMAN_.pdf</v>
      </c>
      <c r="AA2153" t="s">
        <v>13614</v>
      </c>
      <c r="AB2153" t="s">
        <v>17393</v>
      </c>
    </row>
    <row r="2154" spans="1:28" x14ac:dyDescent="0.25">
      <c r="A2154" t="s">
        <v>2158</v>
      </c>
      <c r="B2154">
        <v>0.98876768158843997</v>
      </c>
      <c r="C2154">
        <v>0.91559473288270898</v>
      </c>
      <c r="D2154">
        <v>0.897087601344843</v>
      </c>
      <c r="E2154">
        <v>0.57614695332397203</v>
      </c>
      <c r="F2154">
        <v>0.27901949948968102</v>
      </c>
      <c r="G2154">
        <v>0.169981812592674</v>
      </c>
      <c r="H2154">
        <v>0.12298496258015799</v>
      </c>
      <c r="I2154">
        <v>0.11759701399870499</v>
      </c>
      <c r="J2154">
        <v>0.18941438845298</v>
      </c>
      <c r="K2154">
        <v>0.13846744180165099</v>
      </c>
      <c r="L2154">
        <v>1216.9895907986499</v>
      </c>
      <c r="M2154">
        <v>24.402273429212102</v>
      </c>
      <c r="N2154">
        <v>50.524111395878798</v>
      </c>
      <c r="O2154">
        <v>49.540671049354501</v>
      </c>
      <c r="P2154">
        <v>-0.106508063421188</v>
      </c>
      <c r="Q2154">
        <v>0.13509653128180599</v>
      </c>
      <c r="R2154">
        <v>0.99218191443343795</v>
      </c>
      <c r="S2154" t="s">
        <v>5986</v>
      </c>
      <c r="T2154" t="s">
        <v>7662</v>
      </c>
      <c r="U2154" t="s">
        <v>7662</v>
      </c>
      <c r="V2154" t="s">
        <v>7662</v>
      </c>
      <c r="W2154">
        <v>12</v>
      </c>
      <c r="X2154" t="s">
        <v>9816</v>
      </c>
      <c r="Y2154">
        <v>0.42781295641405609</v>
      </c>
      <c r="Z2154" t="str">
        <f>HYPERLINK("Melting_Curves/meltCurve_sp_Q8TC07_2_TBC15_HUMAN_.pdf", "Melting_Curves/meltCurve_sp_Q8TC07_2_TBC15_HUMAN_.pdf")</f>
        <v>Melting_Curves/meltCurve_sp_Q8TC07_2_TBC15_HUMAN_.pdf</v>
      </c>
      <c r="AA2154" t="s">
        <v>13615</v>
      </c>
      <c r="AB2154" t="s">
        <v>17394</v>
      </c>
    </row>
    <row r="2155" spans="1:28" x14ac:dyDescent="0.25">
      <c r="A2155" t="s">
        <v>2159</v>
      </c>
      <c r="B2155">
        <v>0.98876768158843997</v>
      </c>
      <c r="C2155">
        <v>1.24107038446355</v>
      </c>
      <c r="D2155">
        <v>0.94798045296064404</v>
      </c>
      <c r="E2155">
        <v>0.78043282622135002</v>
      </c>
      <c r="F2155">
        <v>0.56011110837660605</v>
      </c>
      <c r="G2155">
        <v>0.13442312143582599</v>
      </c>
      <c r="H2155">
        <v>0.129670515389012</v>
      </c>
      <c r="I2155">
        <v>7.1813353729718393E-2</v>
      </c>
      <c r="J2155">
        <v>5.9999355240491499E-2</v>
      </c>
      <c r="K2155">
        <v>0.12558943901019801</v>
      </c>
      <c r="L2155">
        <v>1388.5950437593101</v>
      </c>
      <c r="M2155">
        <v>26.3283319447184</v>
      </c>
      <c r="N2155">
        <v>53.087527762256499</v>
      </c>
      <c r="O2155">
        <v>52.440024549008101</v>
      </c>
      <c r="P2155">
        <v>-0.115621102428394</v>
      </c>
      <c r="Q2155">
        <v>7.8846755984201905E-2</v>
      </c>
      <c r="R2155">
        <v>0.96149921201853705</v>
      </c>
      <c r="S2155" t="s">
        <v>5987</v>
      </c>
      <c r="T2155" t="s">
        <v>7662</v>
      </c>
      <c r="U2155" t="s">
        <v>7662</v>
      </c>
      <c r="V2155" t="s">
        <v>7662</v>
      </c>
      <c r="W2155">
        <v>2</v>
      </c>
      <c r="X2155" t="s">
        <v>9817</v>
      </c>
      <c r="Y2155">
        <v>0.47774543384612578</v>
      </c>
      <c r="Z2155" t="str">
        <f>HYPERLINK("Melting_Curves/meltCurve_sp_Q8TCA0_LRC20_HUMAN_.pdf", "Melting_Curves/meltCurve_sp_Q8TCA0_LRC20_HUMAN_.pdf")</f>
        <v>Melting_Curves/meltCurve_sp_Q8TCA0_LRC20_HUMAN_.pdf</v>
      </c>
      <c r="AA2155" t="s">
        <v>13616</v>
      </c>
      <c r="AB2155" t="s">
        <v>17395</v>
      </c>
    </row>
    <row r="2156" spans="1:28" x14ac:dyDescent="0.25">
      <c r="A2156" t="s">
        <v>2160</v>
      </c>
      <c r="B2156">
        <v>0.98876768158843997</v>
      </c>
      <c r="C2156">
        <v>0.99686620861861297</v>
      </c>
      <c r="D2156">
        <v>0.98411424270783099</v>
      </c>
      <c r="E2156">
        <v>0.88852731560819997</v>
      </c>
      <c r="F2156">
        <v>0.87328034665996002</v>
      </c>
      <c r="G2156">
        <v>0.58311297523013905</v>
      </c>
      <c r="H2156">
        <v>0.40274047578102801</v>
      </c>
      <c r="I2156">
        <v>0.197287086244543</v>
      </c>
      <c r="J2156">
        <v>0.20435640665378699</v>
      </c>
      <c r="K2156">
        <v>0.117849703026682</v>
      </c>
      <c r="L2156">
        <v>902.54065764497795</v>
      </c>
      <c r="M2156">
        <v>15.5101274518716</v>
      </c>
      <c r="N2156">
        <v>58.691180037452703</v>
      </c>
      <c r="O2156">
        <v>57.248828573455597</v>
      </c>
      <c r="P2156">
        <v>-6.3539041782760597E-2</v>
      </c>
      <c r="Q2156">
        <v>6.19771707056632E-2</v>
      </c>
      <c r="R2156">
        <v>0.992538589182419</v>
      </c>
      <c r="S2156" t="s">
        <v>5988</v>
      </c>
      <c r="T2156" t="s">
        <v>7662</v>
      </c>
      <c r="U2156" t="s">
        <v>7662</v>
      </c>
      <c r="V2156" t="s">
        <v>7662</v>
      </c>
      <c r="W2156">
        <v>4</v>
      </c>
      <c r="X2156" t="s">
        <v>9818</v>
      </c>
      <c r="Y2156">
        <v>0.64280441370144914</v>
      </c>
      <c r="Z2156" t="str">
        <f>HYPERLINK("Melting_Curves/meltCurve_sp_Q8TCD5_NT5C_HUMAN_.pdf", "Melting_Curves/meltCurve_sp_Q8TCD5_NT5C_HUMAN_.pdf")</f>
        <v>Melting_Curves/meltCurve_sp_Q8TCD5_NT5C_HUMAN_.pdf</v>
      </c>
      <c r="AA2156" t="s">
        <v>13617</v>
      </c>
      <c r="AB2156" t="s">
        <v>17396</v>
      </c>
    </row>
    <row r="2157" spans="1:28" x14ac:dyDescent="0.25">
      <c r="A2157" t="s">
        <v>2161</v>
      </c>
      <c r="B2157">
        <v>0.98876768158843997</v>
      </c>
      <c r="C2157">
        <v>1.0224894675289</v>
      </c>
      <c r="D2157">
        <v>1.0412707086087001</v>
      </c>
      <c r="E2157">
        <v>0.66915569888528104</v>
      </c>
      <c r="F2157">
        <v>0.173872009469699</v>
      </c>
      <c r="G2157">
        <v>7.6704704034632296E-2</v>
      </c>
      <c r="H2157">
        <v>4.6189933998495997E-2</v>
      </c>
      <c r="I2157">
        <v>5.1695977310065297E-2</v>
      </c>
      <c r="J2157">
        <v>5.5853278503618001E-2</v>
      </c>
      <c r="K2157">
        <v>2.3675659992505701E-2</v>
      </c>
      <c r="L2157">
        <v>2284.3942979994099</v>
      </c>
      <c r="M2157">
        <v>45.0382577413014</v>
      </c>
      <c r="N2157">
        <v>50.839797647028703</v>
      </c>
      <c r="O2157">
        <v>50.621498926937001</v>
      </c>
      <c r="P2157">
        <v>-0.2113352350188</v>
      </c>
      <c r="Q2157">
        <v>4.9866127575180802E-2</v>
      </c>
      <c r="R2157">
        <v>0.99766276142608001</v>
      </c>
      <c r="S2157" t="s">
        <v>5989</v>
      </c>
      <c r="T2157" t="s">
        <v>7662</v>
      </c>
      <c r="U2157" t="s">
        <v>7662</v>
      </c>
      <c r="V2157" t="s">
        <v>7662</v>
      </c>
      <c r="W2157">
        <v>3</v>
      </c>
      <c r="X2157" t="s">
        <v>9819</v>
      </c>
      <c r="Y2157">
        <v>0.39204172699949641</v>
      </c>
      <c r="Z2157" t="str">
        <f>HYPERLINK("Melting_Curves/meltCurve_sp_Q8TCE6_2_FA45A_HUMAN_.pdf", "Melting_Curves/meltCurve_sp_Q8TCE6_2_FA45A_HUMAN_.pdf")</f>
        <v>Melting_Curves/meltCurve_sp_Q8TCE6_2_FA45A_HUMAN_.pdf</v>
      </c>
      <c r="AA2157" t="s">
        <v>13618</v>
      </c>
      <c r="AB2157" t="s">
        <v>17397</v>
      </c>
    </row>
    <row r="2158" spans="1:28" x14ac:dyDescent="0.25">
      <c r="A2158" t="s">
        <v>2162</v>
      </c>
      <c r="B2158">
        <v>0.98876768158843997</v>
      </c>
      <c r="C2158">
        <v>0.88036077583805505</v>
      </c>
      <c r="D2158">
        <v>1.0205406943144599</v>
      </c>
      <c r="E2158">
        <v>0.84185789683719503</v>
      </c>
      <c r="F2158">
        <v>0.25334358586573402</v>
      </c>
      <c r="G2158">
        <v>0.105701583593864</v>
      </c>
      <c r="H2158">
        <v>7.4230922001697106E-2</v>
      </c>
      <c r="I2158">
        <v>6.1314951149948997E-2</v>
      </c>
      <c r="J2158">
        <v>6.91618109194755E-2</v>
      </c>
      <c r="K2158">
        <v>5.2055451194113402E-2</v>
      </c>
      <c r="L2158">
        <v>2620.98735165886</v>
      </c>
      <c r="M2158">
        <v>50.842907496012103</v>
      </c>
      <c r="N2158">
        <v>51.705451273138202</v>
      </c>
      <c r="O2158">
        <v>51.471136107622598</v>
      </c>
      <c r="P2158">
        <v>-0.229519412739351</v>
      </c>
      <c r="Q2158">
        <v>7.0579115460009695E-2</v>
      </c>
      <c r="R2158">
        <v>0.99051478923858605</v>
      </c>
      <c r="S2158" t="s">
        <v>5990</v>
      </c>
      <c r="T2158" t="s">
        <v>7662</v>
      </c>
      <c r="U2158" t="s">
        <v>7662</v>
      </c>
      <c r="V2158" t="s">
        <v>7662</v>
      </c>
      <c r="W2158">
        <v>16</v>
      </c>
      <c r="X2158" t="s">
        <v>9820</v>
      </c>
      <c r="Y2158">
        <v>0.43047124345949761</v>
      </c>
      <c r="Z2158" t="str">
        <f>HYPERLINK("Melting_Curves/meltCurve_sp_Q8TCS8_PNPT1_HUMAN_.pdf", "Melting_Curves/meltCurve_sp_Q8TCS8_PNPT1_HUMAN_.pdf")</f>
        <v>Melting_Curves/meltCurve_sp_Q8TCS8_PNPT1_HUMAN_.pdf</v>
      </c>
      <c r="AA2158" t="s">
        <v>13619</v>
      </c>
      <c r="AB2158" t="s">
        <v>17398</v>
      </c>
    </row>
    <row r="2159" spans="1:28" x14ac:dyDescent="0.25">
      <c r="A2159" t="s">
        <v>2163</v>
      </c>
      <c r="B2159">
        <v>0.98876768158843997</v>
      </c>
      <c r="C2159">
        <v>0.93252089615189104</v>
      </c>
      <c r="D2159">
        <v>0.95085538845401996</v>
      </c>
      <c r="E2159">
        <v>0.68450362251030294</v>
      </c>
      <c r="F2159">
        <v>0.25975630707361602</v>
      </c>
      <c r="G2159">
        <v>0.105480703728685</v>
      </c>
      <c r="H2159">
        <v>6.6927621922258304E-2</v>
      </c>
      <c r="I2159">
        <v>6.0821150166308798E-2</v>
      </c>
      <c r="J2159">
        <v>6.4377498068537195E-2</v>
      </c>
      <c r="K2159">
        <v>5.3624408939563398E-2</v>
      </c>
      <c r="L2159">
        <v>1641.8167222260199</v>
      </c>
      <c r="M2159">
        <v>32.211286631475097</v>
      </c>
      <c r="N2159">
        <v>51.1784669630594</v>
      </c>
      <c r="O2159">
        <v>50.774988210624599</v>
      </c>
      <c r="P2159">
        <v>-0.14885876159913</v>
      </c>
      <c r="Q2159">
        <v>6.1414166113045003E-2</v>
      </c>
      <c r="R2159">
        <v>0.99656487213631595</v>
      </c>
      <c r="S2159" t="s">
        <v>5991</v>
      </c>
      <c r="T2159" t="s">
        <v>7662</v>
      </c>
      <c r="U2159" t="s">
        <v>7662</v>
      </c>
      <c r="V2159" t="s">
        <v>7662</v>
      </c>
      <c r="W2159">
        <v>11</v>
      </c>
      <c r="X2159" t="s">
        <v>9821</v>
      </c>
      <c r="Y2159">
        <v>0.40974481329626189</v>
      </c>
      <c r="Z2159" t="str">
        <f>HYPERLINK("Melting_Curves/meltCurve_sp_Q8TD19_NEK9_HUMAN_.pdf", "Melting_Curves/meltCurve_sp_Q8TD19_NEK9_HUMAN_.pdf")</f>
        <v>Melting_Curves/meltCurve_sp_Q8TD19_NEK9_HUMAN_.pdf</v>
      </c>
      <c r="AA2159" t="s">
        <v>13620</v>
      </c>
      <c r="AB2159" t="s">
        <v>17399</v>
      </c>
    </row>
    <row r="2160" spans="1:28" x14ac:dyDescent="0.25">
      <c r="A2160" t="s">
        <v>2164</v>
      </c>
      <c r="B2160">
        <v>0.98876768158843997</v>
      </c>
      <c r="C2160">
        <v>0.95874537797020298</v>
      </c>
      <c r="D2160">
        <v>0.68766698906628299</v>
      </c>
      <c r="E2160">
        <v>0.33291731189068802</v>
      </c>
      <c r="F2160">
        <v>0.139614355377116</v>
      </c>
      <c r="G2160">
        <v>9.3585943294764107E-2</v>
      </c>
      <c r="H2160">
        <v>3.6008595379611201E-2</v>
      </c>
      <c r="I2160">
        <v>3.3860388061663402E-2</v>
      </c>
      <c r="J2160">
        <v>6.7404144312285905E-2</v>
      </c>
      <c r="K2160">
        <v>1.8029263091406799E-2</v>
      </c>
      <c r="L2160">
        <v>1004.5492461422</v>
      </c>
      <c r="M2160">
        <v>20.983714440435399</v>
      </c>
      <c r="N2160">
        <v>48.057442081724197</v>
      </c>
      <c r="O2160">
        <v>47.444381199542498</v>
      </c>
      <c r="P2160">
        <v>-0.106290663947328</v>
      </c>
      <c r="Q2160">
        <v>3.87290073919054E-2</v>
      </c>
      <c r="R2160">
        <v>0.99692901305183101</v>
      </c>
      <c r="S2160" t="s">
        <v>5992</v>
      </c>
      <c r="T2160" t="s">
        <v>7662</v>
      </c>
      <c r="U2160" t="s">
        <v>7662</v>
      </c>
      <c r="V2160" t="s">
        <v>7662</v>
      </c>
      <c r="W2160">
        <v>8</v>
      </c>
      <c r="X2160" t="s">
        <v>9822</v>
      </c>
      <c r="Y2160">
        <v>0.30335574488457218</v>
      </c>
      <c r="Z2160" t="str">
        <f>HYPERLINK("Melting_Curves/meltCurve_sp_Q8TD30_ALAT2_HUMAN_.pdf", "Melting_Curves/meltCurve_sp_Q8TD30_ALAT2_HUMAN_.pdf")</f>
        <v>Melting_Curves/meltCurve_sp_Q8TD30_ALAT2_HUMAN_.pdf</v>
      </c>
      <c r="AA2160" t="s">
        <v>13621</v>
      </c>
      <c r="AB2160" t="s">
        <v>17400</v>
      </c>
    </row>
    <row r="2161" spans="1:28" x14ac:dyDescent="0.25">
      <c r="A2161" t="s">
        <v>2165</v>
      </c>
      <c r="B2161">
        <v>0.98876768158843997</v>
      </c>
      <c r="C2161">
        <v>0.913786587592332</v>
      </c>
      <c r="D2161">
        <v>0.60210661024380796</v>
      </c>
      <c r="E2161">
        <v>0.297001141895673</v>
      </c>
      <c r="F2161">
        <v>0.16910843811517901</v>
      </c>
      <c r="G2161">
        <v>0.112157298069264</v>
      </c>
      <c r="H2161">
        <v>6.3044329459470597E-2</v>
      </c>
      <c r="I2161">
        <v>5.82839189378484E-2</v>
      </c>
      <c r="J2161">
        <v>6.7319546756573603E-2</v>
      </c>
      <c r="K2161">
        <v>7.6140199794240901E-2</v>
      </c>
      <c r="L2161">
        <v>939.39388930326299</v>
      </c>
      <c r="M2161">
        <v>19.985631700964401</v>
      </c>
      <c r="N2161">
        <v>47.354816888025901</v>
      </c>
      <c r="O2161">
        <v>46.540460159938</v>
      </c>
      <c r="P2161">
        <v>-9.99618236476571E-2</v>
      </c>
      <c r="Q2161">
        <v>6.8907607017386296E-2</v>
      </c>
      <c r="R2161">
        <v>0.99707918296407405</v>
      </c>
      <c r="S2161" t="s">
        <v>5993</v>
      </c>
      <c r="T2161" t="s">
        <v>7662</v>
      </c>
      <c r="U2161" t="s">
        <v>7662</v>
      </c>
      <c r="V2161" t="s">
        <v>7662</v>
      </c>
      <c r="W2161">
        <v>8</v>
      </c>
      <c r="X2161" t="s">
        <v>9823</v>
      </c>
      <c r="Y2161">
        <v>0.29992037535470861</v>
      </c>
      <c r="Z2161" t="str">
        <f>HYPERLINK("Melting_Curves/meltCurve_sp_Q8TDB6_DTX3L_HUMAN_.pdf", "Melting_Curves/meltCurve_sp_Q8TDB6_DTX3L_HUMAN_.pdf")</f>
        <v>Melting_Curves/meltCurve_sp_Q8TDB6_DTX3L_HUMAN_.pdf</v>
      </c>
      <c r="AA2161" t="s">
        <v>13622</v>
      </c>
      <c r="AB2161" t="s">
        <v>17401</v>
      </c>
    </row>
    <row r="2162" spans="1:28" x14ac:dyDescent="0.25">
      <c r="A2162" t="s">
        <v>2166</v>
      </c>
      <c r="B2162">
        <v>0.98876768158843997</v>
      </c>
      <c r="C2162">
        <v>0.96791826978122097</v>
      </c>
      <c r="D2162">
        <v>0.95835950669150705</v>
      </c>
      <c r="E2162">
        <v>0.82867579755473197</v>
      </c>
      <c r="F2162">
        <v>0.76364200534914395</v>
      </c>
      <c r="G2162">
        <v>0.31688171558772599</v>
      </c>
      <c r="H2162">
        <v>0.26866674771466598</v>
      </c>
      <c r="I2162">
        <v>0.29002177614293401</v>
      </c>
      <c r="J2162">
        <v>0.34435608711751098</v>
      </c>
      <c r="K2162">
        <v>0.380291932008192</v>
      </c>
      <c r="L2162">
        <v>1740.17730608852</v>
      </c>
      <c r="M2162">
        <v>32.594746773002399</v>
      </c>
      <c r="N2162">
        <v>54.9939502949047</v>
      </c>
      <c r="O2162">
        <v>53.188538824676201</v>
      </c>
      <c r="P2162">
        <v>-0.106177852535301</v>
      </c>
      <c r="Q2162">
        <v>0.30695378767641202</v>
      </c>
      <c r="R2162">
        <v>0.96404604496673896</v>
      </c>
      <c r="S2162" t="s">
        <v>5994</v>
      </c>
      <c r="T2162" t="s">
        <v>7662</v>
      </c>
      <c r="U2162" t="s">
        <v>7662</v>
      </c>
      <c r="V2162" t="s">
        <v>7662</v>
      </c>
      <c r="W2162">
        <v>3</v>
      </c>
      <c r="X2162" t="s">
        <v>9824</v>
      </c>
      <c r="Y2162">
        <v>0.62008327696957311</v>
      </c>
      <c r="Z2162" t="str">
        <f>HYPERLINK("Melting_Curves/meltCurve_sp_Q8TDH9_2_BL1S5_HUMAN_.pdf", "Melting_Curves/meltCurve_sp_Q8TDH9_2_BL1S5_HUMAN_.pdf")</f>
        <v>Melting_Curves/meltCurve_sp_Q8TDH9_2_BL1S5_HUMAN_.pdf</v>
      </c>
      <c r="AA2162" t="s">
        <v>13623</v>
      </c>
      <c r="AB2162" t="s">
        <v>17402</v>
      </c>
    </row>
    <row r="2163" spans="1:28" x14ac:dyDescent="0.25">
      <c r="A2163" t="s">
        <v>2167</v>
      </c>
      <c r="B2163">
        <v>0.98876768158843997</v>
      </c>
      <c r="C2163">
        <v>0.85824489632516798</v>
      </c>
      <c r="D2163">
        <v>1.1214864974715699</v>
      </c>
      <c r="E2163">
        <v>1.06239183403399</v>
      </c>
      <c r="F2163">
        <v>0.336699813012524</v>
      </c>
      <c r="G2163">
        <v>8.2235567195873799E-2</v>
      </c>
      <c r="H2163">
        <v>1.8863487876192998E-2</v>
      </c>
      <c r="I2163">
        <v>6.1224319159274799E-3</v>
      </c>
      <c r="J2163">
        <v>8.2389851986973094E-3</v>
      </c>
      <c r="K2163">
        <v>5.7260994956164404E-3</v>
      </c>
      <c r="L2163">
        <v>13210.104666547501</v>
      </c>
      <c r="M2163">
        <v>250</v>
      </c>
      <c r="N2163">
        <v>52.850923139879797</v>
      </c>
      <c r="O2163">
        <v>52.837038591783099</v>
      </c>
      <c r="P2163">
        <v>-1.15421251028203</v>
      </c>
      <c r="Q2163">
        <v>2.4237291102345199E-2</v>
      </c>
      <c r="R2163">
        <v>0.98042395872961496</v>
      </c>
      <c r="S2163" t="s">
        <v>5995</v>
      </c>
      <c r="T2163" t="s">
        <v>7662</v>
      </c>
      <c r="U2163" t="s">
        <v>7662</v>
      </c>
      <c r="V2163" t="s">
        <v>7662</v>
      </c>
      <c r="W2163">
        <v>1</v>
      </c>
      <c r="X2163" t="s">
        <v>9825</v>
      </c>
      <c r="Y2163">
        <v>0.44196783429443448</v>
      </c>
      <c r="Z2163" t="str">
        <f>HYPERLINK("Melting_Curves/meltCurve_sp_Q8TDI8_TMC1_HUMAN_.pdf", "Melting_Curves/meltCurve_sp_Q8TDI8_TMC1_HUMAN_.pdf")</f>
        <v>Melting_Curves/meltCurve_sp_Q8TDI8_TMC1_HUMAN_.pdf</v>
      </c>
      <c r="AA2163" t="s">
        <v>13624</v>
      </c>
      <c r="AB2163" t="s">
        <v>17403</v>
      </c>
    </row>
    <row r="2164" spans="1:28" x14ac:dyDescent="0.25">
      <c r="A2164" t="s">
        <v>2168</v>
      </c>
      <c r="B2164">
        <v>0.98876768158843997</v>
      </c>
      <c r="C2164">
        <v>1.0018294754742101</v>
      </c>
      <c r="D2164">
        <v>0.89283968781929501</v>
      </c>
      <c r="E2164">
        <v>0.75783055399017596</v>
      </c>
      <c r="F2164">
        <v>0.68404516500496904</v>
      </c>
      <c r="G2164">
        <v>0.45237411269901501</v>
      </c>
      <c r="H2164">
        <v>0.254940972151393</v>
      </c>
      <c r="I2164">
        <v>0.12845829527833499</v>
      </c>
      <c r="J2164">
        <v>0.108996244626161</v>
      </c>
      <c r="K2164">
        <v>8.3541099356726697E-2</v>
      </c>
      <c r="L2164">
        <v>676.98123666850404</v>
      </c>
      <c r="M2164">
        <v>12.164351672999199</v>
      </c>
      <c r="N2164">
        <v>55.652901200749298</v>
      </c>
      <c r="O2164">
        <v>54.212899887968803</v>
      </c>
      <c r="P2164">
        <v>-5.6108103155319403E-2</v>
      </c>
      <c r="Q2164">
        <v>0</v>
      </c>
      <c r="R2164">
        <v>0.99419305853390105</v>
      </c>
      <c r="S2164" t="s">
        <v>5996</v>
      </c>
      <c r="T2164" t="s">
        <v>7662</v>
      </c>
      <c r="U2164" t="s">
        <v>7662</v>
      </c>
      <c r="V2164" t="s">
        <v>7662</v>
      </c>
      <c r="W2164">
        <v>10</v>
      </c>
      <c r="X2164" t="s">
        <v>9826</v>
      </c>
      <c r="Y2164">
        <v>0.54311189809269933</v>
      </c>
      <c r="Z2164" t="str">
        <f>HYPERLINK("Melting_Curves/meltCurve_sp_Q8TDX5_ACMSD_HUMAN_.pdf", "Melting_Curves/meltCurve_sp_Q8TDX5_ACMSD_HUMAN_.pdf")</f>
        <v>Melting_Curves/meltCurve_sp_Q8TDX5_ACMSD_HUMAN_.pdf</v>
      </c>
      <c r="AA2164" t="s">
        <v>13625</v>
      </c>
      <c r="AB2164" t="s">
        <v>17404</v>
      </c>
    </row>
    <row r="2165" spans="1:28" x14ac:dyDescent="0.25">
      <c r="A2165" t="s">
        <v>2169</v>
      </c>
      <c r="B2165">
        <v>0.98876768158843997</v>
      </c>
      <c r="C2165">
        <v>1.03182556703569</v>
      </c>
      <c r="D2165">
        <v>0.89786447782904799</v>
      </c>
      <c r="E2165">
        <v>0.65362720746137204</v>
      </c>
      <c r="F2165">
        <v>0.40760768748626702</v>
      </c>
      <c r="G2165">
        <v>0.17683030102431599</v>
      </c>
      <c r="H2165">
        <v>0.102683490241105</v>
      </c>
      <c r="I2165">
        <v>0.121778351128144</v>
      </c>
      <c r="J2165">
        <v>8.4831981449349697E-2</v>
      </c>
      <c r="K2165">
        <v>0.10651226964296</v>
      </c>
      <c r="L2165">
        <v>1055.70323192258</v>
      </c>
      <c r="M2165">
        <v>20.6101202024747</v>
      </c>
      <c r="N2165">
        <v>51.713004820914698</v>
      </c>
      <c r="O2165">
        <v>50.7476494396874</v>
      </c>
      <c r="P2165">
        <v>-9.2521413818114503E-2</v>
      </c>
      <c r="Q2165">
        <v>8.8776016546133402E-2</v>
      </c>
      <c r="R2165">
        <v>0.99701359638928999</v>
      </c>
      <c r="S2165" t="s">
        <v>5997</v>
      </c>
      <c r="T2165" t="s">
        <v>7662</v>
      </c>
      <c r="U2165" t="s">
        <v>7662</v>
      </c>
      <c r="V2165" t="s">
        <v>7662</v>
      </c>
      <c r="W2165">
        <v>5</v>
      </c>
      <c r="X2165" t="s">
        <v>9827</v>
      </c>
      <c r="Y2165">
        <v>0.4416054027978602</v>
      </c>
      <c r="Z2165" t="str">
        <f>HYPERLINK("Melting_Curves/meltCurve_sp_Q8TE04_PANK1_HUMAN_.pdf", "Melting_Curves/meltCurve_sp_Q8TE04_PANK1_HUMAN_.pdf")</f>
        <v>Melting_Curves/meltCurve_sp_Q8TE04_PANK1_HUMAN_.pdf</v>
      </c>
      <c r="AA2165" t="s">
        <v>13626</v>
      </c>
      <c r="AB2165" t="s">
        <v>17405</v>
      </c>
    </row>
    <row r="2166" spans="1:28" x14ac:dyDescent="0.25">
      <c r="A2166" t="s">
        <v>2170</v>
      </c>
      <c r="B2166">
        <v>0.98876768158843997</v>
      </c>
      <c r="C2166">
        <v>0.97848455101429299</v>
      </c>
      <c r="D2166">
        <v>0.79189456059129504</v>
      </c>
      <c r="E2166">
        <v>0.491373427988123</v>
      </c>
      <c r="F2166">
        <v>0.22685643829934801</v>
      </c>
      <c r="G2166">
        <v>0.14713064113605301</v>
      </c>
      <c r="H2166">
        <v>0.10449177386672701</v>
      </c>
      <c r="I2166">
        <v>0.10678292352506499</v>
      </c>
      <c r="J2166">
        <v>0.120464679116353</v>
      </c>
      <c r="K2166">
        <v>0.10342379423362399</v>
      </c>
      <c r="L2166">
        <v>1028.8622850935301</v>
      </c>
      <c r="M2166">
        <v>20.9843380417018</v>
      </c>
      <c r="N2166">
        <v>49.559351118244102</v>
      </c>
      <c r="O2166">
        <v>48.5912639713912</v>
      </c>
      <c r="P2166">
        <v>-9.7127120482722096E-2</v>
      </c>
      <c r="Q2166">
        <v>0.100395405836401</v>
      </c>
      <c r="R2166">
        <v>0.99733148576115205</v>
      </c>
      <c r="S2166" t="s">
        <v>5998</v>
      </c>
      <c r="T2166" t="s">
        <v>7662</v>
      </c>
      <c r="U2166" t="s">
        <v>7662</v>
      </c>
      <c r="V2166" t="s">
        <v>7662</v>
      </c>
      <c r="W2166">
        <v>5</v>
      </c>
      <c r="X2166" t="s">
        <v>9828</v>
      </c>
      <c r="Y2166">
        <v>0.3826003296074455</v>
      </c>
      <c r="Z2166" t="str">
        <f>HYPERLINK("Melting_Curves/meltCurve_sp_Q8TE77_SSH3_HUMAN_.pdf", "Melting_Curves/meltCurve_sp_Q8TE77_SSH3_HUMAN_.pdf")</f>
        <v>Melting_Curves/meltCurve_sp_Q8TE77_SSH3_HUMAN_.pdf</v>
      </c>
      <c r="AA2166" t="s">
        <v>13627</v>
      </c>
      <c r="AB2166" t="s">
        <v>17406</v>
      </c>
    </row>
    <row r="2167" spans="1:28" x14ac:dyDescent="0.25">
      <c r="A2167" t="s">
        <v>2171</v>
      </c>
      <c r="B2167">
        <v>0.98876768158843997</v>
      </c>
      <c r="C2167">
        <v>0.95246938023593797</v>
      </c>
      <c r="D2167">
        <v>0.70625785837035804</v>
      </c>
      <c r="E2167">
        <v>0.45440643155545402</v>
      </c>
      <c r="F2167">
        <v>0.227290131121305</v>
      </c>
      <c r="G2167">
        <v>0.123194851821136</v>
      </c>
      <c r="H2167">
        <v>7.6912794832175904E-2</v>
      </c>
      <c r="I2167">
        <v>8.6340029084175193E-2</v>
      </c>
      <c r="J2167">
        <v>8.1159478810783406E-2</v>
      </c>
      <c r="K2167">
        <v>9.2547071487580804E-2</v>
      </c>
      <c r="L2167">
        <v>865.69586088242795</v>
      </c>
      <c r="M2167">
        <v>17.829764022297901</v>
      </c>
      <c r="N2167">
        <v>48.974642061179303</v>
      </c>
      <c r="O2167">
        <v>47.954995121174498</v>
      </c>
      <c r="P2167">
        <v>-8.6347361896925406E-2</v>
      </c>
      <c r="Q2167">
        <v>7.1086928364620494E-2</v>
      </c>
      <c r="R2167">
        <v>0.99584355946701597</v>
      </c>
      <c r="S2167" t="s">
        <v>5999</v>
      </c>
      <c r="T2167" t="s">
        <v>7662</v>
      </c>
      <c r="U2167" t="s">
        <v>7662</v>
      </c>
      <c r="V2167" t="s">
        <v>7662</v>
      </c>
      <c r="W2167">
        <v>9</v>
      </c>
      <c r="X2167" t="s">
        <v>9829</v>
      </c>
      <c r="Y2167">
        <v>0.35249032330980989</v>
      </c>
      <c r="Z2167" t="str">
        <f>HYPERLINK("Melting_Curves/meltCurve_sp_Q8TEA1_NSUN6_HUMAN_.pdf", "Melting_Curves/meltCurve_sp_Q8TEA1_NSUN6_HUMAN_.pdf")</f>
        <v>Melting_Curves/meltCurve_sp_Q8TEA1_NSUN6_HUMAN_.pdf</v>
      </c>
      <c r="AA2167" t="s">
        <v>13628</v>
      </c>
      <c r="AB2167" t="s">
        <v>17407</v>
      </c>
    </row>
    <row r="2168" spans="1:28" x14ac:dyDescent="0.25">
      <c r="A2168" t="s">
        <v>2172</v>
      </c>
      <c r="B2168">
        <v>0.98876768158843997</v>
      </c>
      <c r="C2168">
        <v>0.86982151108193095</v>
      </c>
      <c r="D2168">
        <v>0.84286769110092996</v>
      </c>
      <c r="E2168">
        <v>0.71355902740178101</v>
      </c>
      <c r="F2168">
        <v>0.66194387959048895</v>
      </c>
      <c r="G2168">
        <v>0.448703959050541</v>
      </c>
      <c r="H2168">
        <v>0.34858340621030698</v>
      </c>
      <c r="I2168">
        <v>0.33378156814139798</v>
      </c>
      <c r="J2168">
        <v>0.30853361744730901</v>
      </c>
      <c r="K2168">
        <v>0.181760294796633</v>
      </c>
      <c r="L2168">
        <v>418.80123210674901</v>
      </c>
      <c r="M2168">
        <v>7.5059133405167104</v>
      </c>
      <c r="N2168">
        <v>56.562351347511402</v>
      </c>
      <c r="O2168">
        <v>52.247662303895503</v>
      </c>
      <c r="P2168">
        <v>-3.42280239402106E-2</v>
      </c>
      <c r="Q2168">
        <v>4.8337647451840202E-2</v>
      </c>
      <c r="R2168">
        <v>0.98388119967543697</v>
      </c>
      <c r="S2168" t="s">
        <v>6000</v>
      </c>
      <c r="T2168" t="s">
        <v>7662</v>
      </c>
      <c r="U2168" t="s">
        <v>7662</v>
      </c>
      <c r="V2168" t="s">
        <v>7662</v>
      </c>
      <c r="W2168">
        <v>2</v>
      </c>
      <c r="X2168" t="s">
        <v>9830</v>
      </c>
      <c r="Y2168">
        <v>0.56914054586485785</v>
      </c>
      <c r="Z2168" t="str">
        <f>HYPERLINK("Melting_Curves/meltCurve_sp_Q8TEA8_DTD1_HUMAN_.pdf", "Melting_Curves/meltCurve_sp_Q8TEA8_DTD1_HUMAN_.pdf")</f>
        <v>Melting_Curves/meltCurve_sp_Q8TEA8_DTD1_HUMAN_.pdf</v>
      </c>
      <c r="AA2168" t="s">
        <v>13629</v>
      </c>
      <c r="AB2168" t="s">
        <v>17408</v>
      </c>
    </row>
    <row r="2169" spans="1:28" x14ac:dyDescent="0.25">
      <c r="A2169" t="s">
        <v>2173</v>
      </c>
      <c r="B2169">
        <v>0.98876768158843997</v>
      </c>
      <c r="C2169">
        <v>0.76852468136571594</v>
      </c>
      <c r="D2169">
        <v>1.02209653204017</v>
      </c>
      <c r="E2169">
        <v>0.73191943432385898</v>
      </c>
      <c r="F2169">
        <v>0.30801732451929498</v>
      </c>
      <c r="G2169">
        <v>9.3957338707175403E-2</v>
      </c>
      <c r="H2169">
        <v>4.3802317545331003E-2</v>
      </c>
      <c r="I2169">
        <v>3.6989149256842102E-2</v>
      </c>
      <c r="J2169">
        <v>3.84424965506351E-2</v>
      </c>
      <c r="K2169">
        <v>3.5275128692491803E-2</v>
      </c>
      <c r="L2169">
        <v>1657.0628656184299</v>
      </c>
      <c r="M2169">
        <v>32.187634052801002</v>
      </c>
      <c r="N2169">
        <v>51.6118771248955</v>
      </c>
      <c r="O2169">
        <v>51.283877144963398</v>
      </c>
      <c r="P2169">
        <v>-0.15077684543231201</v>
      </c>
      <c r="Q2169">
        <v>3.9086831148544603E-2</v>
      </c>
      <c r="R2169">
        <v>0.96567357787610697</v>
      </c>
      <c r="S2169" t="s">
        <v>6001</v>
      </c>
      <c r="T2169" t="s">
        <v>7662</v>
      </c>
      <c r="U2169" t="s">
        <v>7662</v>
      </c>
      <c r="V2169" t="s">
        <v>7662</v>
      </c>
      <c r="W2169">
        <v>5</v>
      </c>
      <c r="X2169" t="s">
        <v>9831</v>
      </c>
      <c r="Y2169">
        <v>0.4121297926789898</v>
      </c>
      <c r="Z2169" t="str">
        <f>HYPERLINK("Melting_Curves/meltCurve_sp_Q8TEB1_2_DCA11_HUMAN_.pdf", "Melting_Curves/meltCurve_sp_Q8TEB1_2_DCA11_HUMAN_.pdf")</f>
        <v>Melting_Curves/meltCurve_sp_Q8TEB1_2_DCA11_HUMAN_.pdf</v>
      </c>
      <c r="AA2169" t="s">
        <v>13630</v>
      </c>
      <c r="AB2169" t="s">
        <v>17409</v>
      </c>
    </row>
    <row r="2170" spans="1:28" x14ac:dyDescent="0.25">
      <c r="A2170" t="s">
        <v>2174</v>
      </c>
      <c r="B2170">
        <v>0.98876768158843997</v>
      </c>
      <c r="C2170">
        <v>1.0314610970745699</v>
      </c>
      <c r="D2170">
        <v>0.90876797945007404</v>
      </c>
      <c r="E2170">
        <v>0.66989717391407699</v>
      </c>
      <c r="F2170">
        <v>0.49438911195816698</v>
      </c>
      <c r="G2170">
        <v>0.28971775694240498</v>
      </c>
      <c r="H2170">
        <v>0.20271821908497101</v>
      </c>
      <c r="I2170">
        <v>0.22016449715748301</v>
      </c>
      <c r="J2170">
        <v>0.264902892198351</v>
      </c>
      <c r="K2170">
        <v>0.26659819988649802</v>
      </c>
      <c r="L2170">
        <v>1070.38056498638</v>
      </c>
      <c r="M2170">
        <v>21.0372814350042</v>
      </c>
      <c r="N2170">
        <v>52.414110424411099</v>
      </c>
      <c r="O2170">
        <v>50.427120804750103</v>
      </c>
      <c r="P2170">
        <v>-8.0324190941786097E-2</v>
      </c>
      <c r="Q2170">
        <v>0.22986062286203701</v>
      </c>
      <c r="R2170">
        <v>0.99127026954194497</v>
      </c>
      <c r="S2170" t="s">
        <v>6002</v>
      </c>
      <c r="T2170" t="s">
        <v>7662</v>
      </c>
      <c r="U2170" t="s">
        <v>7662</v>
      </c>
      <c r="V2170" t="s">
        <v>7662</v>
      </c>
      <c r="W2170">
        <v>4</v>
      </c>
      <c r="X2170" t="s">
        <v>9832</v>
      </c>
      <c r="Y2170">
        <v>0.51888589446038924</v>
      </c>
      <c r="Z2170" t="str">
        <f>HYPERLINK("Melting_Curves/meltCurve_sp_Q8TEH3_DEN1A_HUMAN_.pdf", "Melting_Curves/meltCurve_sp_Q8TEH3_DEN1A_HUMAN_.pdf")</f>
        <v>Melting_Curves/meltCurve_sp_Q8TEH3_DEN1A_HUMAN_.pdf</v>
      </c>
      <c r="AA2170" t="s">
        <v>13631</v>
      </c>
      <c r="AB2170" t="s">
        <v>17410</v>
      </c>
    </row>
    <row r="2171" spans="1:28" x14ac:dyDescent="0.25">
      <c r="A2171" t="s">
        <v>2175</v>
      </c>
      <c r="B2171">
        <v>0.98876768158843997</v>
      </c>
      <c r="C2171">
        <v>0.97289367333693499</v>
      </c>
      <c r="D2171">
        <v>0.78907456585934199</v>
      </c>
      <c r="E2171">
        <v>0.635907915433083</v>
      </c>
      <c r="F2171">
        <v>0.25434533607960602</v>
      </c>
      <c r="G2171">
        <v>0.122099189655032</v>
      </c>
      <c r="H2171">
        <v>0.104803595918155</v>
      </c>
      <c r="I2171">
        <v>8.8891265373281098E-2</v>
      </c>
      <c r="J2171">
        <v>0.34126639388962798</v>
      </c>
      <c r="K2171">
        <v>4.9228677484446398E-2</v>
      </c>
      <c r="L2171">
        <v>1083.1705810628901</v>
      </c>
      <c r="M2171">
        <v>21.752645312055702</v>
      </c>
      <c r="N2171">
        <v>50.458891041083902</v>
      </c>
      <c r="O2171">
        <v>49.379785712189303</v>
      </c>
      <c r="P2171">
        <v>-9.64248576805848E-2</v>
      </c>
      <c r="Q2171">
        <v>0.124460022166218</v>
      </c>
      <c r="R2171">
        <v>0.93992469591518502</v>
      </c>
      <c r="S2171" t="s">
        <v>6003</v>
      </c>
      <c r="T2171" t="s">
        <v>7662</v>
      </c>
      <c r="U2171" t="s">
        <v>7662</v>
      </c>
      <c r="V2171" t="s">
        <v>7662</v>
      </c>
      <c r="W2171">
        <v>3</v>
      </c>
      <c r="X2171" t="s">
        <v>9833</v>
      </c>
      <c r="Y2171">
        <v>0.42064906622737841</v>
      </c>
      <c r="Z2171" t="str">
        <f>HYPERLINK("Melting_Curves/meltCurve_sp_Q8TEQ6_GEMI5_HUMAN_.pdf", "Melting_Curves/meltCurve_sp_Q8TEQ6_GEMI5_HUMAN_.pdf")</f>
        <v>Melting_Curves/meltCurve_sp_Q8TEQ6_GEMI5_HUMAN_.pdf</v>
      </c>
      <c r="AA2171" t="s">
        <v>13632</v>
      </c>
      <c r="AB2171" t="s">
        <v>17411</v>
      </c>
    </row>
    <row r="2172" spans="1:28" x14ac:dyDescent="0.25">
      <c r="A2172" t="s">
        <v>2176</v>
      </c>
      <c r="B2172">
        <v>0.98876768158843997</v>
      </c>
      <c r="C2172">
        <v>1.1187023291129901</v>
      </c>
      <c r="D2172">
        <v>0.81979548252466705</v>
      </c>
      <c r="E2172">
        <v>0.54580740219674095</v>
      </c>
      <c r="F2172">
        <v>0.55647047697027996</v>
      </c>
      <c r="G2172">
        <v>0.36406693437225701</v>
      </c>
      <c r="H2172">
        <v>0.27953548605289003</v>
      </c>
      <c r="I2172">
        <v>0.31772018054122098</v>
      </c>
      <c r="J2172">
        <v>0.35093782866367601</v>
      </c>
      <c r="K2172">
        <v>0.39879195525868799</v>
      </c>
      <c r="L2172">
        <v>1028.6837125141701</v>
      </c>
      <c r="M2172">
        <v>21.0243766302561</v>
      </c>
      <c r="N2172">
        <v>51.784014773837598</v>
      </c>
      <c r="O2172">
        <v>48.491951967377297</v>
      </c>
      <c r="P2172">
        <v>-7.1195701044014806E-2</v>
      </c>
      <c r="Q2172">
        <v>0.34317659738714601</v>
      </c>
      <c r="R2172">
        <v>0.94057529087459002</v>
      </c>
      <c r="S2172" t="s">
        <v>6004</v>
      </c>
      <c r="T2172" t="s">
        <v>7662</v>
      </c>
      <c r="U2172" t="s">
        <v>7662</v>
      </c>
      <c r="V2172" t="s">
        <v>7662</v>
      </c>
      <c r="W2172">
        <v>2</v>
      </c>
      <c r="X2172" t="s">
        <v>9834</v>
      </c>
      <c r="Y2172">
        <v>0.54696325583547045</v>
      </c>
      <c r="Z2172" t="str">
        <f>HYPERLINK("Melting_Curves/meltCurve_sp_Q8TER5_4_ARH40_HUMAN_.pdf", "Melting_Curves/meltCurve_sp_Q8TER5_4_ARH40_HUMAN_.pdf")</f>
        <v>Melting_Curves/meltCurve_sp_Q8TER5_4_ARH40_HUMAN_.pdf</v>
      </c>
      <c r="AA2172" t="s">
        <v>13633</v>
      </c>
      <c r="AB2172" t="s">
        <v>17412</v>
      </c>
    </row>
    <row r="2173" spans="1:28" x14ac:dyDescent="0.25">
      <c r="A2173" t="s">
        <v>2177</v>
      </c>
      <c r="B2173">
        <v>0.98876768158843997</v>
      </c>
      <c r="C2173">
        <v>0.91412987275086499</v>
      </c>
      <c r="D2173">
        <v>0.87110024270041697</v>
      </c>
      <c r="E2173">
        <v>0.66768970633787195</v>
      </c>
      <c r="F2173">
        <v>0.36685580186882499</v>
      </c>
      <c r="G2173">
        <v>0.21018365561236399</v>
      </c>
      <c r="H2173">
        <v>0.12819009693504299</v>
      </c>
      <c r="I2173">
        <v>0.131481558580162</v>
      </c>
      <c r="J2173">
        <v>0.171484160625691</v>
      </c>
      <c r="K2173">
        <v>0.13218416923819701</v>
      </c>
      <c r="L2173">
        <v>975.75483002920396</v>
      </c>
      <c r="M2173">
        <v>19.231088812175699</v>
      </c>
      <c r="N2173">
        <v>51.496468340765702</v>
      </c>
      <c r="O2173">
        <v>50.199330764898399</v>
      </c>
      <c r="P2173">
        <v>-8.3970368019673503E-2</v>
      </c>
      <c r="Q2173">
        <v>0.12327458381612399</v>
      </c>
      <c r="R2173">
        <v>0.99209844195015595</v>
      </c>
      <c r="S2173" t="s">
        <v>6005</v>
      </c>
      <c r="T2173" t="s">
        <v>7662</v>
      </c>
      <c r="U2173" t="s">
        <v>7662</v>
      </c>
      <c r="V2173" t="s">
        <v>7662</v>
      </c>
      <c r="W2173">
        <v>7</v>
      </c>
      <c r="X2173" t="s">
        <v>9835</v>
      </c>
      <c r="Y2173">
        <v>0.45020617522392559</v>
      </c>
      <c r="Z2173" t="str">
        <f>HYPERLINK("Melting_Curves/meltCurve_sp_Q8TEW0_5_PARD3_HUMAN_.pdf", "Melting_Curves/meltCurve_sp_Q8TEW0_5_PARD3_HUMAN_.pdf")</f>
        <v>Melting_Curves/meltCurve_sp_Q8TEW0_5_PARD3_HUMAN_.pdf</v>
      </c>
      <c r="AA2173" t="s">
        <v>13634</v>
      </c>
      <c r="AB2173" t="s">
        <v>17413</v>
      </c>
    </row>
    <row r="2174" spans="1:28" x14ac:dyDescent="0.25">
      <c r="A2174" t="s">
        <v>2178</v>
      </c>
      <c r="B2174">
        <v>0.98876768158843997</v>
      </c>
      <c r="C2174">
        <v>0.91374317738880395</v>
      </c>
      <c r="D2174">
        <v>0.93261842837667996</v>
      </c>
      <c r="E2174">
        <v>0.70628429678465499</v>
      </c>
      <c r="F2174">
        <v>0.39491856617615401</v>
      </c>
      <c r="G2174">
        <v>0.20729729146560599</v>
      </c>
      <c r="H2174">
        <v>9.3030900098903593E-2</v>
      </c>
      <c r="I2174">
        <v>6.1094296156785202E-2</v>
      </c>
      <c r="J2174">
        <v>8.2273090963616305E-2</v>
      </c>
      <c r="K2174">
        <v>5.0220614703454299E-2</v>
      </c>
      <c r="L2174">
        <v>1005.63055338646</v>
      </c>
      <c r="M2174">
        <v>19.420646037066799</v>
      </c>
      <c r="N2174">
        <v>52.072778433173099</v>
      </c>
      <c r="O2174">
        <v>51.241861873738401</v>
      </c>
      <c r="P2174">
        <v>-8.9876713625206703E-2</v>
      </c>
      <c r="Q2174">
        <v>5.1466821616124502E-2</v>
      </c>
      <c r="R2174">
        <v>0.99500106491165996</v>
      </c>
      <c r="S2174" t="s">
        <v>6006</v>
      </c>
      <c r="T2174" t="s">
        <v>7662</v>
      </c>
      <c r="U2174" t="s">
        <v>7662</v>
      </c>
      <c r="V2174" t="s">
        <v>7662</v>
      </c>
      <c r="W2174">
        <v>13</v>
      </c>
      <c r="X2174" t="s">
        <v>9836</v>
      </c>
      <c r="Y2174">
        <v>0.43782332496463822</v>
      </c>
      <c r="Z2174" t="str">
        <f>HYPERLINK("Melting_Curves/meltCurve_sp_Q8TEX9_IPO4_HUMAN_.pdf", "Melting_Curves/meltCurve_sp_Q8TEX9_IPO4_HUMAN_.pdf")</f>
        <v>Melting_Curves/meltCurve_sp_Q8TEX9_IPO4_HUMAN_.pdf</v>
      </c>
      <c r="AA2174" t="s">
        <v>13635</v>
      </c>
      <c r="AB2174" t="s">
        <v>17414</v>
      </c>
    </row>
    <row r="2175" spans="1:28" x14ac:dyDescent="0.25">
      <c r="A2175" t="s">
        <v>2179</v>
      </c>
      <c r="B2175">
        <v>0.98876768158843997</v>
      </c>
      <c r="C2175">
        <v>0.81897370996100105</v>
      </c>
      <c r="D2175">
        <v>0.77449674798800305</v>
      </c>
      <c r="E2175">
        <v>0.57414192247057305</v>
      </c>
      <c r="F2175">
        <v>0.257408524347151</v>
      </c>
      <c r="G2175">
        <v>0.14286462106112099</v>
      </c>
      <c r="H2175">
        <v>7.6146659178873005E-2</v>
      </c>
      <c r="I2175">
        <v>6.2692116895488495E-2</v>
      </c>
      <c r="J2175">
        <v>0.122235505176277</v>
      </c>
      <c r="K2175">
        <v>8.6839100726233506E-2</v>
      </c>
      <c r="L2175">
        <v>731.77413148783899</v>
      </c>
      <c r="M2175">
        <v>14.7828517739328</v>
      </c>
      <c r="N2175">
        <v>49.867122844429801</v>
      </c>
      <c r="O2175">
        <v>48.622186302594599</v>
      </c>
      <c r="P2175">
        <v>-7.2113232791991499E-2</v>
      </c>
      <c r="Q2175">
        <v>5.1352704747745601E-2</v>
      </c>
      <c r="R2175">
        <v>0.97955270205615097</v>
      </c>
      <c r="S2175" t="s">
        <v>6007</v>
      </c>
      <c r="T2175" t="s">
        <v>7662</v>
      </c>
      <c r="U2175" t="s">
        <v>7662</v>
      </c>
      <c r="V2175" t="s">
        <v>7662</v>
      </c>
      <c r="W2175">
        <v>2</v>
      </c>
      <c r="X2175" t="s">
        <v>9837</v>
      </c>
      <c r="Y2175">
        <v>0.37542418273746742</v>
      </c>
      <c r="Z2175" t="str">
        <f>HYPERLINK("Melting_Curves/meltCurve_sp_Q8TF05_2_PP4R1_HUMAN_.pdf", "Melting_Curves/meltCurve_sp_Q8TF05_2_PP4R1_HUMAN_.pdf")</f>
        <v>Melting_Curves/meltCurve_sp_Q8TF05_2_PP4R1_HUMAN_.pdf</v>
      </c>
      <c r="AA2175" t="s">
        <v>13636</v>
      </c>
      <c r="AB2175" t="s">
        <v>17415</v>
      </c>
    </row>
    <row r="2176" spans="1:28" x14ac:dyDescent="0.25">
      <c r="A2176" t="s">
        <v>2180</v>
      </c>
      <c r="B2176">
        <v>0.98876768158843997</v>
      </c>
      <c r="C2176">
        <v>1.15607218148847</v>
      </c>
      <c r="D2176">
        <v>0.87019432023980903</v>
      </c>
      <c r="E2176">
        <v>0.74189477834453199</v>
      </c>
      <c r="F2176">
        <v>0.54804961646129002</v>
      </c>
      <c r="G2176">
        <v>0.146597780224619</v>
      </c>
      <c r="H2176">
        <v>6.9783117367578196E-2</v>
      </c>
      <c r="I2176">
        <v>6.3263401317310203E-2</v>
      </c>
      <c r="J2176">
        <v>6.0781655521859698E-2</v>
      </c>
      <c r="K2176">
        <v>5.9856122616114303E-2</v>
      </c>
      <c r="L2176">
        <v>1119.2820808020499</v>
      </c>
      <c r="M2176">
        <v>21.240825409405499</v>
      </c>
      <c r="N2176">
        <v>52.883997334725798</v>
      </c>
      <c r="O2176">
        <v>52.234455129278899</v>
      </c>
      <c r="P2176">
        <v>-9.7945313263485601E-2</v>
      </c>
      <c r="Q2176">
        <v>3.65743818062568E-2</v>
      </c>
      <c r="R2176">
        <v>0.97581907746663599</v>
      </c>
      <c r="S2176" t="s">
        <v>6008</v>
      </c>
      <c r="T2176" t="s">
        <v>7662</v>
      </c>
      <c r="U2176" t="s">
        <v>7662</v>
      </c>
      <c r="V2176" t="s">
        <v>7662</v>
      </c>
      <c r="W2176">
        <v>7</v>
      </c>
      <c r="X2176" t="s">
        <v>9838</v>
      </c>
      <c r="Y2176">
        <v>0.45620668403042541</v>
      </c>
      <c r="Z2176" t="str">
        <f>HYPERLINK("Melting_Curves/meltCurve_sp_Q8TF65_GIPC2_HUMAN_.pdf", "Melting_Curves/meltCurve_sp_Q8TF65_GIPC2_HUMAN_.pdf")</f>
        <v>Melting_Curves/meltCurve_sp_Q8TF65_GIPC2_HUMAN_.pdf</v>
      </c>
      <c r="AA2176" t="s">
        <v>13637</v>
      </c>
      <c r="AB2176" t="s">
        <v>17416</v>
      </c>
    </row>
    <row r="2177" spans="1:28" x14ac:dyDescent="0.25">
      <c r="A2177" t="s">
        <v>2181</v>
      </c>
      <c r="B2177">
        <v>0.98876768158843997</v>
      </c>
      <c r="C2177">
        <v>0.97781235067577799</v>
      </c>
      <c r="D2177">
        <v>1.1508611740075301</v>
      </c>
      <c r="E2177">
        <v>1.1575107139415499</v>
      </c>
      <c r="F2177">
        <v>1.5093866687424</v>
      </c>
      <c r="G2177">
        <v>0.91500545051166604</v>
      </c>
      <c r="H2177">
        <v>0.85949428275342998</v>
      </c>
      <c r="I2177">
        <v>0.62205715581104903</v>
      </c>
      <c r="J2177">
        <v>0.79315973001078</v>
      </c>
      <c r="K2177">
        <v>0.55841079851572195</v>
      </c>
      <c r="L2177">
        <v>15000</v>
      </c>
      <c r="M2177">
        <v>245.54053042888401</v>
      </c>
      <c r="O2177">
        <v>61.085658273420101</v>
      </c>
      <c r="P2177">
        <v>-0.343802543629534</v>
      </c>
      <c r="Q2177">
        <v>0.65787473684784104</v>
      </c>
      <c r="R2177">
        <v>0.503363919068049</v>
      </c>
      <c r="S2177" t="s">
        <v>6009</v>
      </c>
      <c r="T2177" t="s">
        <v>7662</v>
      </c>
      <c r="U2177" t="s">
        <v>7662</v>
      </c>
      <c r="V2177" t="s">
        <v>7662</v>
      </c>
      <c r="W2177">
        <v>4</v>
      </c>
      <c r="X2177" t="s">
        <v>9839</v>
      </c>
      <c r="Y2177">
        <v>0.89842352356597843</v>
      </c>
      <c r="Z2177" t="str">
        <f>HYPERLINK("Melting_Curves/meltCurve_sp_Q8TF72_SHRM3_HUMAN_.pdf", "Melting_Curves/meltCurve_sp_Q8TF72_SHRM3_HUMAN_.pdf")</f>
        <v>Melting_Curves/meltCurve_sp_Q8TF72_SHRM3_HUMAN_.pdf</v>
      </c>
      <c r="AA2177" t="s">
        <v>13638</v>
      </c>
      <c r="AB2177" t="s">
        <v>17417</v>
      </c>
    </row>
    <row r="2178" spans="1:28" x14ac:dyDescent="0.25">
      <c r="A2178" t="s">
        <v>2182</v>
      </c>
      <c r="B2178">
        <v>0.98876768158843997</v>
      </c>
      <c r="C2178">
        <v>1.05082657589053</v>
      </c>
      <c r="D2178">
        <v>0.90413670807179403</v>
      </c>
      <c r="E2178">
        <v>0.71224930177661505</v>
      </c>
      <c r="F2178">
        <v>0.835716182022465</v>
      </c>
      <c r="G2178">
        <v>0.54686121222367301</v>
      </c>
      <c r="H2178">
        <v>0.40692818785929202</v>
      </c>
      <c r="I2178">
        <v>0.51062600306293005</v>
      </c>
      <c r="J2178">
        <v>0.619847619703917</v>
      </c>
      <c r="K2178">
        <v>0.75688874019687602</v>
      </c>
      <c r="L2178">
        <v>949.53744742927597</v>
      </c>
      <c r="M2178">
        <v>19.017214201386</v>
      </c>
      <c r="O2178">
        <v>49.3881460572143</v>
      </c>
      <c r="P2178">
        <v>-4.1017990279388003E-2</v>
      </c>
      <c r="Q2178">
        <v>0.57391827573252696</v>
      </c>
      <c r="R2178">
        <v>0.73004145371232598</v>
      </c>
      <c r="S2178" t="s">
        <v>6010</v>
      </c>
      <c r="T2178" t="s">
        <v>7662</v>
      </c>
      <c r="U2178" t="s">
        <v>7662</v>
      </c>
      <c r="V2178" t="s">
        <v>7662</v>
      </c>
      <c r="W2178">
        <v>4</v>
      </c>
      <c r="X2178" t="s">
        <v>9840</v>
      </c>
      <c r="Y2178">
        <v>0.72150158819948118</v>
      </c>
      <c r="Z2178" t="str">
        <f>HYPERLINK("Melting_Curves/meltCurve_sp_Q8TF74_WIPF2_HUMAN_.pdf", "Melting_Curves/meltCurve_sp_Q8TF74_WIPF2_HUMAN_.pdf")</f>
        <v>Melting_Curves/meltCurve_sp_Q8TF74_WIPF2_HUMAN_.pdf</v>
      </c>
      <c r="AA2178" t="s">
        <v>13639</v>
      </c>
      <c r="AB2178" t="s">
        <v>17418</v>
      </c>
    </row>
    <row r="2179" spans="1:28" x14ac:dyDescent="0.25">
      <c r="A2179" t="s">
        <v>2183</v>
      </c>
      <c r="B2179">
        <v>0.98876768158843997</v>
      </c>
      <c r="C2179">
        <v>0.974672684051334</v>
      </c>
      <c r="D2179">
        <v>0.84449479951008699</v>
      </c>
      <c r="E2179">
        <v>0.43092050574742802</v>
      </c>
      <c r="F2179">
        <v>0.222834058490406</v>
      </c>
      <c r="G2179">
        <v>0.112048890011978</v>
      </c>
      <c r="H2179">
        <v>8.8003068506915597E-2</v>
      </c>
      <c r="I2179">
        <v>0.10691663847626499</v>
      </c>
      <c r="J2179">
        <v>0.19395931120046001</v>
      </c>
      <c r="K2179">
        <v>0.16840857369598999</v>
      </c>
      <c r="L2179">
        <v>1302.6076522623</v>
      </c>
      <c r="M2179">
        <v>26.733826016391198</v>
      </c>
      <c r="N2179">
        <v>49.282623034769898</v>
      </c>
      <c r="O2179">
        <v>48.4548957400715</v>
      </c>
      <c r="P2179">
        <v>-0.11993316400125199</v>
      </c>
      <c r="Q2179">
        <v>0.13049660733823401</v>
      </c>
      <c r="R2179">
        <v>0.99236958882246495</v>
      </c>
      <c r="S2179" t="s">
        <v>6011</v>
      </c>
      <c r="T2179" t="s">
        <v>7662</v>
      </c>
      <c r="U2179" t="s">
        <v>7662</v>
      </c>
      <c r="V2179" t="s">
        <v>7662</v>
      </c>
      <c r="W2179">
        <v>2</v>
      </c>
      <c r="X2179" t="s">
        <v>9841</v>
      </c>
      <c r="Y2179">
        <v>0.39007363071465578</v>
      </c>
      <c r="Z2179" t="str">
        <f>HYPERLINK("Melting_Curves/meltCurve_sp_Q8WTS6_SETD7_HUMAN_.pdf", "Melting_Curves/meltCurve_sp_Q8WTS6_SETD7_HUMAN_.pdf")</f>
        <v>Melting_Curves/meltCurve_sp_Q8WTS6_SETD7_HUMAN_.pdf</v>
      </c>
      <c r="AA2179" t="s">
        <v>13640</v>
      </c>
      <c r="AB2179" t="s">
        <v>17419</v>
      </c>
    </row>
    <row r="2180" spans="1:28" x14ac:dyDescent="0.25">
      <c r="A2180" t="s">
        <v>2184</v>
      </c>
      <c r="B2180">
        <v>0.98876768158843997</v>
      </c>
      <c r="C2180">
        <v>1.2822119235382401</v>
      </c>
      <c r="D2180">
        <v>0.87383878688860706</v>
      </c>
      <c r="E2180">
        <v>0.72037014393985299</v>
      </c>
      <c r="F2180">
        <v>0.66011765030771397</v>
      </c>
      <c r="G2180">
        <v>0.20405109443333899</v>
      </c>
      <c r="H2180">
        <v>0.114139369809745</v>
      </c>
      <c r="I2180">
        <v>0.11909084190918499</v>
      </c>
      <c r="J2180">
        <v>0.16064709777432201</v>
      </c>
      <c r="K2180">
        <v>0.116178186371881</v>
      </c>
      <c r="L2180">
        <v>1107.44398502839</v>
      </c>
      <c r="M2180">
        <v>20.885485486925301</v>
      </c>
      <c r="N2180">
        <v>53.592102144019698</v>
      </c>
      <c r="O2180">
        <v>52.545644531251398</v>
      </c>
      <c r="P2180">
        <v>-8.9512367069549306E-2</v>
      </c>
      <c r="Q2180">
        <v>9.9210659373120499E-2</v>
      </c>
      <c r="R2180">
        <v>0.93042269597250005</v>
      </c>
      <c r="S2180" t="s">
        <v>6012</v>
      </c>
      <c r="T2180" t="s">
        <v>7662</v>
      </c>
      <c r="U2180" t="s">
        <v>7662</v>
      </c>
      <c r="V2180" t="s">
        <v>7662</v>
      </c>
      <c r="W2180">
        <v>6</v>
      </c>
      <c r="X2180" t="s">
        <v>9842</v>
      </c>
      <c r="Y2180">
        <v>0.50178567401424912</v>
      </c>
      <c r="Z2180" t="str">
        <f>HYPERLINK("Melting_Curves/meltCurve_sp_Q8WU79_3_SMAP2_HUMAN_.pdf", "Melting_Curves/meltCurve_sp_Q8WU79_3_SMAP2_HUMAN_.pdf")</f>
        <v>Melting_Curves/meltCurve_sp_Q8WU79_3_SMAP2_HUMAN_.pdf</v>
      </c>
      <c r="AA2180" t="s">
        <v>13641</v>
      </c>
      <c r="AB2180" t="s">
        <v>17420</v>
      </c>
    </row>
    <row r="2181" spans="1:28" x14ac:dyDescent="0.25">
      <c r="A2181" t="s">
        <v>2185</v>
      </c>
      <c r="B2181">
        <v>0.98876768158843997</v>
      </c>
      <c r="C2181">
        <v>1.0412306033803</v>
      </c>
      <c r="D2181">
        <v>0.89780337013759104</v>
      </c>
      <c r="E2181">
        <v>0.757809333721567</v>
      </c>
      <c r="F2181">
        <v>0.82491457392226497</v>
      </c>
      <c r="G2181">
        <v>0.58902782919448504</v>
      </c>
      <c r="H2181">
        <v>0.44857325013385002</v>
      </c>
      <c r="I2181">
        <v>0.53615096772848303</v>
      </c>
      <c r="J2181">
        <v>0.61645441253167099</v>
      </c>
      <c r="K2181">
        <v>0.74229919917013099</v>
      </c>
      <c r="L2181">
        <v>912.43216316840505</v>
      </c>
      <c r="M2181">
        <v>18.117638625682101</v>
      </c>
      <c r="O2181">
        <v>49.7600230797294</v>
      </c>
      <c r="P2181">
        <v>-3.7778343650238098E-2</v>
      </c>
      <c r="Q2181">
        <v>0.58498770407928802</v>
      </c>
      <c r="R2181">
        <v>0.78571724923050301</v>
      </c>
      <c r="S2181" t="s">
        <v>6013</v>
      </c>
      <c r="T2181" t="s">
        <v>7662</v>
      </c>
      <c r="U2181" t="s">
        <v>7662</v>
      </c>
      <c r="V2181" t="s">
        <v>7662</v>
      </c>
      <c r="W2181">
        <v>8</v>
      </c>
      <c r="X2181" t="s">
        <v>9843</v>
      </c>
      <c r="Y2181">
        <v>0.73528682857888816</v>
      </c>
      <c r="Z2181" t="str">
        <f>HYPERLINK("Melting_Curves/meltCurve_sp_Q8WU90_ZC3HF_HUMAN_.pdf", "Melting_Curves/meltCurve_sp_Q8WU90_ZC3HF_HUMAN_.pdf")</f>
        <v>Melting_Curves/meltCurve_sp_Q8WU90_ZC3HF_HUMAN_.pdf</v>
      </c>
      <c r="AA2181" t="s">
        <v>13642</v>
      </c>
      <c r="AB2181" t="s">
        <v>17421</v>
      </c>
    </row>
    <row r="2182" spans="1:28" x14ac:dyDescent="0.25">
      <c r="A2182" t="s">
        <v>2186</v>
      </c>
      <c r="B2182">
        <v>0.98876768158843997</v>
      </c>
      <c r="C2182">
        <v>1.0293776544228599</v>
      </c>
      <c r="D2182">
        <v>0.87078842191272199</v>
      </c>
      <c r="E2182">
        <v>0.67827264609806204</v>
      </c>
      <c r="F2182">
        <v>0.29642164929684101</v>
      </c>
      <c r="G2182">
        <v>0.124791376535571</v>
      </c>
      <c r="H2182">
        <v>0.105788720287284</v>
      </c>
      <c r="I2182">
        <v>6.6907734034816396E-2</v>
      </c>
      <c r="J2182">
        <v>0.31409862198551702</v>
      </c>
      <c r="K2182">
        <v>8.5151691916220296E-2</v>
      </c>
      <c r="L2182">
        <v>1518.0422226214</v>
      </c>
      <c r="M2182">
        <v>29.9846695600713</v>
      </c>
      <c r="N2182">
        <v>51.1483836752288</v>
      </c>
      <c r="O2182">
        <v>50.403692676316297</v>
      </c>
      <c r="P2182">
        <v>-0.12914889837263499</v>
      </c>
      <c r="Q2182">
        <v>0.13161769498912801</v>
      </c>
      <c r="R2182">
        <v>0.962686643592777</v>
      </c>
      <c r="S2182" t="s">
        <v>6014</v>
      </c>
      <c r="T2182" t="s">
        <v>7662</v>
      </c>
      <c r="U2182" t="s">
        <v>7662</v>
      </c>
      <c r="V2182" t="s">
        <v>7662</v>
      </c>
      <c r="W2182">
        <v>2</v>
      </c>
      <c r="X2182" t="s">
        <v>9844</v>
      </c>
      <c r="Y2182">
        <v>0.44466782911681929</v>
      </c>
      <c r="Z2182" t="str">
        <f>HYPERLINK("Melting_Curves/meltCurve_sp_Q8WUA2_PPIL4_HUMAN_.pdf", "Melting_Curves/meltCurve_sp_Q8WUA2_PPIL4_HUMAN_.pdf")</f>
        <v>Melting_Curves/meltCurve_sp_Q8WUA2_PPIL4_HUMAN_.pdf</v>
      </c>
      <c r="AA2182" t="s">
        <v>13643</v>
      </c>
      <c r="AB2182" t="s">
        <v>17422</v>
      </c>
    </row>
    <row r="2183" spans="1:28" x14ac:dyDescent="0.25">
      <c r="A2183" t="s">
        <v>2187</v>
      </c>
      <c r="B2183">
        <v>0.98876768158843997</v>
      </c>
      <c r="C2183">
        <v>0.89599927900672505</v>
      </c>
      <c r="D2183">
        <v>0.88680157083895195</v>
      </c>
      <c r="E2183">
        <v>0.72944174627552705</v>
      </c>
      <c r="F2183">
        <v>0.70433543609336902</v>
      </c>
      <c r="G2183">
        <v>0.50476552861222801</v>
      </c>
      <c r="H2183">
        <v>0.20178195466445101</v>
      </c>
      <c r="I2183">
        <v>2.52083276513419E-2</v>
      </c>
      <c r="J2183">
        <v>2.1164583027342299E-2</v>
      </c>
      <c r="K2183">
        <v>0</v>
      </c>
      <c r="L2183">
        <v>796.86583131300802</v>
      </c>
      <c r="M2183">
        <v>14.3908860588857</v>
      </c>
      <c r="N2183">
        <v>55.372950105818603</v>
      </c>
      <c r="O2183">
        <v>54.336647618504003</v>
      </c>
      <c r="P2183">
        <v>-6.6219563119094604E-2</v>
      </c>
      <c r="Q2183">
        <v>0</v>
      </c>
      <c r="R2183">
        <v>0.96518286924168195</v>
      </c>
      <c r="S2183" t="s">
        <v>6015</v>
      </c>
      <c r="T2183" t="s">
        <v>7662</v>
      </c>
      <c r="U2183" t="s">
        <v>7662</v>
      </c>
      <c r="V2183" t="s">
        <v>7662</v>
      </c>
      <c r="W2183">
        <v>2</v>
      </c>
      <c r="X2183" t="s">
        <v>9845</v>
      </c>
      <c r="Y2183">
        <v>0.53193409315428541</v>
      </c>
      <c r="Z2183" t="str">
        <f>HYPERLINK("Melting_Curves/meltCurve_sp_Q8WUA7_3_TB22A_HUMAN_.pdf", "Melting_Curves/meltCurve_sp_Q8WUA7_3_TB22A_HUMAN_.pdf")</f>
        <v>Melting_Curves/meltCurve_sp_Q8WUA7_3_TB22A_HUMAN_.pdf</v>
      </c>
      <c r="AA2183" t="s">
        <v>13644</v>
      </c>
      <c r="AB2183" t="s">
        <v>17423</v>
      </c>
    </row>
    <row r="2184" spans="1:28" x14ac:dyDescent="0.25">
      <c r="A2184" t="s">
        <v>2188</v>
      </c>
      <c r="B2184">
        <v>0.98876768158843997</v>
      </c>
      <c r="C2184">
        <v>1.0728215488613</v>
      </c>
      <c r="D2184">
        <v>1.03963895985577</v>
      </c>
      <c r="E2184">
        <v>0.48389830999747802</v>
      </c>
      <c r="F2184">
        <v>0.70760916543354702</v>
      </c>
      <c r="G2184">
        <v>0.19164469535268999</v>
      </c>
      <c r="H2184">
        <v>0.20978574222959101</v>
      </c>
      <c r="I2184">
        <v>0.217921420493184</v>
      </c>
      <c r="J2184">
        <v>0.111320200107103</v>
      </c>
      <c r="K2184">
        <v>0.298301013111677</v>
      </c>
      <c r="L2184">
        <v>969.52946328739597</v>
      </c>
      <c r="M2184">
        <v>18.842408353235999</v>
      </c>
      <c r="N2184">
        <v>52.760526048761903</v>
      </c>
      <c r="O2184">
        <v>50.885590012393401</v>
      </c>
      <c r="P2184">
        <v>-7.5323504863505406E-2</v>
      </c>
      <c r="Q2184">
        <v>0.18636236464226799</v>
      </c>
      <c r="R2184">
        <v>0.887959300574099</v>
      </c>
      <c r="S2184" t="s">
        <v>6016</v>
      </c>
      <c r="T2184" t="s">
        <v>7662</v>
      </c>
      <c r="U2184" t="s">
        <v>7662</v>
      </c>
      <c r="V2184" t="s">
        <v>7662</v>
      </c>
      <c r="W2184">
        <v>2</v>
      </c>
      <c r="X2184" t="s">
        <v>9846</v>
      </c>
      <c r="Y2184">
        <v>0.50959756666341882</v>
      </c>
      <c r="Z2184" t="str">
        <f>HYPERLINK("Melting_Curves/meltCurve_sp_Q8WUH6_CL023_HUMAN_.pdf", "Melting_Curves/meltCurve_sp_Q8WUH6_CL023_HUMAN_.pdf")</f>
        <v>Melting_Curves/meltCurve_sp_Q8WUH6_CL023_HUMAN_.pdf</v>
      </c>
      <c r="AA2184" t="s">
        <v>13645</v>
      </c>
      <c r="AB2184" t="s">
        <v>17424</v>
      </c>
    </row>
    <row r="2185" spans="1:28" x14ac:dyDescent="0.25">
      <c r="A2185" t="s">
        <v>2189</v>
      </c>
      <c r="B2185">
        <v>0.98876768158843997</v>
      </c>
      <c r="C2185">
        <v>0.96042104129031602</v>
      </c>
      <c r="D2185">
        <v>0.90426586943776399</v>
      </c>
      <c r="E2185">
        <v>0.540874804779093</v>
      </c>
      <c r="F2185">
        <v>9.5566806165404403E-2</v>
      </c>
      <c r="G2185">
        <v>6.0930264330160099E-2</v>
      </c>
      <c r="H2185">
        <v>3.4666114736941103E-2</v>
      </c>
      <c r="I2185">
        <v>3.16924506349298E-2</v>
      </c>
      <c r="J2185">
        <v>3.76760588935348E-2</v>
      </c>
      <c r="K2185">
        <v>3.2288521063635597E-2</v>
      </c>
      <c r="L2185">
        <v>1867.9426459111301</v>
      </c>
      <c r="M2185">
        <v>37.354187297600802</v>
      </c>
      <c r="N2185">
        <v>50.094298139870098</v>
      </c>
      <c r="O2185">
        <v>49.863551453152397</v>
      </c>
      <c r="P2185">
        <v>-0.181332132875346</v>
      </c>
      <c r="Q2185">
        <v>3.1771887598720301E-2</v>
      </c>
      <c r="R2185">
        <v>0.99535057078016997</v>
      </c>
      <c r="S2185" t="s">
        <v>6017</v>
      </c>
      <c r="T2185" t="s">
        <v>7662</v>
      </c>
      <c r="U2185" t="s">
        <v>7662</v>
      </c>
      <c r="V2185" t="s">
        <v>7662</v>
      </c>
      <c r="W2185">
        <v>49</v>
      </c>
      <c r="X2185" t="s">
        <v>9847</v>
      </c>
      <c r="Y2185">
        <v>0.35856012145427762</v>
      </c>
      <c r="Z2185" t="str">
        <f>HYPERLINK("Melting_Curves/meltCurve_sp_Q8WUM4_PDC6I_HUMAN_.pdf", "Melting_Curves/meltCurve_sp_Q8WUM4_PDC6I_HUMAN_.pdf")</f>
        <v>Melting_Curves/meltCurve_sp_Q8WUM4_PDC6I_HUMAN_.pdf</v>
      </c>
      <c r="AA2185" t="s">
        <v>13646</v>
      </c>
      <c r="AB2185" t="s">
        <v>17425</v>
      </c>
    </row>
    <row r="2186" spans="1:28" x14ac:dyDescent="0.25">
      <c r="A2186" t="s">
        <v>2190</v>
      </c>
      <c r="B2186">
        <v>0.98876768158843997</v>
      </c>
      <c r="C2186">
        <v>1.07374589979201</v>
      </c>
      <c r="D2186">
        <v>0.87885152397560795</v>
      </c>
      <c r="E2186">
        <v>0.79717733979147598</v>
      </c>
      <c r="F2186">
        <v>0.64404631545230795</v>
      </c>
      <c r="G2186">
        <v>0.42267900368077599</v>
      </c>
      <c r="H2186">
        <v>0.356264830056223</v>
      </c>
      <c r="I2186">
        <v>0.36061014629940402</v>
      </c>
      <c r="J2186">
        <v>0.33057661624160201</v>
      </c>
      <c r="K2186">
        <v>0.30297826578107301</v>
      </c>
      <c r="L2186">
        <v>892.75578555210302</v>
      </c>
      <c r="M2186">
        <v>17.018983268455699</v>
      </c>
      <c r="N2186">
        <v>55.547613576481403</v>
      </c>
      <c r="O2186">
        <v>51.748292085223703</v>
      </c>
      <c r="P2186">
        <v>-5.7058919708422397E-2</v>
      </c>
      <c r="Q2186">
        <v>0.30606431676263601</v>
      </c>
      <c r="R2186">
        <v>0.98258446636900398</v>
      </c>
      <c r="S2186" t="s">
        <v>6018</v>
      </c>
      <c r="T2186" t="s">
        <v>7662</v>
      </c>
      <c r="U2186" t="s">
        <v>7662</v>
      </c>
      <c r="V2186" t="s">
        <v>7662</v>
      </c>
      <c r="W2186">
        <v>1</v>
      </c>
      <c r="X2186" t="s">
        <v>9848</v>
      </c>
      <c r="Y2186">
        <v>0.60676570564566579</v>
      </c>
      <c r="Z2186" t="str">
        <f>HYPERLINK("Melting_Curves/meltCurve_sp_Q8WUN7_UBTD2_HUMAN_.pdf", "Melting_Curves/meltCurve_sp_Q8WUN7_UBTD2_HUMAN_.pdf")</f>
        <v>Melting_Curves/meltCurve_sp_Q8WUN7_UBTD2_HUMAN_.pdf</v>
      </c>
      <c r="AA2186" t="s">
        <v>13647</v>
      </c>
      <c r="AB2186" t="s">
        <v>17426</v>
      </c>
    </row>
    <row r="2187" spans="1:28" x14ac:dyDescent="0.25">
      <c r="A2187" t="s">
        <v>2191</v>
      </c>
      <c r="B2187">
        <v>0.98876768158843997</v>
      </c>
      <c r="C2187">
        <v>1.18512544597175</v>
      </c>
      <c r="D2187">
        <v>0.99105738107055796</v>
      </c>
      <c r="E2187">
        <v>0.82542191660799202</v>
      </c>
      <c r="F2187">
        <v>0.88548447114480699</v>
      </c>
      <c r="G2187">
        <v>0.63528882974180501</v>
      </c>
      <c r="H2187">
        <v>0.46573170618153897</v>
      </c>
      <c r="I2187">
        <v>0.49624238123963998</v>
      </c>
      <c r="J2187">
        <v>0.70960481884912996</v>
      </c>
      <c r="K2187">
        <v>0.72993066797630801</v>
      </c>
      <c r="L2187">
        <v>1367.19132458595</v>
      </c>
      <c r="M2187">
        <v>25.818269588012701</v>
      </c>
      <c r="O2187">
        <v>52.639789530223403</v>
      </c>
      <c r="P2187">
        <v>-4.9147445757002001E-2</v>
      </c>
      <c r="Q2187">
        <v>0.59918606340735903</v>
      </c>
      <c r="R2187">
        <v>0.75593786146198205</v>
      </c>
      <c r="S2187" t="s">
        <v>6019</v>
      </c>
      <c r="T2187" t="s">
        <v>7662</v>
      </c>
      <c r="U2187" t="s">
        <v>7662</v>
      </c>
      <c r="V2187" t="s">
        <v>7662</v>
      </c>
      <c r="W2187">
        <v>2</v>
      </c>
      <c r="X2187" t="s">
        <v>9849</v>
      </c>
      <c r="Y2187">
        <v>0.7757344834552905</v>
      </c>
      <c r="Z2187" t="str">
        <f>HYPERLINK("Melting_Curves/meltCurve_sp_Q8WUR7_CO040_HUMAN_.pdf", "Melting_Curves/meltCurve_sp_Q8WUR7_CO040_HUMAN_.pdf")</f>
        <v>Melting_Curves/meltCurve_sp_Q8WUR7_CO040_HUMAN_.pdf</v>
      </c>
      <c r="AA2187" t="s">
        <v>13648</v>
      </c>
      <c r="AB2187" t="s">
        <v>17427</v>
      </c>
    </row>
    <row r="2188" spans="1:28" x14ac:dyDescent="0.25">
      <c r="A2188" t="s">
        <v>2192</v>
      </c>
      <c r="B2188">
        <v>0.98876768158843997</v>
      </c>
      <c r="C2188">
        <v>1.1018528182579601</v>
      </c>
      <c r="D2188">
        <v>1.0875480640383799</v>
      </c>
      <c r="E2188">
        <v>1.0188175604976599</v>
      </c>
      <c r="F2188">
        <v>0.92148235966356995</v>
      </c>
      <c r="G2188">
        <v>0.57606772448022003</v>
      </c>
      <c r="H2188">
        <v>0.460905297636995</v>
      </c>
      <c r="I2188">
        <v>0.47195533529955602</v>
      </c>
      <c r="J2188">
        <v>0.53140804586906099</v>
      </c>
      <c r="K2188">
        <v>0.51731676126165904</v>
      </c>
      <c r="L2188">
        <v>2666.0905198925798</v>
      </c>
      <c r="M2188">
        <v>48.530065746269401</v>
      </c>
      <c r="N2188">
        <v>60.8466679616702</v>
      </c>
      <c r="O2188">
        <v>54.843842778551199</v>
      </c>
      <c r="P2188">
        <v>-0.111602253047224</v>
      </c>
      <c r="Q2188">
        <v>0.495513529326019</v>
      </c>
      <c r="R2188">
        <v>0.96707803042027696</v>
      </c>
      <c r="S2188" t="s">
        <v>6020</v>
      </c>
      <c r="T2188" t="s">
        <v>7662</v>
      </c>
      <c r="U2188" t="s">
        <v>7662</v>
      </c>
      <c r="V2188" t="s">
        <v>7662</v>
      </c>
      <c r="W2188">
        <v>4</v>
      </c>
      <c r="X2188" t="s">
        <v>9850</v>
      </c>
      <c r="Y2188">
        <v>0.74799256216783994</v>
      </c>
      <c r="Z2188" t="str">
        <f>HYPERLINK("Melting_Curves/meltCurve_sp_Q8WUW1_BRK1_HUMAN_.pdf", "Melting_Curves/meltCurve_sp_Q8WUW1_BRK1_HUMAN_.pdf")</f>
        <v>Melting_Curves/meltCurve_sp_Q8WUW1_BRK1_HUMAN_.pdf</v>
      </c>
      <c r="AA2188" t="s">
        <v>13649</v>
      </c>
      <c r="AB2188" t="s">
        <v>17428</v>
      </c>
    </row>
    <row r="2189" spans="1:28" x14ac:dyDescent="0.25">
      <c r="A2189" t="s">
        <v>2193</v>
      </c>
      <c r="B2189">
        <v>0.98876768158843997</v>
      </c>
      <c r="C2189">
        <v>1.36558055056119</v>
      </c>
      <c r="D2189">
        <v>1.2092278406008501</v>
      </c>
      <c r="E2189">
        <v>1.2876133840847399</v>
      </c>
      <c r="F2189">
        <v>0.68578506718779297</v>
      </c>
      <c r="G2189">
        <v>0.71751005728508099</v>
      </c>
      <c r="H2189">
        <v>0.63284440373264095</v>
      </c>
      <c r="I2189">
        <v>0.45659917662861599</v>
      </c>
      <c r="J2189">
        <v>0.22616903262867399</v>
      </c>
      <c r="K2189">
        <v>0.149852108320532</v>
      </c>
      <c r="L2189">
        <v>877.91210093895097</v>
      </c>
      <c r="M2189">
        <v>14.109562730542301</v>
      </c>
      <c r="N2189">
        <v>62.221070755450597</v>
      </c>
      <c r="O2189">
        <v>61.011229181458503</v>
      </c>
      <c r="P2189">
        <v>-5.7822872386491697E-2</v>
      </c>
      <c r="Q2189">
        <v>0</v>
      </c>
      <c r="R2189">
        <v>0.78934170336810905</v>
      </c>
      <c r="S2189" t="s">
        <v>6021</v>
      </c>
      <c r="T2189" t="s">
        <v>7662</v>
      </c>
      <c r="U2189" t="s">
        <v>7662</v>
      </c>
      <c r="V2189" t="s">
        <v>7662</v>
      </c>
      <c r="W2189">
        <v>3</v>
      </c>
      <c r="X2189" t="s">
        <v>9851</v>
      </c>
      <c r="Y2189">
        <v>0.7344935655739141</v>
      </c>
      <c r="Z2189" t="str">
        <f>HYPERLINK("Melting_Curves/meltCurve_sp_Q8WUX9_CHMP7_HUMAN_.pdf", "Melting_Curves/meltCurve_sp_Q8WUX9_CHMP7_HUMAN_.pdf")</f>
        <v>Melting_Curves/meltCurve_sp_Q8WUX9_CHMP7_HUMAN_.pdf</v>
      </c>
      <c r="AA2189" t="s">
        <v>13650</v>
      </c>
      <c r="AB2189" t="s">
        <v>17429</v>
      </c>
    </row>
    <row r="2190" spans="1:28" x14ac:dyDescent="0.25">
      <c r="A2190" t="s">
        <v>2194</v>
      </c>
      <c r="B2190">
        <v>0.98876768158843997</v>
      </c>
      <c r="C2190">
        <v>1.1226618880627199</v>
      </c>
      <c r="D2190">
        <v>0.72431389478098596</v>
      </c>
      <c r="E2190">
        <v>0.61751233177001197</v>
      </c>
      <c r="F2190">
        <v>0.61202377375466599</v>
      </c>
      <c r="G2190">
        <v>0.36184321540324799</v>
      </c>
      <c r="H2190">
        <v>0.19731090456966899</v>
      </c>
      <c r="I2190">
        <v>0.191179510675242</v>
      </c>
      <c r="J2190">
        <v>0.236071080784962</v>
      </c>
      <c r="K2190">
        <v>0.256809450887791</v>
      </c>
      <c r="L2190">
        <v>681.72412926103596</v>
      </c>
      <c r="M2190">
        <v>13.2786142963458</v>
      </c>
      <c r="N2190">
        <v>53.149095515280102</v>
      </c>
      <c r="O2190">
        <v>50.217494453953599</v>
      </c>
      <c r="P2190">
        <v>-5.4095260389063399E-2</v>
      </c>
      <c r="Q2190">
        <v>0.18181584570908901</v>
      </c>
      <c r="R2190">
        <v>0.92910704728750004</v>
      </c>
      <c r="S2190" t="s">
        <v>6022</v>
      </c>
      <c r="T2190" t="s">
        <v>7662</v>
      </c>
      <c r="U2190" t="s">
        <v>7662</v>
      </c>
      <c r="V2190" t="s">
        <v>7662</v>
      </c>
      <c r="W2190">
        <v>5</v>
      </c>
      <c r="X2190" t="s">
        <v>9852</v>
      </c>
      <c r="Y2190">
        <v>0.51368328171511768</v>
      </c>
      <c r="Z2190" t="str">
        <f>HYPERLINK("Melting_Curves/meltCurve_sp_Q8WV28_BLNK_HUMAN_.pdf", "Melting_Curves/meltCurve_sp_Q8WV28_BLNK_HUMAN_.pdf")</f>
        <v>Melting_Curves/meltCurve_sp_Q8WV28_BLNK_HUMAN_.pdf</v>
      </c>
      <c r="AA2190" t="s">
        <v>13651</v>
      </c>
      <c r="AB2190" t="s">
        <v>17430</v>
      </c>
    </row>
    <row r="2191" spans="1:28" x14ac:dyDescent="0.25">
      <c r="A2191" t="s">
        <v>2195</v>
      </c>
      <c r="B2191">
        <v>0.98876768158843997</v>
      </c>
      <c r="C2191">
        <v>1.06420922208519</v>
      </c>
      <c r="D2191">
        <v>0.90552641554487601</v>
      </c>
      <c r="E2191">
        <v>0.71807003307537698</v>
      </c>
      <c r="F2191">
        <v>0.64466661147737503</v>
      </c>
      <c r="G2191">
        <v>0.48156836271328002</v>
      </c>
      <c r="H2191">
        <v>0.32859852237171699</v>
      </c>
      <c r="I2191">
        <v>0.46485834937388698</v>
      </c>
      <c r="J2191">
        <v>0.35409287407526602</v>
      </c>
      <c r="K2191">
        <v>0.42678452048881299</v>
      </c>
      <c r="L2191">
        <v>906.29682269247905</v>
      </c>
      <c r="M2191">
        <v>17.7149474176592</v>
      </c>
      <c r="N2191">
        <v>55.764372361845098</v>
      </c>
      <c r="O2191">
        <v>50.521433998200699</v>
      </c>
      <c r="P2191">
        <v>-5.3984745941943899E-2</v>
      </c>
      <c r="Q2191">
        <v>0.384193832131837</v>
      </c>
      <c r="R2191">
        <v>0.96076581034790898</v>
      </c>
      <c r="S2191" t="s">
        <v>6023</v>
      </c>
      <c r="T2191" t="s">
        <v>7662</v>
      </c>
      <c r="U2191" t="s">
        <v>7662</v>
      </c>
      <c r="V2191" t="s">
        <v>7662</v>
      </c>
      <c r="W2191">
        <v>1</v>
      </c>
      <c r="X2191" t="s">
        <v>9853</v>
      </c>
      <c r="Y2191">
        <v>0.62392924678911466</v>
      </c>
      <c r="Z2191" t="str">
        <f>HYPERLINK("Melting_Curves/meltCurve_sp_Q8WV41_SNX33_HUMAN_.pdf", "Melting_Curves/meltCurve_sp_Q8WV41_SNX33_HUMAN_.pdf")</f>
        <v>Melting_Curves/meltCurve_sp_Q8WV41_SNX33_HUMAN_.pdf</v>
      </c>
      <c r="AA2191" t="s">
        <v>13652</v>
      </c>
      <c r="AB2191" t="s">
        <v>17431</v>
      </c>
    </row>
    <row r="2192" spans="1:28" x14ac:dyDescent="0.25">
      <c r="A2192" t="s">
        <v>2196</v>
      </c>
      <c r="B2192">
        <v>0.98876768158843997</v>
      </c>
      <c r="C2192">
        <v>0.90214532799665603</v>
      </c>
      <c r="D2192">
        <v>0.82261338962519404</v>
      </c>
      <c r="E2192">
        <v>0.50271613571395002</v>
      </c>
      <c r="F2192">
        <v>0.26867771870868101</v>
      </c>
      <c r="G2192">
        <v>0.178648782487175</v>
      </c>
      <c r="H2192">
        <v>0.149924835199087</v>
      </c>
      <c r="I2192">
        <v>8.8627306308596596E-2</v>
      </c>
      <c r="J2192">
        <v>5.9722572306135903E-2</v>
      </c>
      <c r="K2192">
        <v>5.3745282876766803E-2</v>
      </c>
      <c r="L2192">
        <v>825.21002583003406</v>
      </c>
      <c r="M2192">
        <v>16.655585639065499</v>
      </c>
      <c r="N2192">
        <v>49.975298843930901</v>
      </c>
      <c r="O2192">
        <v>48.847843962886301</v>
      </c>
      <c r="P2192">
        <v>-7.9560011206958894E-2</v>
      </c>
      <c r="Q2192">
        <v>6.6721567560265801E-2</v>
      </c>
      <c r="R2192">
        <v>0.99532420922322695</v>
      </c>
      <c r="S2192" t="s">
        <v>6024</v>
      </c>
      <c r="T2192" t="s">
        <v>7662</v>
      </c>
      <c r="U2192" t="s">
        <v>7662</v>
      </c>
      <c r="V2192" t="s">
        <v>7662</v>
      </c>
      <c r="W2192">
        <v>4</v>
      </c>
      <c r="X2192" t="s">
        <v>9854</v>
      </c>
      <c r="Y2192">
        <v>0.38226878287644489</v>
      </c>
      <c r="Z2192" t="str">
        <f>HYPERLINK("Melting_Curves/meltCurve_sp_Q8WV74_NUDT8_HUMAN_.pdf", "Melting_Curves/meltCurve_sp_Q8WV74_NUDT8_HUMAN_.pdf")</f>
        <v>Melting_Curves/meltCurve_sp_Q8WV74_NUDT8_HUMAN_.pdf</v>
      </c>
      <c r="AA2192" t="s">
        <v>13653</v>
      </c>
      <c r="AB2192" t="s">
        <v>17432</v>
      </c>
    </row>
    <row r="2193" spans="1:28" x14ac:dyDescent="0.25">
      <c r="A2193" t="s">
        <v>2197</v>
      </c>
      <c r="B2193">
        <v>0.98876768158843997</v>
      </c>
      <c r="C2193">
        <v>1.25953863190521</v>
      </c>
      <c r="D2193">
        <v>0.93882761707078699</v>
      </c>
      <c r="E2193">
        <v>0.88126282767886899</v>
      </c>
      <c r="F2193">
        <v>0.98417980903459301</v>
      </c>
      <c r="G2193">
        <v>0.641974368277342</v>
      </c>
      <c r="H2193">
        <v>0.489756352152871</v>
      </c>
      <c r="I2193">
        <v>0.674620235916783</v>
      </c>
      <c r="J2193">
        <v>1.11957529259248</v>
      </c>
      <c r="K2193">
        <v>1.1592729500138701</v>
      </c>
      <c r="L2193">
        <v>1474.1413938968601</v>
      </c>
      <c r="M2193">
        <v>29.559183332997701</v>
      </c>
      <c r="O2193">
        <v>49.644239584183403</v>
      </c>
      <c r="P2193">
        <v>-2.45915393744554E-2</v>
      </c>
      <c r="Q2193">
        <v>0.83479646744824199</v>
      </c>
      <c r="R2193">
        <v>0.160909709667547</v>
      </c>
      <c r="S2193" t="s">
        <v>6025</v>
      </c>
      <c r="T2193" t="s">
        <v>7662</v>
      </c>
      <c r="U2193" t="s">
        <v>7662</v>
      </c>
      <c r="V2193" t="s">
        <v>7662</v>
      </c>
      <c r="W2193">
        <v>3</v>
      </c>
      <c r="X2193" t="s">
        <v>9855</v>
      </c>
      <c r="Y2193">
        <v>0.89020380836957969</v>
      </c>
      <c r="Z2193" t="str">
        <f>HYPERLINK("Melting_Curves/meltCurve_sp_Q8WV99_2_ZFN2B_HUMAN_.pdf", "Melting_Curves/meltCurve_sp_Q8WV99_2_ZFN2B_HUMAN_.pdf")</f>
        <v>Melting_Curves/meltCurve_sp_Q8WV99_2_ZFN2B_HUMAN_.pdf</v>
      </c>
      <c r="AA2193" t="s">
        <v>13654</v>
      </c>
      <c r="AB2193" t="s">
        <v>17433</v>
      </c>
    </row>
    <row r="2194" spans="1:28" x14ac:dyDescent="0.25">
      <c r="A2194" t="s">
        <v>2198</v>
      </c>
      <c r="B2194">
        <v>0.98876768158843997</v>
      </c>
      <c r="C2194">
        <v>0.68444616779706502</v>
      </c>
      <c r="D2194">
        <v>0.75115984097351396</v>
      </c>
      <c r="E2194">
        <v>0.80591045819508</v>
      </c>
      <c r="F2194">
        <v>0.66336310381522701</v>
      </c>
      <c r="G2194">
        <v>0.55352332004437999</v>
      </c>
      <c r="H2194">
        <v>0.389266761622025</v>
      </c>
      <c r="I2194">
        <v>0.319888494450417</v>
      </c>
      <c r="J2194">
        <v>0.25139617106093698</v>
      </c>
      <c r="K2194">
        <v>0.22821007579386099</v>
      </c>
      <c r="L2194">
        <v>338.21741169661101</v>
      </c>
      <c r="M2194">
        <v>5.9258572213692</v>
      </c>
      <c r="N2194">
        <v>57.074849942667299</v>
      </c>
      <c r="O2194">
        <v>51.588668557762901</v>
      </c>
      <c r="P2194">
        <v>-2.8814062633967501E-2</v>
      </c>
      <c r="Q2194">
        <v>0</v>
      </c>
      <c r="R2194">
        <v>0.893346057222701</v>
      </c>
      <c r="S2194" t="s">
        <v>6026</v>
      </c>
      <c r="T2194" t="s">
        <v>7662</v>
      </c>
      <c r="U2194" t="s">
        <v>7662</v>
      </c>
      <c r="V2194" t="s">
        <v>7662</v>
      </c>
      <c r="W2194">
        <v>1</v>
      </c>
      <c r="X2194" t="s">
        <v>9856</v>
      </c>
      <c r="Y2194">
        <v>0.57123977419057936</v>
      </c>
      <c r="Z2194" t="str">
        <f>HYPERLINK("Melting_Curves/meltCurve_sp_Q8WVB3_HEXDC_HUMAN_.pdf", "Melting_Curves/meltCurve_sp_Q8WVB3_HEXDC_HUMAN_.pdf")</f>
        <v>Melting_Curves/meltCurve_sp_Q8WVB3_HEXDC_HUMAN_.pdf</v>
      </c>
      <c r="AA2194" t="s">
        <v>13655</v>
      </c>
      <c r="AB2194" t="s">
        <v>17434</v>
      </c>
    </row>
    <row r="2195" spans="1:28" x14ac:dyDescent="0.25">
      <c r="A2195" t="s">
        <v>2199</v>
      </c>
      <c r="B2195">
        <v>0.98876768158843997</v>
      </c>
      <c r="C2195">
        <v>0.98266957338461802</v>
      </c>
      <c r="D2195">
        <v>0.90278022012523396</v>
      </c>
      <c r="E2195">
        <v>0.71598834676132705</v>
      </c>
      <c r="F2195">
        <v>0.72916968963008399</v>
      </c>
      <c r="G2195">
        <v>0.50967586152203503</v>
      </c>
      <c r="H2195">
        <v>0.43134815410048399</v>
      </c>
      <c r="I2195">
        <v>0.50093198549073303</v>
      </c>
      <c r="J2195">
        <v>0.62530292859322401</v>
      </c>
      <c r="K2195">
        <v>0.73933032188792802</v>
      </c>
      <c r="L2195">
        <v>1031.01681932425</v>
      </c>
      <c r="M2195">
        <v>21.053287406099301</v>
      </c>
      <c r="O2195">
        <v>48.536374583487202</v>
      </c>
      <c r="P2195">
        <v>-4.6880780880871199E-2</v>
      </c>
      <c r="Q2195">
        <v>0.567694645199746</v>
      </c>
      <c r="R2195">
        <v>0.79816830618254497</v>
      </c>
      <c r="S2195" t="s">
        <v>6027</v>
      </c>
      <c r="T2195" t="s">
        <v>7662</v>
      </c>
      <c r="U2195" t="s">
        <v>7662</v>
      </c>
      <c r="V2195" t="s">
        <v>7662</v>
      </c>
      <c r="W2195">
        <v>10</v>
      </c>
      <c r="X2195" t="s">
        <v>9857</v>
      </c>
      <c r="Y2195">
        <v>0.70243412153313023</v>
      </c>
      <c r="Z2195" t="str">
        <f>HYPERLINK("Melting_Curves/meltCurve_sp_Q8WVC0_LEO1_HUMAN_.pdf", "Melting_Curves/meltCurve_sp_Q8WVC0_LEO1_HUMAN_.pdf")</f>
        <v>Melting_Curves/meltCurve_sp_Q8WVC0_LEO1_HUMAN_.pdf</v>
      </c>
      <c r="AA2195" t="s">
        <v>13656</v>
      </c>
      <c r="AB2195" t="s">
        <v>17435</v>
      </c>
    </row>
    <row r="2196" spans="1:28" x14ac:dyDescent="0.25">
      <c r="A2196" t="s">
        <v>2200</v>
      </c>
      <c r="B2196">
        <v>0.98876768158843997</v>
      </c>
      <c r="C2196">
        <v>1.22461433170053</v>
      </c>
      <c r="D2196">
        <v>0.88182464553310003</v>
      </c>
      <c r="E2196">
        <v>0.77545060389117504</v>
      </c>
      <c r="F2196">
        <v>0.79927288794873996</v>
      </c>
      <c r="G2196">
        <v>0.35288017265703198</v>
      </c>
      <c r="H2196">
        <v>0.174871895726223</v>
      </c>
      <c r="I2196">
        <v>0.14143961893909601</v>
      </c>
      <c r="J2196">
        <v>0.208763919142921</v>
      </c>
      <c r="K2196">
        <v>0.18982700534182401</v>
      </c>
      <c r="L2196">
        <v>1184.7498538043001</v>
      </c>
      <c r="M2196">
        <v>21.766350447922299</v>
      </c>
      <c r="N2196">
        <v>55.324934730586001</v>
      </c>
      <c r="O2196">
        <v>53.977156440114904</v>
      </c>
      <c r="P2196">
        <v>-8.5859702561388307E-2</v>
      </c>
      <c r="Q2196">
        <v>0.14834511414572299</v>
      </c>
      <c r="R2196">
        <v>0.93523157421896796</v>
      </c>
      <c r="S2196" t="s">
        <v>6028</v>
      </c>
      <c r="T2196" t="s">
        <v>7662</v>
      </c>
      <c r="U2196" t="s">
        <v>7662</v>
      </c>
      <c r="V2196" t="s">
        <v>7662</v>
      </c>
      <c r="W2196">
        <v>6</v>
      </c>
      <c r="X2196" t="s">
        <v>9858</v>
      </c>
      <c r="Y2196">
        <v>0.56802216212926704</v>
      </c>
      <c r="Z2196" t="str">
        <f>HYPERLINK("Melting_Curves/meltCurve_sp_Q8WVJ2_NUDC2_HUMAN_.pdf", "Melting_Curves/meltCurve_sp_Q8WVJ2_NUDC2_HUMAN_.pdf")</f>
        <v>Melting_Curves/meltCurve_sp_Q8WVJ2_NUDC2_HUMAN_.pdf</v>
      </c>
      <c r="AA2196" t="s">
        <v>13657</v>
      </c>
      <c r="AB2196" t="s">
        <v>17436</v>
      </c>
    </row>
    <row r="2197" spans="1:28" x14ac:dyDescent="0.25">
      <c r="A2197" t="s">
        <v>2201</v>
      </c>
      <c r="B2197">
        <v>0.98876768158843997</v>
      </c>
      <c r="C2197">
        <v>0.93401968036654204</v>
      </c>
      <c r="D2197">
        <v>0.79259092006943399</v>
      </c>
      <c r="E2197">
        <v>0.48363046966047302</v>
      </c>
      <c r="F2197">
        <v>0.194875018961228</v>
      </c>
      <c r="G2197">
        <v>0.112611438568094</v>
      </c>
      <c r="H2197">
        <v>6.9865451182203997E-2</v>
      </c>
      <c r="I2197">
        <v>6.8167961708001101E-2</v>
      </c>
      <c r="J2197">
        <v>5.9386971837228998E-2</v>
      </c>
      <c r="K2197">
        <v>5.08341801468035E-2</v>
      </c>
      <c r="L2197">
        <v>966.49772731425799</v>
      </c>
      <c r="M2197">
        <v>19.656698100526398</v>
      </c>
      <c r="N2197">
        <v>49.4316532883132</v>
      </c>
      <c r="O2197">
        <v>48.668473661444501</v>
      </c>
      <c r="P2197">
        <v>-9.5966514101049893E-2</v>
      </c>
      <c r="Q2197">
        <v>4.9610288597914498E-2</v>
      </c>
      <c r="R2197">
        <v>0.99755898520338204</v>
      </c>
      <c r="S2197" t="s">
        <v>6029</v>
      </c>
      <c r="T2197" t="s">
        <v>7662</v>
      </c>
      <c r="U2197" t="s">
        <v>7662</v>
      </c>
      <c r="V2197" t="s">
        <v>7662</v>
      </c>
      <c r="W2197">
        <v>11</v>
      </c>
      <c r="X2197" t="s">
        <v>9859</v>
      </c>
      <c r="Y2197">
        <v>0.35384255823023131</v>
      </c>
      <c r="Z2197" t="str">
        <f>HYPERLINK("Melting_Curves/meltCurve_sp_Q8WVM8_SCFD1_HUMAN_.pdf", "Melting_Curves/meltCurve_sp_Q8WVM8_SCFD1_HUMAN_.pdf")</f>
        <v>Melting_Curves/meltCurve_sp_Q8WVM8_SCFD1_HUMAN_.pdf</v>
      </c>
      <c r="AA2197" t="s">
        <v>13658</v>
      </c>
      <c r="AB2197" t="s">
        <v>17437</v>
      </c>
    </row>
    <row r="2198" spans="1:28" x14ac:dyDescent="0.25">
      <c r="A2198" t="s">
        <v>2202</v>
      </c>
      <c r="B2198">
        <v>0.98876768158843997</v>
      </c>
      <c r="C2198">
        <v>1.2222057622750899</v>
      </c>
      <c r="D2198">
        <v>0.97887323579241503</v>
      </c>
      <c r="E2198">
        <v>0.77536302009857605</v>
      </c>
      <c r="F2198">
        <v>0.60028142492481495</v>
      </c>
      <c r="G2198">
        <v>0.463716199342385</v>
      </c>
      <c r="H2198">
        <v>0.275567625060681</v>
      </c>
      <c r="I2198">
        <v>0.370924395175391</v>
      </c>
      <c r="J2198">
        <v>0.47776615527895899</v>
      </c>
      <c r="K2198">
        <v>0.56139462675101304</v>
      </c>
      <c r="L2198">
        <v>1504.54994550895</v>
      </c>
      <c r="M2198">
        <v>29.470290617482998</v>
      </c>
      <c r="N2198">
        <v>54.602432535988903</v>
      </c>
      <c r="O2198">
        <v>50.819764761135801</v>
      </c>
      <c r="P2198">
        <v>-8.3161238269801402E-2</v>
      </c>
      <c r="Q2198">
        <v>0.426377558968143</v>
      </c>
      <c r="R2198">
        <v>0.88273653624389703</v>
      </c>
      <c r="S2198" t="s">
        <v>6030</v>
      </c>
      <c r="T2198" t="s">
        <v>7662</v>
      </c>
      <c r="U2198" t="s">
        <v>7662</v>
      </c>
      <c r="V2198" t="s">
        <v>7662</v>
      </c>
      <c r="W2198">
        <v>3</v>
      </c>
      <c r="X2198" t="s">
        <v>9860</v>
      </c>
      <c r="Y2198">
        <v>0.64146200747711468</v>
      </c>
      <c r="Z2198" t="str">
        <f>HYPERLINK("Melting_Curves/meltCurve_sp_Q8WVT3_TPC12_HUMAN_.pdf", "Melting_Curves/meltCurve_sp_Q8WVT3_TPC12_HUMAN_.pdf")</f>
        <v>Melting_Curves/meltCurve_sp_Q8WVT3_TPC12_HUMAN_.pdf</v>
      </c>
      <c r="AA2198" t="s">
        <v>13659</v>
      </c>
      <c r="AB2198" t="s">
        <v>17438</v>
      </c>
    </row>
    <row r="2199" spans="1:28" x14ac:dyDescent="0.25">
      <c r="A2199" t="s">
        <v>2203</v>
      </c>
      <c r="B2199">
        <v>0.98876768158843997</v>
      </c>
      <c r="C2199">
        <v>1.0786132897521401</v>
      </c>
      <c r="D2199">
        <v>0.81535633037660804</v>
      </c>
      <c r="E2199">
        <v>0.48212998748334501</v>
      </c>
      <c r="F2199">
        <v>0.197716022042495</v>
      </c>
      <c r="G2199">
        <v>0.116279915250335</v>
      </c>
      <c r="H2199">
        <v>6.6168574007260506E-2</v>
      </c>
      <c r="I2199">
        <v>4.6405021352454397E-2</v>
      </c>
      <c r="J2199">
        <v>6.04692438651682E-2</v>
      </c>
      <c r="K2199">
        <v>4.3201494431803003E-2</v>
      </c>
      <c r="L2199">
        <v>1158.1139041019501</v>
      </c>
      <c r="M2199">
        <v>23.426859184440701</v>
      </c>
      <c r="N2199">
        <v>49.672340440066002</v>
      </c>
      <c r="O2199">
        <v>49.079327929186199</v>
      </c>
      <c r="P2199">
        <v>-0.113022719032949</v>
      </c>
      <c r="Q2199">
        <v>5.2885201977755703E-2</v>
      </c>
      <c r="R2199">
        <v>0.99092701748718504</v>
      </c>
      <c r="S2199" t="s">
        <v>6031</v>
      </c>
      <c r="T2199" t="s">
        <v>7662</v>
      </c>
      <c r="U2199" t="s">
        <v>7662</v>
      </c>
      <c r="V2199" t="s">
        <v>7662</v>
      </c>
      <c r="W2199">
        <v>3</v>
      </c>
      <c r="X2199" t="s">
        <v>9861</v>
      </c>
      <c r="Y2199">
        <v>0.36037342593027832</v>
      </c>
      <c r="Z2199" t="str">
        <f>HYPERLINK("Melting_Curves/meltCurve_sp_Q8WVY7_UBCP1_HUMAN_.pdf", "Melting_Curves/meltCurve_sp_Q8WVY7_UBCP1_HUMAN_.pdf")</f>
        <v>Melting_Curves/meltCurve_sp_Q8WVY7_UBCP1_HUMAN_.pdf</v>
      </c>
      <c r="AA2199" t="s">
        <v>13660</v>
      </c>
      <c r="AB2199" t="s">
        <v>17439</v>
      </c>
    </row>
    <row r="2200" spans="1:28" x14ac:dyDescent="0.25">
      <c r="A2200" t="s">
        <v>2204</v>
      </c>
      <c r="B2200">
        <v>0.98876768158843997</v>
      </c>
      <c r="C2200">
        <v>1.2311634370887801</v>
      </c>
      <c r="D2200">
        <v>0.89876495162074799</v>
      </c>
      <c r="E2200">
        <v>0.777853839614015</v>
      </c>
      <c r="F2200">
        <v>1.05512832431149</v>
      </c>
      <c r="G2200">
        <v>0.76956489027863895</v>
      </c>
      <c r="H2200">
        <v>0.578808732521917</v>
      </c>
      <c r="I2200">
        <v>0.73966396847513505</v>
      </c>
      <c r="J2200">
        <v>0.83918137221159605</v>
      </c>
      <c r="K2200">
        <v>1.08524781857901</v>
      </c>
      <c r="L2200">
        <v>11478.6906378165</v>
      </c>
      <c r="M2200">
        <v>250</v>
      </c>
      <c r="O2200">
        <v>45.911824841928201</v>
      </c>
      <c r="P2200">
        <v>-0.22452803389821099</v>
      </c>
      <c r="Q2200">
        <v>0.83506413386930101</v>
      </c>
      <c r="R2200">
        <v>0.27438725509776501</v>
      </c>
      <c r="S2200" t="s">
        <v>6032</v>
      </c>
      <c r="T2200" t="s">
        <v>7662</v>
      </c>
      <c r="U2200" t="s">
        <v>7662</v>
      </c>
      <c r="V2200" t="s">
        <v>7662</v>
      </c>
      <c r="W2200">
        <v>5</v>
      </c>
      <c r="X2200" t="s">
        <v>9862</v>
      </c>
      <c r="Y2200">
        <v>0.86759597382922171</v>
      </c>
      <c r="Z2200" t="str">
        <f>HYPERLINK("Melting_Curves/meltCurve_sp_Q8WW12_PCNP_HUMAN_.pdf", "Melting_Curves/meltCurve_sp_Q8WW12_PCNP_HUMAN_.pdf")</f>
        <v>Melting_Curves/meltCurve_sp_Q8WW12_PCNP_HUMAN_.pdf</v>
      </c>
      <c r="AA2200" t="s">
        <v>13661</v>
      </c>
      <c r="AB2200" t="s">
        <v>17440</v>
      </c>
    </row>
    <row r="2201" spans="1:28" x14ac:dyDescent="0.25">
      <c r="A2201" t="s">
        <v>2205</v>
      </c>
      <c r="B2201">
        <v>0.98876768158843997</v>
      </c>
      <c r="C2201">
        <v>1.0764243408913301</v>
      </c>
      <c r="D2201">
        <v>0.79475066782092796</v>
      </c>
      <c r="E2201">
        <v>0.63989352703551705</v>
      </c>
      <c r="F2201">
        <v>0.27591639632836201</v>
      </c>
      <c r="G2201">
        <v>7.7856523895582105E-2</v>
      </c>
      <c r="H2201">
        <v>4.91396732317151E-2</v>
      </c>
      <c r="I2201">
        <v>3.7028642728308997E-2</v>
      </c>
      <c r="J2201">
        <v>3.9406931408044001E-2</v>
      </c>
      <c r="K2201">
        <v>3.6623450538106797E-2</v>
      </c>
      <c r="L2201">
        <v>1073.56757948329</v>
      </c>
      <c r="M2201">
        <v>21.185447748764901</v>
      </c>
      <c r="N2201">
        <v>50.783746368463497</v>
      </c>
      <c r="O2201">
        <v>50.229736808322599</v>
      </c>
      <c r="P2201">
        <v>-0.103102185141049</v>
      </c>
      <c r="Q2201">
        <v>2.2222904640471702E-2</v>
      </c>
      <c r="R2201">
        <v>0.98464813618526503</v>
      </c>
      <c r="S2201" t="s">
        <v>6033</v>
      </c>
      <c r="T2201" t="s">
        <v>7662</v>
      </c>
      <c r="U2201" t="s">
        <v>7662</v>
      </c>
      <c r="V2201" t="s">
        <v>7662</v>
      </c>
      <c r="W2201">
        <v>15</v>
      </c>
      <c r="X2201" t="s">
        <v>9863</v>
      </c>
      <c r="Y2201">
        <v>0.38230897080849757</v>
      </c>
      <c r="Z2201" t="str">
        <f>HYPERLINK("Melting_Curves/meltCurve_sp_Q8WW59_SPRY4_HUMAN_.pdf", "Melting_Curves/meltCurve_sp_Q8WW59_SPRY4_HUMAN_.pdf")</f>
        <v>Melting_Curves/meltCurve_sp_Q8WW59_SPRY4_HUMAN_.pdf</v>
      </c>
      <c r="AA2201" t="s">
        <v>13662</v>
      </c>
      <c r="AB2201" t="s">
        <v>17441</v>
      </c>
    </row>
    <row r="2202" spans="1:28" x14ac:dyDescent="0.25">
      <c r="A2202" t="s">
        <v>2206</v>
      </c>
      <c r="B2202">
        <v>0.98876768158843997</v>
      </c>
      <c r="C2202">
        <v>0.91508140955725903</v>
      </c>
      <c r="D2202">
        <v>0.83163861614995505</v>
      </c>
      <c r="E2202">
        <v>0.603513803314911</v>
      </c>
      <c r="F2202">
        <v>0.219442840861895</v>
      </c>
      <c r="G2202">
        <v>7.9839247131534397E-2</v>
      </c>
      <c r="H2202">
        <v>5.3180670911100202E-2</v>
      </c>
      <c r="I2202">
        <v>5.1099855250673301E-2</v>
      </c>
      <c r="J2202">
        <v>6.0663515218915498E-2</v>
      </c>
      <c r="K2202">
        <v>4.3691476201583E-2</v>
      </c>
      <c r="L2202">
        <v>1059.9749074758199</v>
      </c>
      <c r="M2202">
        <v>21.128440034458201</v>
      </c>
      <c r="N2202">
        <v>50.333828980131003</v>
      </c>
      <c r="O2202">
        <v>49.725232615908098</v>
      </c>
      <c r="P2202">
        <v>-0.102660495228134</v>
      </c>
      <c r="Q2202">
        <v>3.3590120927618101E-2</v>
      </c>
      <c r="R2202">
        <v>0.99035131972399904</v>
      </c>
      <c r="S2202" t="s">
        <v>6034</v>
      </c>
      <c r="T2202" t="s">
        <v>7662</v>
      </c>
      <c r="U2202" t="s">
        <v>7662</v>
      </c>
      <c r="V2202" t="s">
        <v>7662</v>
      </c>
      <c r="W2202">
        <v>1</v>
      </c>
      <c r="X2202" t="s">
        <v>9864</v>
      </c>
      <c r="Y2202">
        <v>0.37322539333317339</v>
      </c>
      <c r="Z2202" t="str">
        <f>HYPERLINK("Melting_Curves/meltCurve_sp_Q8WWH5_TRUB1_HUMAN_.pdf", "Melting_Curves/meltCurve_sp_Q8WWH5_TRUB1_HUMAN_.pdf")</f>
        <v>Melting_Curves/meltCurve_sp_Q8WWH5_TRUB1_HUMAN_.pdf</v>
      </c>
      <c r="AA2202" t="s">
        <v>13663</v>
      </c>
      <c r="AB2202" t="s">
        <v>17442</v>
      </c>
    </row>
    <row r="2203" spans="1:28" x14ac:dyDescent="0.25">
      <c r="A2203" t="s">
        <v>2207</v>
      </c>
      <c r="B2203">
        <v>0.98876768158843997</v>
      </c>
      <c r="C2203">
        <v>0.89453676192340303</v>
      </c>
      <c r="D2203">
        <v>1.1104872449059899</v>
      </c>
      <c r="E2203">
        <v>1.0257011279112001</v>
      </c>
      <c r="F2203">
        <v>0.75956555367541301</v>
      </c>
      <c r="G2203">
        <v>0.29653639858873099</v>
      </c>
      <c r="H2203">
        <v>4.7537552145869702E-2</v>
      </c>
      <c r="I2203">
        <v>4.3357964410736999E-2</v>
      </c>
      <c r="J2203">
        <v>4.4757667727995103E-2</v>
      </c>
      <c r="K2203">
        <v>4.3463664075750301E-2</v>
      </c>
      <c r="L2203">
        <v>1796.46141499697</v>
      </c>
      <c r="M2203">
        <v>32.617828846293399</v>
      </c>
      <c r="N2203">
        <v>55.197642319121101</v>
      </c>
      <c r="O2203">
        <v>54.870277977755599</v>
      </c>
      <c r="P2203">
        <v>-0.14346184119279101</v>
      </c>
      <c r="Q2203">
        <v>3.4668511407564502E-2</v>
      </c>
      <c r="R2203">
        <v>0.98507161509750296</v>
      </c>
      <c r="S2203" t="s">
        <v>6035</v>
      </c>
      <c r="T2203" t="s">
        <v>7662</v>
      </c>
      <c r="U2203" t="s">
        <v>7662</v>
      </c>
      <c r="V2203" t="s">
        <v>7662</v>
      </c>
      <c r="W2203">
        <v>37</v>
      </c>
      <c r="X2203" t="s">
        <v>9865</v>
      </c>
      <c r="Y2203">
        <v>0.5252439973714178</v>
      </c>
      <c r="Z2203" t="str">
        <f>HYPERLINK("Melting_Curves/meltCurve_sp_Q8WWI1_3_LMO7_HUMAN_.pdf", "Melting_Curves/meltCurve_sp_Q8WWI1_3_LMO7_HUMAN_.pdf")</f>
        <v>Melting_Curves/meltCurve_sp_Q8WWI1_3_LMO7_HUMAN_.pdf</v>
      </c>
      <c r="AA2203" t="s">
        <v>13664</v>
      </c>
      <c r="AB2203" t="s">
        <v>17443</v>
      </c>
    </row>
    <row r="2204" spans="1:28" x14ac:dyDescent="0.25">
      <c r="A2204" t="s">
        <v>2208</v>
      </c>
      <c r="B2204">
        <v>0.98876768158843997</v>
      </c>
      <c r="C2204">
        <v>1.0064394418407301</v>
      </c>
      <c r="D2204">
        <v>0.89899651636495703</v>
      </c>
      <c r="E2204">
        <v>0.73972605900134003</v>
      </c>
      <c r="F2204">
        <v>0.72281001472750195</v>
      </c>
      <c r="G2204">
        <v>0.47489725787414599</v>
      </c>
      <c r="H2204">
        <v>0.35404184889620599</v>
      </c>
      <c r="I2204">
        <v>0.39518127987957102</v>
      </c>
      <c r="J2204">
        <v>0.49734084004083201</v>
      </c>
      <c r="K2204">
        <v>0.52721658772586799</v>
      </c>
      <c r="L2204">
        <v>921.43302507719898</v>
      </c>
      <c r="M2204">
        <v>18.0117516048958</v>
      </c>
      <c r="N2204">
        <v>57.614238231266398</v>
      </c>
      <c r="O2204">
        <v>50.539222361955503</v>
      </c>
      <c r="P2204">
        <v>-5.0469351167248599E-2</v>
      </c>
      <c r="Q2204">
        <v>0.43357933791063002</v>
      </c>
      <c r="R2204">
        <v>0.92825819585945601</v>
      </c>
      <c r="S2204" t="s">
        <v>6036</v>
      </c>
      <c r="T2204" t="s">
        <v>7662</v>
      </c>
      <c r="U2204" t="s">
        <v>7662</v>
      </c>
      <c r="V2204" t="s">
        <v>7662</v>
      </c>
      <c r="W2204">
        <v>18</v>
      </c>
      <c r="X2204" t="s">
        <v>9866</v>
      </c>
      <c r="Y2204">
        <v>0.6537524558240384</v>
      </c>
      <c r="Z2204" t="str">
        <f>HYPERLINK("Melting_Curves/meltCurve_sp_Q8WWM7_ATX2L_HUMAN_.pdf", "Melting_Curves/meltCurve_sp_Q8WWM7_ATX2L_HUMAN_.pdf")</f>
        <v>Melting_Curves/meltCurve_sp_Q8WWM7_ATX2L_HUMAN_.pdf</v>
      </c>
      <c r="AA2204" t="s">
        <v>13665</v>
      </c>
      <c r="AB2204" t="s">
        <v>17444</v>
      </c>
    </row>
    <row r="2205" spans="1:28" x14ac:dyDescent="0.25">
      <c r="A2205" t="s">
        <v>2209</v>
      </c>
      <c r="B2205">
        <v>0.98876768158843997</v>
      </c>
      <c r="C2205">
        <v>0.80078281298157805</v>
      </c>
      <c r="D2205">
        <v>0.43261280940583502</v>
      </c>
      <c r="E2205">
        <v>0.14841177073258199</v>
      </c>
      <c r="F2205">
        <v>0.102505887303699</v>
      </c>
      <c r="G2205">
        <v>5.9859124984755603E-2</v>
      </c>
      <c r="H2205">
        <v>3.1922207516609097E-2</v>
      </c>
      <c r="I2205">
        <v>2.56626027884021E-2</v>
      </c>
      <c r="J2205">
        <v>4.7794883534296402E-2</v>
      </c>
      <c r="K2205">
        <v>2.99553428078158E-2</v>
      </c>
      <c r="L2205">
        <v>1057.3063744933299</v>
      </c>
      <c r="M2205">
        <v>23.309140670511098</v>
      </c>
      <c r="N2205">
        <v>45.5325053247307</v>
      </c>
      <c r="O2205">
        <v>45.030253229797097</v>
      </c>
      <c r="P2205">
        <v>-0.12394604459918999</v>
      </c>
      <c r="Q2205">
        <v>4.2225963347711198E-2</v>
      </c>
      <c r="R2205">
        <v>0.99773205670833098</v>
      </c>
      <c r="S2205" t="s">
        <v>6037</v>
      </c>
      <c r="T2205" t="s">
        <v>7662</v>
      </c>
      <c r="U2205" t="s">
        <v>7662</v>
      </c>
      <c r="V2205" t="s">
        <v>7662</v>
      </c>
      <c r="W2205">
        <v>4</v>
      </c>
      <c r="X2205" t="s">
        <v>9867</v>
      </c>
      <c r="Y2205">
        <v>0.2242495272885624</v>
      </c>
      <c r="Z2205" t="str">
        <f>HYPERLINK("Melting_Curves/meltCurve_sp_Q8WWV3_2_RT4I1_HUMAN_.pdf", "Melting_Curves/meltCurve_sp_Q8WWV3_2_RT4I1_HUMAN_.pdf")</f>
        <v>Melting_Curves/meltCurve_sp_Q8WWV3_2_RT4I1_HUMAN_.pdf</v>
      </c>
      <c r="AA2205" t="s">
        <v>13666</v>
      </c>
      <c r="AB2205" t="s">
        <v>17445</v>
      </c>
    </row>
    <row r="2206" spans="1:28" x14ac:dyDescent="0.25">
      <c r="A2206" t="s">
        <v>2210</v>
      </c>
      <c r="B2206">
        <v>0.98876768158843997</v>
      </c>
      <c r="C2206">
        <v>1.0630804691423601</v>
      </c>
      <c r="D2206">
        <v>0.96491669719695095</v>
      </c>
      <c r="E2206">
        <v>0.550978228266083</v>
      </c>
      <c r="F2206">
        <v>0.2798358564856</v>
      </c>
      <c r="G2206">
        <v>9.6904456960588206E-2</v>
      </c>
      <c r="H2206">
        <v>5.41604141747224E-2</v>
      </c>
      <c r="I2206">
        <v>8.7570539937116401E-2</v>
      </c>
      <c r="J2206">
        <v>4.0410981648068597E-2</v>
      </c>
      <c r="K2206">
        <v>2.7875174774719499E-2</v>
      </c>
      <c r="L2206">
        <v>1361.68902239159</v>
      </c>
      <c r="M2206">
        <v>27.0062986029901</v>
      </c>
      <c r="N2206">
        <v>50.630264935067103</v>
      </c>
      <c r="O2206">
        <v>50.1471381072338</v>
      </c>
      <c r="P2206">
        <v>-0.127531907052466</v>
      </c>
      <c r="Q2206">
        <v>5.27696331338443E-2</v>
      </c>
      <c r="R2206">
        <v>0.99441913282843897</v>
      </c>
      <c r="S2206" t="s">
        <v>6038</v>
      </c>
      <c r="T2206" t="s">
        <v>7662</v>
      </c>
      <c r="U2206" t="s">
        <v>7662</v>
      </c>
      <c r="V2206" t="s">
        <v>7662</v>
      </c>
      <c r="W2206">
        <v>1</v>
      </c>
      <c r="X2206" t="s">
        <v>9868</v>
      </c>
      <c r="Y2206">
        <v>0.38909862462858907</v>
      </c>
      <c r="Z2206" t="str">
        <f>HYPERLINK("Melting_Curves/meltCurve_sp_Q8WWY3_PRP31_HUMAN_.pdf", "Melting_Curves/meltCurve_sp_Q8WWY3_PRP31_HUMAN_.pdf")</f>
        <v>Melting_Curves/meltCurve_sp_Q8WWY3_PRP31_HUMAN_.pdf</v>
      </c>
      <c r="AA2206" t="s">
        <v>13667</v>
      </c>
      <c r="AB2206" t="s">
        <v>17446</v>
      </c>
    </row>
    <row r="2207" spans="1:28" x14ac:dyDescent="0.25">
      <c r="A2207" t="s">
        <v>2211</v>
      </c>
      <c r="B2207">
        <v>0.98876768158843997</v>
      </c>
      <c r="C2207">
        <v>0.88294473729684897</v>
      </c>
      <c r="D2207">
        <v>0.898116771735333</v>
      </c>
      <c r="E2207">
        <v>0.67345829810949898</v>
      </c>
      <c r="F2207">
        <v>0.48252482871207197</v>
      </c>
      <c r="G2207">
        <v>0.135676799925009</v>
      </c>
      <c r="H2207">
        <v>8.7870724012274304E-2</v>
      </c>
      <c r="I2207">
        <v>9.3450148203585007E-2</v>
      </c>
      <c r="J2207">
        <v>0.106505708928036</v>
      </c>
      <c r="K2207">
        <v>9.9175689201478706E-2</v>
      </c>
      <c r="L2207">
        <v>955.31637469738303</v>
      </c>
      <c r="M2207">
        <v>18.485659216858402</v>
      </c>
      <c r="N2207">
        <v>52.070761608857303</v>
      </c>
      <c r="O2207">
        <v>51.085399448395798</v>
      </c>
      <c r="P2207">
        <v>-8.4592247481223501E-2</v>
      </c>
      <c r="Q2207">
        <v>6.4953702337678304E-2</v>
      </c>
      <c r="R2207">
        <v>0.98490141784644203</v>
      </c>
      <c r="S2207" t="s">
        <v>6039</v>
      </c>
      <c r="T2207" t="s">
        <v>7662</v>
      </c>
      <c r="U2207" t="s">
        <v>7662</v>
      </c>
      <c r="V2207" t="s">
        <v>7662</v>
      </c>
      <c r="W2207">
        <v>3</v>
      </c>
      <c r="X2207" t="s">
        <v>9869</v>
      </c>
      <c r="Y2207">
        <v>0.44387598035058429</v>
      </c>
      <c r="Z2207" t="str">
        <f>HYPERLINK("Melting_Curves/meltCurve_sp_Q8WX92_NELFB_HUMAN_.pdf", "Melting_Curves/meltCurve_sp_Q8WX92_NELFB_HUMAN_.pdf")</f>
        <v>Melting_Curves/meltCurve_sp_Q8WX92_NELFB_HUMAN_.pdf</v>
      </c>
      <c r="AA2207" t="s">
        <v>13668</v>
      </c>
      <c r="AB2207" t="s">
        <v>17447</v>
      </c>
    </row>
    <row r="2208" spans="1:28" x14ac:dyDescent="0.25">
      <c r="A2208" t="s">
        <v>2212</v>
      </c>
      <c r="B2208">
        <v>0.98876768158843997</v>
      </c>
      <c r="C2208">
        <v>1.23816639493433</v>
      </c>
      <c r="D2208">
        <v>0.93496322672474896</v>
      </c>
      <c r="E2208">
        <v>1.06087072041016</v>
      </c>
      <c r="F2208">
        <v>1.29279627074475</v>
      </c>
      <c r="G2208">
        <v>0.50015460568639403</v>
      </c>
      <c r="H2208">
        <v>0.31157734882607602</v>
      </c>
      <c r="I2208">
        <v>0.34485865419144601</v>
      </c>
      <c r="J2208">
        <v>0.63794893368481898</v>
      </c>
      <c r="K2208">
        <v>0.55272768960683405</v>
      </c>
      <c r="L2208">
        <v>14103.691574770401</v>
      </c>
      <c r="M2208">
        <v>250</v>
      </c>
      <c r="N2208">
        <v>57.001011187578598</v>
      </c>
      <c r="O2208">
        <v>56.411172167383903</v>
      </c>
      <c r="P2208">
        <v>-0.59631606332343801</v>
      </c>
      <c r="Q2208">
        <v>0.46177794315330001</v>
      </c>
      <c r="R2208">
        <v>0.80808526952163495</v>
      </c>
      <c r="S2208" t="s">
        <v>6040</v>
      </c>
      <c r="T2208" t="s">
        <v>7662</v>
      </c>
      <c r="U2208" t="s">
        <v>7662</v>
      </c>
      <c r="V2208" t="s">
        <v>7662</v>
      </c>
      <c r="W2208">
        <v>1</v>
      </c>
      <c r="X2208" t="s">
        <v>9870</v>
      </c>
      <c r="Y2208">
        <v>0.7563242069293008</v>
      </c>
      <c r="Z2208" t="str">
        <f>HYPERLINK("Melting_Curves/meltCurve_sp_Q8WXA9_2_SREK1_HUMAN_.pdf", "Melting_Curves/meltCurve_sp_Q8WXA9_2_SREK1_HUMAN_.pdf")</f>
        <v>Melting_Curves/meltCurve_sp_Q8WXA9_2_SREK1_HUMAN_.pdf</v>
      </c>
      <c r="AA2208" t="s">
        <v>13669</v>
      </c>
      <c r="AB2208" t="s">
        <v>17448</v>
      </c>
    </row>
    <row r="2209" spans="1:28" x14ac:dyDescent="0.25">
      <c r="A2209" t="s">
        <v>2213</v>
      </c>
      <c r="B2209">
        <v>0.98876768158843997</v>
      </c>
      <c r="C2209">
        <v>1.31079077149443</v>
      </c>
      <c r="D2209">
        <v>1.03359924781444</v>
      </c>
      <c r="E2209">
        <v>0.81421860004131597</v>
      </c>
      <c r="F2209">
        <v>0.52174964838284799</v>
      </c>
      <c r="G2209">
        <v>0.46882657832088698</v>
      </c>
      <c r="H2209">
        <v>0.25057702789721598</v>
      </c>
      <c r="I2209">
        <v>0.29442106174343102</v>
      </c>
      <c r="J2209">
        <v>0.26585160308309302</v>
      </c>
      <c r="K2209">
        <v>0.254901799727552</v>
      </c>
      <c r="L2209">
        <v>1280.58412038285</v>
      </c>
      <c r="M2209">
        <v>24.519577906819499</v>
      </c>
      <c r="N2209">
        <v>53.994452490764303</v>
      </c>
      <c r="O2209">
        <v>51.883330207359101</v>
      </c>
      <c r="P2209">
        <v>-8.5548909766157505E-2</v>
      </c>
      <c r="Q2209">
        <v>0.27592589244217303</v>
      </c>
      <c r="R2209">
        <v>0.91131579332489598</v>
      </c>
      <c r="S2209" t="s">
        <v>6041</v>
      </c>
      <c r="T2209" t="s">
        <v>7662</v>
      </c>
      <c r="U2209" t="s">
        <v>7662</v>
      </c>
      <c r="V2209" t="s">
        <v>7662</v>
      </c>
      <c r="W2209">
        <v>1</v>
      </c>
      <c r="X2209" t="s">
        <v>9871</v>
      </c>
      <c r="Y2209">
        <v>0.57790897395812268</v>
      </c>
      <c r="Z2209" t="str">
        <f>HYPERLINK("Melting_Curves/meltCurve_sp_Q8WXD5_GEMI6_HUMAN_.pdf", "Melting_Curves/meltCurve_sp_Q8WXD5_GEMI6_HUMAN_.pdf")</f>
        <v>Melting_Curves/meltCurve_sp_Q8WXD5_GEMI6_HUMAN_.pdf</v>
      </c>
      <c r="AA2209" t="s">
        <v>13670</v>
      </c>
      <c r="AB2209" t="s">
        <v>17449</v>
      </c>
    </row>
    <row r="2210" spans="1:28" x14ac:dyDescent="0.25">
      <c r="A2210" t="s">
        <v>2214</v>
      </c>
      <c r="B2210">
        <v>0.98876768158843997</v>
      </c>
      <c r="C2210">
        <v>1.12005420964519</v>
      </c>
      <c r="D2210">
        <v>0.83803668790224894</v>
      </c>
      <c r="E2210">
        <v>0.61685422220970099</v>
      </c>
      <c r="F2210">
        <v>0.66464022015367996</v>
      </c>
      <c r="G2210">
        <v>0.54638786578750997</v>
      </c>
      <c r="H2210">
        <v>0.37603060498579399</v>
      </c>
      <c r="I2210">
        <v>0.41687209272809</v>
      </c>
      <c r="J2210">
        <v>0.54571964208404999</v>
      </c>
      <c r="K2210">
        <v>0.57089831726899198</v>
      </c>
      <c r="L2210">
        <v>1080.3721365813699</v>
      </c>
      <c r="M2210">
        <v>22.304317889625601</v>
      </c>
      <c r="N2210">
        <v>63.128402993974802</v>
      </c>
      <c r="O2210">
        <v>48.053492409354298</v>
      </c>
      <c r="P2210">
        <v>-5.83438975769483E-2</v>
      </c>
      <c r="Q2210">
        <v>0.49721520613243297</v>
      </c>
      <c r="R2210">
        <v>0.87114885889714899</v>
      </c>
      <c r="S2210" t="s">
        <v>6042</v>
      </c>
      <c r="T2210" t="s">
        <v>7662</v>
      </c>
      <c r="U2210" t="s">
        <v>7662</v>
      </c>
      <c r="V2210" t="s">
        <v>7662</v>
      </c>
      <c r="W2210">
        <v>3</v>
      </c>
      <c r="X2210" t="s">
        <v>9872</v>
      </c>
      <c r="Y2210">
        <v>0.64427345976120109</v>
      </c>
      <c r="Z2210" t="str">
        <f>HYPERLINK("Melting_Curves/meltCurve_sp_Q8WXE0_CSKI2_HUMAN_.pdf", "Melting_Curves/meltCurve_sp_Q8WXE0_CSKI2_HUMAN_.pdf")</f>
        <v>Melting_Curves/meltCurve_sp_Q8WXE0_CSKI2_HUMAN_.pdf</v>
      </c>
      <c r="AA2210" t="s">
        <v>13671</v>
      </c>
      <c r="AB2210" t="s">
        <v>17450</v>
      </c>
    </row>
    <row r="2211" spans="1:28" x14ac:dyDescent="0.25">
      <c r="A2211" t="s">
        <v>2215</v>
      </c>
      <c r="B2211">
        <v>0.98876768158843997</v>
      </c>
      <c r="C2211">
        <v>1.1108425796555801</v>
      </c>
      <c r="D2211">
        <v>0.86267228213911495</v>
      </c>
      <c r="E2211">
        <v>0.72292297973911801</v>
      </c>
      <c r="F2211">
        <v>0.54326530252999805</v>
      </c>
      <c r="G2211">
        <v>0.33199687918725401</v>
      </c>
      <c r="H2211">
        <v>0.22531094857468101</v>
      </c>
      <c r="I2211">
        <v>0.18343793868032501</v>
      </c>
      <c r="J2211">
        <v>0.21800709053422501</v>
      </c>
      <c r="K2211">
        <v>0.225901741408155</v>
      </c>
      <c r="L2211">
        <v>922.29095416785503</v>
      </c>
      <c r="M2211">
        <v>17.760621672711299</v>
      </c>
      <c r="N2211">
        <v>53.366495068413997</v>
      </c>
      <c r="O2211">
        <v>51.284090558813197</v>
      </c>
      <c r="P2211">
        <v>-7.0123045017632904E-2</v>
      </c>
      <c r="Q2211">
        <v>0.190116621247854</v>
      </c>
      <c r="R2211">
        <v>0.97913788887688202</v>
      </c>
      <c r="S2211" t="s">
        <v>6043</v>
      </c>
      <c r="T2211" t="s">
        <v>7662</v>
      </c>
      <c r="U2211" t="s">
        <v>7662</v>
      </c>
      <c r="V2211" t="s">
        <v>7662</v>
      </c>
      <c r="W2211">
        <v>4</v>
      </c>
      <c r="X2211" t="s">
        <v>9873</v>
      </c>
      <c r="Y2211">
        <v>0.52595477734350016</v>
      </c>
      <c r="Z2211" t="str">
        <f>HYPERLINK("Melting_Curves/meltCurve_sp_Q8WXF1_PSPC1_HUMAN_.pdf", "Melting_Curves/meltCurve_sp_Q8WXF1_PSPC1_HUMAN_.pdf")</f>
        <v>Melting_Curves/meltCurve_sp_Q8WXF1_PSPC1_HUMAN_.pdf</v>
      </c>
      <c r="AA2211" t="s">
        <v>13672</v>
      </c>
      <c r="AB2211" t="s">
        <v>17451</v>
      </c>
    </row>
    <row r="2212" spans="1:28" x14ac:dyDescent="0.25">
      <c r="A2212" t="s">
        <v>2216</v>
      </c>
      <c r="B2212">
        <v>0.98876768158843997</v>
      </c>
      <c r="C2212">
        <v>0.93519485810811298</v>
      </c>
      <c r="D2212">
        <v>1.1277537233488999</v>
      </c>
      <c r="E2212">
        <v>1.27937451127741</v>
      </c>
      <c r="F2212">
        <v>0.41042981648578902</v>
      </c>
      <c r="G2212">
        <v>0.25353823052350299</v>
      </c>
      <c r="H2212">
        <v>8.5261387333710803E-2</v>
      </c>
      <c r="I2212">
        <v>5.7278550417206399E-2</v>
      </c>
      <c r="J2212">
        <v>3.8167654253163097E-2</v>
      </c>
      <c r="K2212">
        <v>3.8387050144946602E-2</v>
      </c>
      <c r="L2212">
        <v>13216.9304504308</v>
      </c>
      <c r="M2212">
        <v>250</v>
      </c>
      <c r="N2212">
        <v>52.912072802047703</v>
      </c>
      <c r="O2212">
        <v>52.864336910840898</v>
      </c>
      <c r="P2212">
        <v>-1.07051549798278</v>
      </c>
      <c r="Q2212">
        <v>9.4526500544258402E-2</v>
      </c>
      <c r="R2212">
        <v>0.94241133724547199</v>
      </c>
      <c r="S2212" t="s">
        <v>6044</v>
      </c>
      <c r="T2212" t="s">
        <v>7662</v>
      </c>
      <c r="U2212" t="s">
        <v>7662</v>
      </c>
      <c r="V2212" t="s">
        <v>7662</v>
      </c>
      <c r="W2212">
        <v>1</v>
      </c>
      <c r="X2212" t="s">
        <v>9874</v>
      </c>
      <c r="Y2212">
        <v>0.48298988187367908</v>
      </c>
      <c r="Z2212" t="str">
        <f>HYPERLINK("Melting_Curves/meltCurve_sp_Q8WXG6_6_MADD_HUMAN_.pdf", "Melting_Curves/meltCurve_sp_Q8WXG6_6_MADD_HUMAN_.pdf")</f>
        <v>Melting_Curves/meltCurve_sp_Q8WXG6_6_MADD_HUMAN_.pdf</v>
      </c>
      <c r="AA2212" t="s">
        <v>13673</v>
      </c>
      <c r="AB2212" t="s">
        <v>17452</v>
      </c>
    </row>
    <row r="2213" spans="1:28" x14ac:dyDescent="0.25">
      <c r="A2213" t="s">
        <v>2217</v>
      </c>
      <c r="B2213">
        <v>0.98876768158843997</v>
      </c>
      <c r="C2213">
        <v>0.97456409537741095</v>
      </c>
      <c r="D2213">
        <v>0.94511728617546897</v>
      </c>
      <c r="E2213">
        <v>0.64407800851347796</v>
      </c>
      <c r="F2213">
        <v>0.23112726757469301</v>
      </c>
      <c r="G2213">
        <v>8.8944298916766598E-2</v>
      </c>
      <c r="H2213">
        <v>5.2448724000557098E-2</v>
      </c>
      <c r="I2213">
        <v>4.4970667920732198E-2</v>
      </c>
      <c r="J2213">
        <v>7.2948694711888196E-2</v>
      </c>
      <c r="K2213">
        <v>4.9683542590968202E-2</v>
      </c>
      <c r="L2213">
        <v>1640.47335241264</v>
      </c>
      <c r="M2213">
        <v>32.348310196586297</v>
      </c>
      <c r="N2213">
        <v>50.893646598225303</v>
      </c>
      <c r="O2213">
        <v>50.520166997282402</v>
      </c>
      <c r="P2213">
        <v>-0.151386330603587</v>
      </c>
      <c r="Q2213">
        <v>5.4290455295901402E-2</v>
      </c>
      <c r="R2213">
        <v>0.99883452339079104</v>
      </c>
      <c r="S2213" t="s">
        <v>6045</v>
      </c>
      <c r="T2213" t="s">
        <v>7662</v>
      </c>
      <c r="U2213" t="s">
        <v>7662</v>
      </c>
      <c r="V2213" t="s">
        <v>7662</v>
      </c>
      <c r="W2213">
        <v>19</v>
      </c>
      <c r="X2213" t="s">
        <v>9875</v>
      </c>
      <c r="Y2213">
        <v>0.39708268514759498</v>
      </c>
      <c r="Z2213" t="str">
        <f>HYPERLINK("Melting_Curves/meltCurve_sp_Q8WXH0_SYNE2_HUMAN_.pdf", "Melting_Curves/meltCurve_sp_Q8WXH0_SYNE2_HUMAN_.pdf")</f>
        <v>Melting_Curves/meltCurve_sp_Q8WXH0_SYNE2_HUMAN_.pdf</v>
      </c>
      <c r="AA2213" t="s">
        <v>13674</v>
      </c>
      <c r="AB2213" t="s">
        <v>17453</v>
      </c>
    </row>
    <row r="2214" spans="1:28" x14ac:dyDescent="0.25">
      <c r="A2214" t="s">
        <v>2218</v>
      </c>
      <c r="B2214">
        <v>0.98876768158843997</v>
      </c>
      <c r="C2214">
        <v>0.99414575856014398</v>
      </c>
      <c r="D2214">
        <v>0.88134525742146796</v>
      </c>
      <c r="E2214">
        <v>0.65863519076973898</v>
      </c>
      <c r="F2214">
        <v>0.63776910348493698</v>
      </c>
      <c r="G2214">
        <v>0.387080736409461</v>
      </c>
      <c r="H2214">
        <v>0.33074085795281299</v>
      </c>
      <c r="I2214">
        <v>0.34248769637152299</v>
      </c>
      <c r="J2214">
        <v>0.55050460957987601</v>
      </c>
      <c r="K2214">
        <v>0.53867474793802705</v>
      </c>
      <c r="L2214">
        <v>1013.23458176207</v>
      </c>
      <c r="M2214">
        <v>20.4979058801839</v>
      </c>
      <c r="N2214">
        <v>54.747934126991801</v>
      </c>
      <c r="O2214">
        <v>48.967870302849597</v>
      </c>
      <c r="P2214">
        <v>-5.9474639826249703E-2</v>
      </c>
      <c r="Q2214">
        <v>0.43169600187765</v>
      </c>
      <c r="R2214">
        <v>0.89100464193738604</v>
      </c>
      <c r="S2214" t="s">
        <v>6046</v>
      </c>
      <c r="T2214" t="s">
        <v>7662</v>
      </c>
      <c r="U2214" t="s">
        <v>7662</v>
      </c>
      <c r="V2214" t="s">
        <v>7662</v>
      </c>
      <c r="W2214">
        <v>8</v>
      </c>
      <c r="X2214" t="s">
        <v>9876</v>
      </c>
      <c r="Y2214">
        <v>0.61790733469362846</v>
      </c>
      <c r="Z2214" t="str">
        <f>HYPERLINK("Melting_Curves/meltCurve_sp_Q8WXI9_P66B_HUMAN_.pdf", "Melting_Curves/meltCurve_sp_Q8WXI9_P66B_HUMAN_.pdf")</f>
        <v>Melting_Curves/meltCurve_sp_Q8WXI9_P66B_HUMAN_.pdf</v>
      </c>
      <c r="AA2214" t="s">
        <v>13675</v>
      </c>
      <c r="AB2214" t="s">
        <v>17454</v>
      </c>
    </row>
    <row r="2215" spans="1:28" x14ac:dyDescent="0.25">
      <c r="A2215" t="s">
        <v>2219</v>
      </c>
      <c r="B2215">
        <v>0.98876768158843997</v>
      </c>
      <c r="C2215">
        <v>0.96241783788639801</v>
      </c>
      <c r="D2215">
        <v>0.91756702539952095</v>
      </c>
      <c r="E2215">
        <v>0.76559356429196501</v>
      </c>
      <c r="F2215">
        <v>0.76685355660203602</v>
      </c>
      <c r="G2215">
        <v>0.388640250256158</v>
      </c>
      <c r="H2215">
        <v>0.22956180892365299</v>
      </c>
      <c r="I2215">
        <v>0.170803790256742</v>
      </c>
      <c r="J2215">
        <v>0.18177200167638299</v>
      </c>
      <c r="K2215">
        <v>0.242504903023288</v>
      </c>
      <c r="L2215">
        <v>933.35773014611095</v>
      </c>
      <c r="M2215">
        <v>17.1964777392324</v>
      </c>
      <c r="N2215">
        <v>55.477245699819498</v>
      </c>
      <c r="O2215">
        <v>53.558083246282798</v>
      </c>
      <c r="P2215">
        <v>-6.7797490403115807E-2</v>
      </c>
      <c r="Q2215">
        <v>0.15543436987885101</v>
      </c>
      <c r="R2215">
        <v>0.974302258072968</v>
      </c>
      <c r="S2215" t="s">
        <v>6047</v>
      </c>
      <c r="T2215" t="s">
        <v>7662</v>
      </c>
      <c r="U2215" t="s">
        <v>7662</v>
      </c>
      <c r="V2215" t="s">
        <v>7662</v>
      </c>
      <c r="W2215">
        <v>1</v>
      </c>
      <c r="X2215" t="s">
        <v>9877</v>
      </c>
      <c r="Y2215">
        <v>0.57163927599113917</v>
      </c>
      <c r="Z2215" t="str">
        <f>HYPERLINK("Melting_Curves/meltCurve_sp_Q8WY91_2_THAP4_HUMAN_.pdf", "Melting_Curves/meltCurve_sp_Q8WY91_2_THAP4_HUMAN_.pdf")</f>
        <v>Melting_Curves/meltCurve_sp_Q8WY91_2_THAP4_HUMAN_.pdf</v>
      </c>
      <c r="AA2215" t="s">
        <v>13676</v>
      </c>
      <c r="AB2215" t="s">
        <v>17455</v>
      </c>
    </row>
    <row r="2216" spans="1:28" x14ac:dyDescent="0.25">
      <c r="A2216" t="s">
        <v>2220</v>
      </c>
      <c r="B2216">
        <v>0.98876768158843997</v>
      </c>
      <c r="C2216">
        <v>0.85805581583276003</v>
      </c>
      <c r="D2216">
        <v>1.0656703320313099</v>
      </c>
      <c r="E2216">
        <v>0.93740631422172604</v>
      </c>
      <c r="F2216">
        <v>0.34886310841312601</v>
      </c>
      <c r="G2216">
        <v>8.7241930435981802E-2</v>
      </c>
      <c r="H2216">
        <v>4.6896482600003501E-2</v>
      </c>
      <c r="I2216">
        <v>3.9675909262416799E-2</v>
      </c>
      <c r="J2216">
        <v>4.0935089511367602E-2</v>
      </c>
      <c r="K2216">
        <v>4.4990059874728899E-2</v>
      </c>
      <c r="L2216">
        <v>2967.4965671484201</v>
      </c>
      <c r="M2216">
        <v>56.7571518345489</v>
      </c>
      <c r="N2216">
        <v>52.381001943010801</v>
      </c>
      <c r="O2216">
        <v>52.219315754183903</v>
      </c>
      <c r="P2216">
        <v>-0.25818145556323302</v>
      </c>
      <c r="Q2216">
        <v>4.9843015753780501E-2</v>
      </c>
      <c r="R2216">
        <v>0.98630752804376098</v>
      </c>
      <c r="S2216" t="s">
        <v>6048</v>
      </c>
      <c r="T2216" t="s">
        <v>7662</v>
      </c>
      <c r="U2216" t="s">
        <v>7662</v>
      </c>
      <c r="V2216" t="s">
        <v>7662</v>
      </c>
      <c r="W2216">
        <v>11</v>
      </c>
      <c r="X2216" t="s">
        <v>9878</v>
      </c>
      <c r="Y2216">
        <v>0.44060221640019281</v>
      </c>
      <c r="Z2216" t="str">
        <f>HYPERLINK("Melting_Curves/meltCurve_sp_Q8WYK0_ACO12_HUMAN_.pdf", "Melting_Curves/meltCurve_sp_Q8WYK0_ACO12_HUMAN_.pdf")</f>
        <v>Melting_Curves/meltCurve_sp_Q8WYK0_ACO12_HUMAN_.pdf</v>
      </c>
      <c r="AA2216" t="s">
        <v>13677</v>
      </c>
      <c r="AB2216" t="s">
        <v>17456</v>
      </c>
    </row>
    <row r="2217" spans="1:28" x14ac:dyDescent="0.25">
      <c r="A2217" t="s">
        <v>2221</v>
      </c>
      <c r="B2217">
        <v>0.98876768158843997</v>
      </c>
      <c r="C2217">
        <v>1.29248637872975</v>
      </c>
      <c r="D2217">
        <v>0.97559515759774695</v>
      </c>
      <c r="E2217">
        <v>0.73423768141395096</v>
      </c>
      <c r="F2217">
        <v>1.1154081068797701</v>
      </c>
      <c r="G2217">
        <v>0.78087533801738895</v>
      </c>
      <c r="H2217">
        <v>0.65618650247708199</v>
      </c>
      <c r="I2217">
        <v>0.73164636753699697</v>
      </c>
      <c r="J2217">
        <v>1.04920199653516</v>
      </c>
      <c r="K2217">
        <v>1.36693801213731</v>
      </c>
      <c r="L2217">
        <v>15000</v>
      </c>
      <c r="M2217">
        <v>222.01456922771001</v>
      </c>
      <c r="O2217">
        <v>67.557650892901407</v>
      </c>
      <c r="P2217">
        <v>0.301599683015154</v>
      </c>
      <c r="Q2217">
        <v>1.36709962408218</v>
      </c>
      <c r="R2217">
        <v>0.23794445835467601</v>
      </c>
      <c r="S2217" t="s">
        <v>6049</v>
      </c>
      <c r="T2217" t="s">
        <v>7662</v>
      </c>
      <c r="U2217" t="s">
        <v>7662</v>
      </c>
      <c r="V2217" t="s">
        <v>7662</v>
      </c>
      <c r="W2217">
        <v>2</v>
      </c>
      <c r="X2217" t="s">
        <v>9879</v>
      </c>
      <c r="Y2217">
        <v>1.0297656700003679</v>
      </c>
      <c r="Z2217" t="str">
        <f>HYPERLINK("Melting_Curves/meltCurve_sp_Q8WYP5_ELYS_HUMAN_.pdf", "Melting_Curves/meltCurve_sp_Q8WYP5_ELYS_HUMAN_.pdf")</f>
        <v>Melting_Curves/meltCurve_sp_Q8WYP5_ELYS_HUMAN_.pdf</v>
      </c>
      <c r="AA2217" t="s">
        <v>13678</v>
      </c>
      <c r="AB2217" t="s">
        <v>17457</v>
      </c>
    </row>
    <row r="2218" spans="1:28" x14ac:dyDescent="0.25">
      <c r="A2218" t="s">
        <v>2222</v>
      </c>
      <c r="B2218">
        <v>0.98876768158843997</v>
      </c>
      <c r="C2218">
        <v>0.90539667647370903</v>
      </c>
      <c r="D2218">
        <v>1.1230625386055499</v>
      </c>
      <c r="E2218">
        <v>1.12837408711841</v>
      </c>
      <c r="F2218">
        <v>0.45452933662829698</v>
      </c>
      <c r="G2218">
        <v>0.30520418418072198</v>
      </c>
      <c r="H2218">
        <v>0.19589800729201301</v>
      </c>
      <c r="I2218">
        <v>0.18029760197752601</v>
      </c>
      <c r="J2218">
        <v>0.20201373348625101</v>
      </c>
      <c r="K2218">
        <v>0.118947405039053</v>
      </c>
      <c r="L2218">
        <v>13209.5033844889</v>
      </c>
      <c r="M2218">
        <v>250</v>
      </c>
      <c r="N2218">
        <v>52.946533018193499</v>
      </c>
      <c r="O2218">
        <v>52.834633496007697</v>
      </c>
      <c r="P2218">
        <v>-0.94579046110418097</v>
      </c>
      <c r="Q2218">
        <v>0.20047214167834801</v>
      </c>
      <c r="R2218">
        <v>0.963708030155075</v>
      </c>
      <c r="S2218" t="s">
        <v>6050</v>
      </c>
      <c r="T2218" t="s">
        <v>7662</v>
      </c>
      <c r="U2218" t="s">
        <v>7662</v>
      </c>
      <c r="V2218" t="s">
        <v>7662</v>
      </c>
      <c r="W2218">
        <v>1</v>
      </c>
      <c r="X2218" t="s">
        <v>9880</v>
      </c>
      <c r="Y2218">
        <v>0.54269126411336954</v>
      </c>
      <c r="Z2218" t="str">
        <f>HYPERLINK("Melting_Curves/meltCurve_sp_Q8WZ42_5_TITIN_HUMAN_.pdf", "Melting_Curves/meltCurve_sp_Q8WZ42_5_TITIN_HUMAN_.pdf")</f>
        <v>Melting_Curves/meltCurve_sp_Q8WZ42_5_TITIN_HUMAN_.pdf</v>
      </c>
      <c r="AA2218" t="s">
        <v>13679</v>
      </c>
      <c r="AB2218" t="s">
        <v>17458</v>
      </c>
    </row>
    <row r="2219" spans="1:28" x14ac:dyDescent="0.25">
      <c r="A2219" t="s">
        <v>2223</v>
      </c>
      <c r="B2219">
        <v>0.98876768158843997</v>
      </c>
      <c r="C2219">
        <v>0.99983046361637495</v>
      </c>
      <c r="D2219">
        <v>0.80649258116789302</v>
      </c>
      <c r="E2219">
        <v>0.51676562724481201</v>
      </c>
      <c r="F2219">
        <v>7.1379486086380103E-2</v>
      </c>
      <c r="G2219">
        <v>6.7451609501544704E-2</v>
      </c>
      <c r="H2219">
        <v>7.4536590405314407E-2</v>
      </c>
      <c r="I2219">
        <v>9.9899581838888502E-2</v>
      </c>
      <c r="J2219">
        <v>3.4963071247582897E-2</v>
      </c>
      <c r="K2219">
        <v>2.7195103129282298E-2</v>
      </c>
      <c r="L2219">
        <v>1310.69225518541</v>
      </c>
      <c r="M2219">
        <v>26.576590616427001</v>
      </c>
      <c r="N2219">
        <v>49.488104548463802</v>
      </c>
      <c r="O2219">
        <v>49.040869178877898</v>
      </c>
      <c r="P2219">
        <v>-0.12955424445952801</v>
      </c>
      <c r="Q2219">
        <v>4.3762288869461902E-2</v>
      </c>
      <c r="R2219">
        <v>0.98310832738927201</v>
      </c>
      <c r="S2219" t="s">
        <v>6051</v>
      </c>
      <c r="T2219" t="s">
        <v>7662</v>
      </c>
      <c r="U2219" t="s">
        <v>7662</v>
      </c>
      <c r="V2219" t="s">
        <v>7662</v>
      </c>
      <c r="W2219">
        <v>1</v>
      </c>
      <c r="X2219" t="s">
        <v>9881</v>
      </c>
      <c r="Y2219">
        <v>0.34825022914711812</v>
      </c>
      <c r="Z2219" t="str">
        <f>HYPERLINK("Melting_Curves/meltCurve_sp_Q8WZ82_OVCA2_HUMAN_.pdf", "Melting_Curves/meltCurve_sp_Q8WZ82_OVCA2_HUMAN_.pdf")</f>
        <v>Melting_Curves/meltCurve_sp_Q8WZ82_OVCA2_HUMAN_.pdf</v>
      </c>
      <c r="AA2219" t="s">
        <v>13680</v>
      </c>
      <c r="AB2219" t="s">
        <v>17459</v>
      </c>
    </row>
    <row r="2220" spans="1:28" x14ac:dyDescent="0.25">
      <c r="A2220" t="s">
        <v>2224</v>
      </c>
      <c r="B2220">
        <v>0.98876768158843997</v>
      </c>
      <c r="C2220">
        <v>1.0005879072444599</v>
      </c>
      <c r="D2220">
        <v>0.92691242376188299</v>
      </c>
      <c r="E2220">
        <v>0.75273294768063603</v>
      </c>
      <c r="F2220">
        <v>0.78250678105067795</v>
      </c>
      <c r="G2220">
        <v>0.55506105869885403</v>
      </c>
      <c r="H2220">
        <v>0.42878277595245001</v>
      </c>
      <c r="I2220">
        <v>0.46913127177334002</v>
      </c>
      <c r="J2220">
        <v>0.54005866175615302</v>
      </c>
      <c r="K2220">
        <v>0.55927646855128499</v>
      </c>
      <c r="L2220">
        <v>859.67144547485805</v>
      </c>
      <c r="M2220">
        <v>16.6732480529339</v>
      </c>
      <c r="N2220">
        <v>66.376455894511807</v>
      </c>
      <c r="O2220">
        <v>50.835359120783103</v>
      </c>
      <c r="P2220">
        <v>-4.1992718502966202E-2</v>
      </c>
      <c r="Q2220">
        <v>0.48790476585327702</v>
      </c>
      <c r="R2220">
        <v>0.93065953980706895</v>
      </c>
      <c r="S2220" t="s">
        <v>6052</v>
      </c>
      <c r="T2220" t="s">
        <v>7662</v>
      </c>
      <c r="U2220" t="s">
        <v>7662</v>
      </c>
      <c r="V2220" t="s">
        <v>7662</v>
      </c>
      <c r="W2220">
        <v>9</v>
      </c>
      <c r="X2220" t="s">
        <v>9882</v>
      </c>
      <c r="Y2220">
        <v>0.69500614531432936</v>
      </c>
      <c r="Z2220" t="str">
        <f>HYPERLINK("Melting_Curves/meltCurve_sp_Q8WZA0_LZIC_HUMAN_.pdf", "Melting_Curves/meltCurve_sp_Q8WZA0_LZIC_HUMAN_.pdf")</f>
        <v>Melting_Curves/meltCurve_sp_Q8WZA0_LZIC_HUMAN_.pdf</v>
      </c>
      <c r="AA2220" t="s">
        <v>13681</v>
      </c>
      <c r="AB2220" t="s">
        <v>17460</v>
      </c>
    </row>
    <row r="2221" spans="1:28" x14ac:dyDescent="0.25">
      <c r="A2221" t="s">
        <v>2225</v>
      </c>
      <c r="B2221">
        <v>0.98876768158843997</v>
      </c>
      <c r="C2221">
        <v>1.01811120937335</v>
      </c>
      <c r="D2221">
        <v>0.90205113733655595</v>
      </c>
      <c r="E2221">
        <v>0.76505955996262198</v>
      </c>
      <c r="F2221">
        <v>0.35884528731673199</v>
      </c>
      <c r="G2221">
        <v>0.17359073817975801</v>
      </c>
      <c r="H2221">
        <v>0.108469560920465</v>
      </c>
      <c r="I2221">
        <v>9.9909726140598898E-2</v>
      </c>
      <c r="J2221">
        <v>0.113880813760627</v>
      </c>
      <c r="K2221">
        <v>0.110940159307099</v>
      </c>
      <c r="L2221">
        <v>1494.58298317193</v>
      </c>
      <c r="M2221">
        <v>29.0163226993199</v>
      </c>
      <c r="N2221">
        <v>51.936252496977403</v>
      </c>
      <c r="O2221">
        <v>51.265562142681802</v>
      </c>
      <c r="P2221">
        <v>-0.12645704607507799</v>
      </c>
      <c r="Q2221">
        <v>0.106317723366029</v>
      </c>
      <c r="R2221">
        <v>0.99502177811729398</v>
      </c>
      <c r="S2221" t="s">
        <v>6053</v>
      </c>
      <c r="T2221" t="s">
        <v>7662</v>
      </c>
      <c r="U2221" t="s">
        <v>7662</v>
      </c>
      <c r="V2221" t="s">
        <v>7662</v>
      </c>
      <c r="W2221">
        <v>12</v>
      </c>
      <c r="X2221" t="s">
        <v>9883</v>
      </c>
      <c r="Y2221">
        <v>0.45519903123268141</v>
      </c>
      <c r="Z2221" t="str">
        <f>HYPERLINK("Melting_Curves/meltCurve_sp_Q8WZA9_IRGQ_HUMAN_.pdf", "Melting_Curves/meltCurve_sp_Q8WZA9_IRGQ_HUMAN_.pdf")</f>
        <v>Melting_Curves/meltCurve_sp_Q8WZA9_IRGQ_HUMAN_.pdf</v>
      </c>
      <c r="AA2221" t="s">
        <v>13682</v>
      </c>
      <c r="AB2221" t="s">
        <v>17461</v>
      </c>
    </row>
    <row r="2222" spans="1:28" x14ac:dyDescent="0.25">
      <c r="A2222" t="s">
        <v>2226</v>
      </c>
      <c r="B2222">
        <v>0.98876768158843997</v>
      </c>
      <c r="C2222">
        <v>0.86488967835288799</v>
      </c>
      <c r="D2222">
        <v>0.88349481837609301</v>
      </c>
      <c r="E2222">
        <v>0.40695610050620001</v>
      </c>
      <c r="F2222">
        <v>0.13022248920989701</v>
      </c>
      <c r="G2222">
        <v>9.3790092786437698E-2</v>
      </c>
      <c r="H2222">
        <v>6.3309002009127299E-2</v>
      </c>
      <c r="I2222">
        <v>5.3363484100832699E-2</v>
      </c>
      <c r="J2222">
        <v>6.06592759620731E-2</v>
      </c>
      <c r="K2222">
        <v>4.7003314983843497E-2</v>
      </c>
      <c r="L2222">
        <v>1316.6149772563799</v>
      </c>
      <c r="M2222">
        <v>26.888665601810398</v>
      </c>
      <c r="N2222">
        <v>49.172884432482498</v>
      </c>
      <c r="O2222">
        <v>48.697008946692698</v>
      </c>
      <c r="P2222">
        <v>-0.130640018651315</v>
      </c>
      <c r="Q2222">
        <v>5.36216833933542E-2</v>
      </c>
      <c r="R2222">
        <v>0.98915914030761598</v>
      </c>
      <c r="S2222" t="s">
        <v>6054</v>
      </c>
      <c r="T2222" t="s">
        <v>7662</v>
      </c>
      <c r="U2222" t="s">
        <v>7662</v>
      </c>
      <c r="V2222" t="s">
        <v>7662</v>
      </c>
      <c r="W2222">
        <v>7</v>
      </c>
      <c r="X2222" t="s">
        <v>9884</v>
      </c>
      <c r="Y2222">
        <v>0.34366006917060832</v>
      </c>
      <c r="Z2222" t="str">
        <f>HYPERLINK("Melting_Curves/meltCurve_sp_Q92499_DDX1_HUMAN_.pdf", "Melting_Curves/meltCurve_sp_Q92499_DDX1_HUMAN_.pdf")</f>
        <v>Melting_Curves/meltCurve_sp_Q92499_DDX1_HUMAN_.pdf</v>
      </c>
      <c r="AA2222" t="s">
        <v>13683</v>
      </c>
      <c r="AB2222" t="s">
        <v>17462</v>
      </c>
    </row>
    <row r="2223" spans="1:28" x14ac:dyDescent="0.25">
      <c r="A2223" t="s">
        <v>2227</v>
      </c>
      <c r="B2223">
        <v>0.98876768158843997</v>
      </c>
      <c r="C2223">
        <v>0.94595565628507094</v>
      </c>
      <c r="D2223">
        <v>0.97402748551954399</v>
      </c>
      <c r="E2223">
        <v>0.93459026570807702</v>
      </c>
      <c r="F2223">
        <v>0.759617948163545</v>
      </c>
      <c r="G2223">
        <v>0.59440853874552402</v>
      </c>
      <c r="H2223">
        <v>0.51963914012136403</v>
      </c>
      <c r="I2223">
        <v>0.52725793243405505</v>
      </c>
      <c r="J2223">
        <v>0.44913026311563498</v>
      </c>
      <c r="K2223">
        <v>0.39001982991401002</v>
      </c>
      <c r="L2223">
        <v>859.24561935221004</v>
      </c>
      <c r="M2223">
        <v>15.704812790552101</v>
      </c>
      <c r="N2223">
        <v>61.726668955953699</v>
      </c>
      <c r="O2223">
        <v>53.848192424010797</v>
      </c>
      <c r="P2223">
        <v>-4.2579221503891901E-2</v>
      </c>
      <c r="Q2223">
        <v>0.41607182959046601</v>
      </c>
      <c r="R2223">
        <v>0.97959910739550704</v>
      </c>
      <c r="S2223" t="s">
        <v>6055</v>
      </c>
      <c r="T2223" t="s">
        <v>7662</v>
      </c>
      <c r="U2223" t="s">
        <v>7662</v>
      </c>
      <c r="V2223" t="s">
        <v>7662</v>
      </c>
      <c r="W2223">
        <v>13</v>
      </c>
      <c r="X2223" t="s">
        <v>9885</v>
      </c>
      <c r="Y2223">
        <v>0.71332661535285202</v>
      </c>
      <c r="Z2223" t="str">
        <f>HYPERLINK("Melting_Curves/meltCurve_sp_Q92506_DHB8_HUMAN_.pdf", "Melting_Curves/meltCurve_sp_Q92506_DHB8_HUMAN_.pdf")</f>
        <v>Melting_Curves/meltCurve_sp_Q92506_DHB8_HUMAN_.pdf</v>
      </c>
      <c r="AA2223" t="s">
        <v>13684</v>
      </c>
      <c r="AB2223" t="s">
        <v>17463</v>
      </c>
    </row>
    <row r="2224" spans="1:28" x14ac:dyDescent="0.25">
      <c r="A2224" t="s">
        <v>2228</v>
      </c>
      <c r="B2224">
        <v>0.98876768158843997</v>
      </c>
      <c r="C2224">
        <v>1.05485560111761</v>
      </c>
      <c r="D2224">
        <v>0.908632185681017</v>
      </c>
      <c r="E2224">
        <v>0.791707918562508</v>
      </c>
      <c r="F2224">
        <v>0.69491865163533495</v>
      </c>
      <c r="G2224">
        <v>0.38495562068952599</v>
      </c>
      <c r="H2224">
        <v>0.18645195228651801</v>
      </c>
      <c r="I2224">
        <v>0.104072541471682</v>
      </c>
      <c r="J2224">
        <v>7.0510156769617499E-2</v>
      </c>
      <c r="K2224">
        <v>8.8909828844939406E-2</v>
      </c>
      <c r="L2224">
        <v>844.81104948309996</v>
      </c>
      <c r="M2224">
        <v>15.346533315547401</v>
      </c>
      <c r="N2224">
        <v>55.2054341794639</v>
      </c>
      <c r="O2224">
        <v>54.139670967163802</v>
      </c>
      <c r="P2224">
        <v>-6.9364030153425807E-2</v>
      </c>
      <c r="Q2224">
        <v>2.1277758310702801E-2</v>
      </c>
      <c r="R2224">
        <v>0.99197744652484299</v>
      </c>
      <c r="S2224" t="s">
        <v>6056</v>
      </c>
      <c r="T2224" t="s">
        <v>7662</v>
      </c>
      <c r="U2224" t="s">
        <v>7662</v>
      </c>
      <c r="V2224" t="s">
        <v>7662</v>
      </c>
      <c r="W2224">
        <v>5</v>
      </c>
      <c r="X2224" t="s">
        <v>9886</v>
      </c>
      <c r="Y2224">
        <v>0.53058794979447943</v>
      </c>
      <c r="Z2224" t="str">
        <f>HYPERLINK("Melting_Curves/meltCurve_sp_Q92526_TCPW_HUMAN_.pdf", "Melting_Curves/meltCurve_sp_Q92526_TCPW_HUMAN_.pdf")</f>
        <v>Melting_Curves/meltCurve_sp_Q92526_TCPW_HUMAN_.pdf</v>
      </c>
      <c r="AA2224" t="s">
        <v>13685</v>
      </c>
      <c r="AB2224" t="s">
        <v>17464</v>
      </c>
    </row>
    <row r="2225" spans="1:28" x14ac:dyDescent="0.25">
      <c r="A2225" t="s">
        <v>2229</v>
      </c>
      <c r="B2225">
        <v>0.98876768158843997</v>
      </c>
      <c r="C2225">
        <v>0.90680882120570605</v>
      </c>
      <c r="D2225">
        <v>1.0733236177472101</v>
      </c>
      <c r="E2225">
        <v>0.62554801101854196</v>
      </c>
      <c r="F2225">
        <v>0.22588989306526899</v>
      </c>
      <c r="G2225">
        <v>0.12599293750514601</v>
      </c>
      <c r="H2225">
        <v>8.0693540940149605E-2</v>
      </c>
      <c r="I2225">
        <v>6.9600699020451504E-2</v>
      </c>
      <c r="J2225">
        <v>7.7542227635180302E-2</v>
      </c>
      <c r="K2225">
        <v>7.7871661762641306E-2</v>
      </c>
      <c r="L2225">
        <v>2008.6198035631101</v>
      </c>
      <c r="M2225">
        <v>39.735900664137098</v>
      </c>
      <c r="N2225">
        <v>50.789403078951402</v>
      </c>
      <c r="O2225">
        <v>50.4217327181982</v>
      </c>
      <c r="P2225">
        <v>-0.18014408323977699</v>
      </c>
      <c r="Q2225">
        <v>8.5647387631757693E-2</v>
      </c>
      <c r="R2225">
        <v>0.98847403517051302</v>
      </c>
      <c r="S2225" t="s">
        <v>6057</v>
      </c>
      <c r="T2225" t="s">
        <v>7662</v>
      </c>
      <c r="U2225" t="s">
        <v>7662</v>
      </c>
      <c r="V2225" t="s">
        <v>7662</v>
      </c>
      <c r="W2225">
        <v>16</v>
      </c>
      <c r="X2225" t="s">
        <v>9887</v>
      </c>
      <c r="Y2225">
        <v>0.41040987879415641</v>
      </c>
      <c r="Z2225" t="str">
        <f>HYPERLINK("Melting_Curves/meltCurve_sp_Q92538_GBF1_HUMAN_.pdf", "Melting_Curves/meltCurve_sp_Q92538_GBF1_HUMAN_.pdf")</f>
        <v>Melting_Curves/meltCurve_sp_Q92538_GBF1_HUMAN_.pdf</v>
      </c>
      <c r="AA2225" t="s">
        <v>13686</v>
      </c>
      <c r="AB2225" t="s">
        <v>17465</v>
      </c>
    </row>
    <row r="2226" spans="1:28" x14ac:dyDescent="0.25">
      <c r="A2226" t="s">
        <v>2230</v>
      </c>
      <c r="B2226">
        <v>0.98876768158843997</v>
      </c>
      <c r="C2226">
        <v>1.0115359474214101</v>
      </c>
      <c r="D2226">
        <v>0.89928290719114401</v>
      </c>
      <c r="E2226">
        <v>0.720277800920199</v>
      </c>
      <c r="F2226">
        <v>0.641807965395774</v>
      </c>
      <c r="G2226">
        <v>0.415947630797319</v>
      </c>
      <c r="H2226">
        <v>0.30478556030632598</v>
      </c>
      <c r="I2226">
        <v>0.32070485965738799</v>
      </c>
      <c r="J2226">
        <v>0.40081734091175802</v>
      </c>
      <c r="K2226">
        <v>0.39544795200198801</v>
      </c>
      <c r="L2226">
        <v>920.12578064585796</v>
      </c>
      <c r="M2226">
        <v>17.930636682328199</v>
      </c>
      <c r="N2226">
        <v>54.830369104555302</v>
      </c>
      <c r="O2226">
        <v>50.690335563840797</v>
      </c>
      <c r="P2226">
        <v>-5.8228995713042797E-2</v>
      </c>
      <c r="Q2226">
        <v>0.34157397253128602</v>
      </c>
      <c r="R2226">
        <v>0.97398228348305005</v>
      </c>
      <c r="S2226" t="s">
        <v>6058</v>
      </c>
      <c r="T2226" t="s">
        <v>7662</v>
      </c>
      <c r="U2226" t="s">
        <v>7662</v>
      </c>
      <c r="V2226" t="s">
        <v>7662</v>
      </c>
      <c r="W2226">
        <v>5</v>
      </c>
      <c r="X2226" t="s">
        <v>9888</v>
      </c>
      <c r="Y2226">
        <v>0.60105756135381094</v>
      </c>
      <c r="Z2226" t="str">
        <f>HYPERLINK("Melting_Curves/meltCurve_sp_Q92541_RTF1_HUMAN_.pdf", "Melting_Curves/meltCurve_sp_Q92541_RTF1_HUMAN_.pdf")</f>
        <v>Melting_Curves/meltCurve_sp_Q92541_RTF1_HUMAN_.pdf</v>
      </c>
      <c r="AA2226" t="s">
        <v>13687</v>
      </c>
      <c r="AB2226" t="s">
        <v>17466</v>
      </c>
    </row>
    <row r="2227" spans="1:28" x14ac:dyDescent="0.25">
      <c r="A2227" t="s">
        <v>2231</v>
      </c>
      <c r="B2227">
        <v>0.98876768158843997</v>
      </c>
      <c r="C2227">
        <v>1.04002036033608</v>
      </c>
      <c r="D2227">
        <v>0.795185953787925</v>
      </c>
      <c r="E2227">
        <v>0.62143712630614101</v>
      </c>
      <c r="F2227">
        <v>0.766223469656657</v>
      </c>
      <c r="G2227">
        <v>0.50625750743526698</v>
      </c>
      <c r="H2227">
        <v>0.40444599893150401</v>
      </c>
      <c r="I2227">
        <v>0.463850510754099</v>
      </c>
      <c r="J2227">
        <v>0.62640527822496295</v>
      </c>
      <c r="K2227">
        <v>0.67725189835839095</v>
      </c>
      <c r="L2227">
        <v>970.75233779726705</v>
      </c>
      <c r="M2227">
        <v>20.4782654690088</v>
      </c>
      <c r="O2227">
        <v>46.958928791092603</v>
      </c>
      <c r="P2227">
        <v>-4.8703382983644898E-2</v>
      </c>
      <c r="Q2227">
        <v>0.55328421176160303</v>
      </c>
      <c r="R2227">
        <v>0.76248217184617195</v>
      </c>
      <c r="S2227" t="s">
        <v>6059</v>
      </c>
      <c r="T2227" t="s">
        <v>7662</v>
      </c>
      <c r="U2227" t="s">
        <v>7662</v>
      </c>
      <c r="V2227" t="s">
        <v>7662</v>
      </c>
      <c r="W2227">
        <v>2</v>
      </c>
      <c r="X2227" t="s">
        <v>9889</v>
      </c>
      <c r="Y2227">
        <v>0.66965726725286445</v>
      </c>
      <c r="Z2227" t="str">
        <f>HYPERLINK("Melting_Curves/meltCurve_sp_Q92545_TM131_HUMAN_.pdf", "Melting_Curves/meltCurve_sp_Q92545_TM131_HUMAN_.pdf")</f>
        <v>Melting_Curves/meltCurve_sp_Q92545_TM131_HUMAN_.pdf</v>
      </c>
      <c r="AA2227" t="s">
        <v>13688</v>
      </c>
      <c r="AB2227" t="s">
        <v>17467</v>
      </c>
    </row>
    <row r="2228" spans="1:28" x14ac:dyDescent="0.25">
      <c r="A2228" t="s">
        <v>2232</v>
      </c>
      <c r="B2228">
        <v>0.98876768158843997</v>
      </c>
      <c r="C2228">
        <v>1.00066369619739</v>
      </c>
      <c r="D2228">
        <v>0.81934149413291602</v>
      </c>
      <c r="E2228">
        <v>0.74619027948458405</v>
      </c>
      <c r="F2228">
        <v>1.0348717448764799</v>
      </c>
      <c r="G2228">
        <v>0.77406085418053205</v>
      </c>
      <c r="H2228">
        <v>0.55798804942189895</v>
      </c>
      <c r="I2228">
        <v>0.71502648099865795</v>
      </c>
      <c r="J2228">
        <v>0.37416883449074101</v>
      </c>
      <c r="K2228">
        <v>1.1584607267324101</v>
      </c>
      <c r="L2228">
        <v>557.877326909526</v>
      </c>
      <c r="M2228">
        <v>11.5265015503171</v>
      </c>
      <c r="O2228">
        <v>47.011502220043397</v>
      </c>
      <c r="P2228">
        <v>-1.7150561170357601E-2</v>
      </c>
      <c r="Q2228">
        <v>0.72028049984977804</v>
      </c>
      <c r="R2228">
        <v>0.167638498332942</v>
      </c>
      <c r="S2228" t="s">
        <v>6060</v>
      </c>
      <c r="T2228" t="s">
        <v>7662</v>
      </c>
      <c r="U2228" t="s">
        <v>7662</v>
      </c>
      <c r="V2228" t="s">
        <v>7662</v>
      </c>
      <c r="W2228">
        <v>5</v>
      </c>
      <c r="X2228" t="s">
        <v>9890</v>
      </c>
      <c r="Y2228">
        <v>0.81002399100077738</v>
      </c>
      <c r="Z2228" t="str">
        <f>HYPERLINK("Melting_Curves/meltCurve_sp_Q92552_RT27_HUMAN_.pdf", "Melting_Curves/meltCurve_sp_Q92552_RT27_HUMAN_.pdf")</f>
        <v>Melting_Curves/meltCurve_sp_Q92552_RT27_HUMAN_.pdf</v>
      </c>
      <c r="AA2228" t="s">
        <v>13689</v>
      </c>
      <c r="AB2228" t="s">
        <v>17468</v>
      </c>
    </row>
    <row r="2229" spans="1:28" x14ac:dyDescent="0.25">
      <c r="A2229" t="s">
        <v>2233</v>
      </c>
      <c r="B2229">
        <v>0.98876768158843997</v>
      </c>
      <c r="C2229">
        <v>0.94482717414623796</v>
      </c>
      <c r="D2229">
        <v>0.92518323629765997</v>
      </c>
      <c r="E2229">
        <v>0.62971937249073295</v>
      </c>
      <c r="F2229">
        <v>0.247249747291935</v>
      </c>
      <c r="G2229">
        <v>0.15213252537736099</v>
      </c>
      <c r="H2229">
        <v>9.7956029740628198E-2</v>
      </c>
      <c r="I2229">
        <v>8.1388930583497401E-2</v>
      </c>
      <c r="J2229">
        <v>0.12537024324344201</v>
      </c>
      <c r="K2229">
        <v>8.6827743796673407E-2</v>
      </c>
      <c r="L2229">
        <v>1480.6215468698999</v>
      </c>
      <c r="M2229">
        <v>29.347282728121499</v>
      </c>
      <c r="N2229">
        <v>50.829640814722602</v>
      </c>
      <c r="O2229">
        <v>50.219224923027298</v>
      </c>
      <c r="P2229">
        <v>-0.13177799389731701</v>
      </c>
      <c r="Q2229">
        <v>9.8009622375510905E-2</v>
      </c>
      <c r="R2229">
        <v>0.99557352988385195</v>
      </c>
      <c r="S2229" t="s">
        <v>6061</v>
      </c>
      <c r="T2229" t="s">
        <v>7662</v>
      </c>
      <c r="U2229" t="s">
        <v>7662</v>
      </c>
      <c r="V2229" t="s">
        <v>7662</v>
      </c>
      <c r="W2229">
        <v>10</v>
      </c>
      <c r="X2229" t="s">
        <v>9891</v>
      </c>
      <c r="Y2229">
        <v>0.41813010140356188</v>
      </c>
      <c r="Z2229" t="str">
        <f>HYPERLINK("Melting_Curves/meltCurve_sp_Q92556_ELMO1_HUMAN_.pdf", "Melting_Curves/meltCurve_sp_Q92556_ELMO1_HUMAN_.pdf")</f>
        <v>Melting_Curves/meltCurve_sp_Q92556_ELMO1_HUMAN_.pdf</v>
      </c>
      <c r="AA2229" t="s">
        <v>13690</v>
      </c>
      <c r="AB2229" t="s">
        <v>17469</v>
      </c>
    </row>
    <row r="2230" spans="1:28" x14ac:dyDescent="0.25">
      <c r="A2230" t="s">
        <v>2234</v>
      </c>
      <c r="B2230">
        <v>0.98876768158843997</v>
      </c>
      <c r="C2230">
        <v>0.87489618506084599</v>
      </c>
      <c r="D2230">
        <v>1.0093577197747701</v>
      </c>
      <c r="E2230">
        <v>0.67839867444906399</v>
      </c>
      <c r="F2230">
        <v>0.40134639298759101</v>
      </c>
      <c r="G2230">
        <v>0.175869558983861</v>
      </c>
      <c r="H2230">
        <v>9.5561703988266994E-2</v>
      </c>
      <c r="I2230">
        <v>8.9001607615786002E-2</v>
      </c>
      <c r="J2230">
        <v>7.9743561027161194E-2</v>
      </c>
      <c r="K2230">
        <v>0.100980226593229</v>
      </c>
      <c r="L2230">
        <v>1215.6596520452299</v>
      </c>
      <c r="M2230">
        <v>23.6076548137362</v>
      </c>
      <c r="N2230">
        <v>51.8983592686278</v>
      </c>
      <c r="O2230">
        <v>51.129082790366702</v>
      </c>
      <c r="P2230">
        <v>-0.105742866966595</v>
      </c>
      <c r="Q2230">
        <v>8.3950709353366001E-2</v>
      </c>
      <c r="R2230">
        <v>0.98710914562662999</v>
      </c>
      <c r="S2230" t="s">
        <v>6062</v>
      </c>
      <c r="T2230" t="s">
        <v>7662</v>
      </c>
      <c r="U2230" t="s">
        <v>7662</v>
      </c>
      <c r="V2230" t="s">
        <v>7662</v>
      </c>
      <c r="W2230">
        <v>2</v>
      </c>
      <c r="X2230" t="s">
        <v>9892</v>
      </c>
      <c r="Y2230">
        <v>0.44422449860137131</v>
      </c>
      <c r="Z2230" t="str">
        <f>HYPERLINK("Melting_Curves/meltCurve_sp_Q92572_AP3S1_HUMAN_.pdf", "Melting_Curves/meltCurve_sp_Q92572_AP3S1_HUMAN_.pdf")</f>
        <v>Melting_Curves/meltCurve_sp_Q92572_AP3S1_HUMAN_.pdf</v>
      </c>
      <c r="AA2230" t="s">
        <v>13691</v>
      </c>
      <c r="AB2230" t="s">
        <v>17470</v>
      </c>
    </row>
    <row r="2231" spans="1:28" x14ac:dyDescent="0.25">
      <c r="A2231" t="s">
        <v>2235</v>
      </c>
      <c r="B2231">
        <v>0.98876768158843997</v>
      </c>
      <c r="C2231">
        <v>0.99133866138557303</v>
      </c>
      <c r="D2231">
        <v>0.87715078516811795</v>
      </c>
      <c r="E2231">
        <v>0.71418716943309701</v>
      </c>
      <c r="F2231">
        <v>0.56371875305013397</v>
      </c>
      <c r="G2231">
        <v>0.39164179522480702</v>
      </c>
      <c r="H2231">
        <v>0.259154113734197</v>
      </c>
      <c r="I2231">
        <v>0.27490875133875398</v>
      </c>
      <c r="J2231">
        <v>0.255598787598666</v>
      </c>
      <c r="K2231">
        <v>0.33724841364410502</v>
      </c>
      <c r="L2231">
        <v>844.57663061299695</v>
      </c>
      <c r="M2231">
        <v>16.426745681600899</v>
      </c>
      <c r="N2231">
        <v>53.8288104535253</v>
      </c>
      <c r="O2231">
        <v>50.670884179061098</v>
      </c>
      <c r="P2231">
        <v>-5.9925478000709798E-2</v>
      </c>
      <c r="Q2231">
        <v>0.26065406736278102</v>
      </c>
      <c r="R2231">
        <v>0.98826109325676004</v>
      </c>
      <c r="S2231" t="s">
        <v>6063</v>
      </c>
      <c r="T2231" t="s">
        <v>7662</v>
      </c>
      <c r="U2231" t="s">
        <v>7662</v>
      </c>
      <c r="V2231" t="s">
        <v>7662</v>
      </c>
      <c r="W2231">
        <v>3</v>
      </c>
      <c r="X2231" t="s">
        <v>9893</v>
      </c>
      <c r="Y2231">
        <v>0.55648482069977523</v>
      </c>
      <c r="Z2231" t="str">
        <f>HYPERLINK("Melting_Curves/meltCurve_sp_Q92575_UBXN4_HUMAN_.pdf", "Melting_Curves/meltCurve_sp_Q92575_UBXN4_HUMAN_.pdf")</f>
        <v>Melting_Curves/meltCurve_sp_Q92575_UBXN4_HUMAN_.pdf</v>
      </c>
      <c r="AA2231" t="s">
        <v>13692</v>
      </c>
      <c r="AB2231" t="s">
        <v>17471</v>
      </c>
    </row>
    <row r="2232" spans="1:28" x14ac:dyDescent="0.25">
      <c r="A2232" t="s">
        <v>2236</v>
      </c>
      <c r="B2232">
        <v>0.98876768158843997</v>
      </c>
      <c r="C2232">
        <v>1.1073500897928099</v>
      </c>
      <c r="D2232">
        <v>0.89344880179923802</v>
      </c>
      <c r="E2232">
        <v>0.72602793485787998</v>
      </c>
      <c r="F2232">
        <v>0.79230938351834301</v>
      </c>
      <c r="G2232">
        <v>0.527583633141118</v>
      </c>
      <c r="H2232">
        <v>0.39543993986878301</v>
      </c>
      <c r="I2232">
        <v>0.47176640478221399</v>
      </c>
      <c r="J2232">
        <v>0.48480799373292499</v>
      </c>
      <c r="K2232">
        <v>0.60989027065582402</v>
      </c>
      <c r="L2232">
        <v>914.114273356485</v>
      </c>
      <c r="M2232">
        <v>17.828846702599499</v>
      </c>
      <c r="N2232">
        <v>63.544271932294699</v>
      </c>
      <c r="O2232">
        <v>50.6396868452874</v>
      </c>
      <c r="P2232">
        <v>-4.5417806733759898E-2</v>
      </c>
      <c r="Q2232">
        <v>0.48402168947633301</v>
      </c>
      <c r="R2232">
        <v>0.870280436520116</v>
      </c>
      <c r="S2232" t="s">
        <v>6064</v>
      </c>
      <c r="T2232" t="s">
        <v>7662</v>
      </c>
      <c r="U2232" t="s">
        <v>7662</v>
      </c>
      <c r="V2232" t="s">
        <v>7662</v>
      </c>
      <c r="W2232">
        <v>7</v>
      </c>
      <c r="X2232" t="s">
        <v>9894</v>
      </c>
      <c r="Y2232">
        <v>0.68670008763268342</v>
      </c>
      <c r="Z2232" t="str">
        <f>HYPERLINK("Melting_Curves/meltCurve_sp_Q92576_2_PHF3_HUMAN_.pdf", "Melting_Curves/meltCurve_sp_Q92576_2_PHF3_HUMAN_.pdf")</f>
        <v>Melting_Curves/meltCurve_sp_Q92576_2_PHF3_HUMAN_.pdf</v>
      </c>
      <c r="AA2232" t="s">
        <v>13693</v>
      </c>
      <c r="AB2232" t="s">
        <v>17472</v>
      </c>
    </row>
    <row r="2233" spans="1:28" x14ac:dyDescent="0.25">
      <c r="A2233" t="s">
        <v>2237</v>
      </c>
      <c r="B2233">
        <v>0.98876768158843997</v>
      </c>
      <c r="C2233">
        <v>1.0373930769980699</v>
      </c>
      <c r="D2233">
        <v>0.84680610897075703</v>
      </c>
      <c r="E2233">
        <v>0.67166886890766098</v>
      </c>
      <c r="F2233">
        <v>0.59608989380458299</v>
      </c>
      <c r="G2233">
        <v>0.12709055568622801</v>
      </c>
      <c r="H2233">
        <v>6.7625115508988295E-2</v>
      </c>
      <c r="I2233">
        <v>6.1723873694748799E-2</v>
      </c>
      <c r="J2233">
        <v>7.0094797846621495E-2</v>
      </c>
      <c r="K2233">
        <v>5.9980844865941803E-2</v>
      </c>
      <c r="L2233">
        <v>919.19369244481004</v>
      </c>
      <c r="M2233">
        <v>17.485800777920801</v>
      </c>
      <c r="N2233">
        <v>52.687992243997002</v>
      </c>
      <c r="O2233">
        <v>51.894922060727197</v>
      </c>
      <c r="P2233">
        <v>-8.2596666189872797E-2</v>
      </c>
      <c r="Q2233">
        <v>1.95221568294132E-2</v>
      </c>
      <c r="R2233">
        <v>0.97611647246257005</v>
      </c>
      <c r="S2233" t="s">
        <v>6065</v>
      </c>
      <c r="T2233" t="s">
        <v>7662</v>
      </c>
      <c r="U2233" t="s">
        <v>7662</v>
      </c>
      <c r="V2233" t="s">
        <v>7662</v>
      </c>
      <c r="W2233">
        <v>6</v>
      </c>
      <c r="X2233" t="s">
        <v>9895</v>
      </c>
      <c r="Y2233">
        <v>0.44723876424679698</v>
      </c>
      <c r="Z2233" t="str">
        <f>HYPERLINK("Melting_Curves/meltCurve_sp_Q92597_NDRG1_HUMAN_.pdf", "Melting_Curves/meltCurve_sp_Q92597_NDRG1_HUMAN_.pdf")</f>
        <v>Melting_Curves/meltCurve_sp_Q92597_NDRG1_HUMAN_.pdf</v>
      </c>
      <c r="AA2233" t="s">
        <v>13694</v>
      </c>
      <c r="AB2233" t="s">
        <v>17473</v>
      </c>
    </row>
    <row r="2234" spans="1:28" x14ac:dyDescent="0.25">
      <c r="A2234" t="s">
        <v>2238</v>
      </c>
      <c r="B2234">
        <v>0.98876768158843997</v>
      </c>
      <c r="C2234">
        <v>0.89982899246294701</v>
      </c>
      <c r="D2234">
        <v>1.00400544480748</v>
      </c>
      <c r="E2234">
        <v>0.72997688139632599</v>
      </c>
      <c r="F2234">
        <v>0.31044068267208702</v>
      </c>
      <c r="G2234">
        <v>0.18105585541375199</v>
      </c>
      <c r="H2234">
        <v>9.5423659243506195E-2</v>
      </c>
      <c r="I2234">
        <v>8.8834298400431694E-2</v>
      </c>
      <c r="J2234">
        <v>0.111230655869095</v>
      </c>
      <c r="K2234">
        <v>8.3291246611230302E-2</v>
      </c>
      <c r="L2234">
        <v>1701.9385512588401</v>
      </c>
      <c r="M2234">
        <v>33.2190244798349</v>
      </c>
      <c r="N2234">
        <v>51.590181594836302</v>
      </c>
      <c r="O2234">
        <v>51.049252085843399</v>
      </c>
      <c r="P2234">
        <v>-0.146005106082672</v>
      </c>
      <c r="Q2234">
        <v>0.102511987245366</v>
      </c>
      <c r="R2234">
        <v>0.99061554499119897</v>
      </c>
      <c r="S2234" t="s">
        <v>6066</v>
      </c>
      <c r="T2234" t="s">
        <v>7662</v>
      </c>
      <c r="U2234" t="s">
        <v>7662</v>
      </c>
      <c r="V2234" t="s">
        <v>7662</v>
      </c>
      <c r="W2234">
        <v>24</v>
      </c>
      <c r="X2234" t="s">
        <v>9896</v>
      </c>
      <c r="Y2234">
        <v>0.44320490771132243</v>
      </c>
      <c r="Z2234" t="str">
        <f>HYPERLINK("Melting_Curves/meltCurve_sp_Q92598_2_HS105_HUMAN_.pdf", "Melting_Curves/meltCurve_sp_Q92598_2_HS105_HUMAN_.pdf")</f>
        <v>Melting_Curves/meltCurve_sp_Q92598_2_HS105_HUMAN_.pdf</v>
      </c>
      <c r="AA2234" t="s">
        <v>13695</v>
      </c>
      <c r="AB2234" t="s">
        <v>17474</v>
      </c>
    </row>
    <row r="2235" spans="1:28" x14ac:dyDescent="0.25">
      <c r="A2235" t="s">
        <v>2239</v>
      </c>
      <c r="B2235">
        <v>0.98876768158843997</v>
      </c>
      <c r="C2235">
        <v>1.0152831963138</v>
      </c>
      <c r="D2235">
        <v>1.18275282463235</v>
      </c>
      <c r="E2235">
        <v>1.03878567925569</v>
      </c>
      <c r="F2235">
        <v>0.69163959986318502</v>
      </c>
      <c r="G2235">
        <v>0.48349647138936003</v>
      </c>
      <c r="H2235">
        <v>0.31007364758546002</v>
      </c>
      <c r="I2235">
        <v>0.17239563296458801</v>
      </c>
      <c r="J2235">
        <v>0.217806113855401</v>
      </c>
      <c r="K2235">
        <v>0.15645214418133199</v>
      </c>
      <c r="L2235">
        <v>1274.36677191075</v>
      </c>
      <c r="M2235">
        <v>23.019739580548698</v>
      </c>
      <c r="N2235">
        <v>56.439130401024102</v>
      </c>
      <c r="O2235">
        <v>54.947040848792497</v>
      </c>
      <c r="P2235">
        <v>-8.6088109880186295E-2</v>
      </c>
      <c r="Q2235">
        <v>0.178062198216558</v>
      </c>
      <c r="R2235">
        <v>0.95860967261770602</v>
      </c>
      <c r="S2235" t="s">
        <v>6067</v>
      </c>
      <c r="T2235" t="s">
        <v>7662</v>
      </c>
      <c r="U2235" t="s">
        <v>7662</v>
      </c>
      <c r="V2235" t="s">
        <v>7662</v>
      </c>
      <c r="W2235">
        <v>4</v>
      </c>
      <c r="X2235" t="s">
        <v>9897</v>
      </c>
      <c r="Y2235">
        <v>0.60760525623141382</v>
      </c>
      <c r="Z2235" t="str">
        <f>HYPERLINK("Melting_Curves/meltCurve_sp_Q92599_2_SEPT8_HUMAN_.pdf", "Melting_Curves/meltCurve_sp_Q92599_2_SEPT8_HUMAN_.pdf")</f>
        <v>Melting_Curves/meltCurve_sp_Q92599_2_SEPT8_HUMAN_.pdf</v>
      </c>
      <c r="AA2235" t="s">
        <v>13696</v>
      </c>
      <c r="AB2235" t="s">
        <v>17475</v>
      </c>
    </row>
    <row r="2236" spans="1:28" x14ac:dyDescent="0.25">
      <c r="A2236" t="s">
        <v>2240</v>
      </c>
      <c r="B2236">
        <v>0.98876768158843997</v>
      </c>
      <c r="C2236">
        <v>1.0553149026458599</v>
      </c>
      <c r="D2236">
        <v>0.90502030835371705</v>
      </c>
      <c r="E2236">
        <v>0.72830020461897005</v>
      </c>
      <c r="F2236">
        <v>0.76850203242999804</v>
      </c>
      <c r="G2236">
        <v>0.45578068802680399</v>
      </c>
      <c r="H2236">
        <v>0.36903472989881297</v>
      </c>
      <c r="I2236">
        <v>0.432850088629878</v>
      </c>
      <c r="J2236">
        <v>0.50677560809984901</v>
      </c>
      <c r="K2236">
        <v>0.61074501526595404</v>
      </c>
      <c r="L2236">
        <v>1000.61713724334</v>
      </c>
      <c r="M2236">
        <v>19.6220169206779</v>
      </c>
      <c r="N2236">
        <v>59.567842695004899</v>
      </c>
      <c r="O2236">
        <v>50.4738241917821</v>
      </c>
      <c r="P2236">
        <v>-5.1481086641776398E-2</v>
      </c>
      <c r="Q2236">
        <v>0.47031824098259201</v>
      </c>
      <c r="R2236">
        <v>0.87347686255405899</v>
      </c>
      <c r="S2236" t="s">
        <v>6068</v>
      </c>
      <c r="T2236" t="s">
        <v>7662</v>
      </c>
      <c r="U2236" t="s">
        <v>7662</v>
      </c>
      <c r="V2236" t="s">
        <v>7662</v>
      </c>
      <c r="W2236">
        <v>10</v>
      </c>
      <c r="X2236" t="s">
        <v>9898</v>
      </c>
      <c r="Y2236">
        <v>0.67205925694669066</v>
      </c>
      <c r="Z2236" t="str">
        <f>HYPERLINK("Melting_Curves/meltCurve_sp_Q92609_TBCD5_HUMAN_.pdf", "Melting_Curves/meltCurve_sp_Q92609_TBCD5_HUMAN_.pdf")</f>
        <v>Melting_Curves/meltCurve_sp_Q92609_TBCD5_HUMAN_.pdf</v>
      </c>
      <c r="AA2236" t="s">
        <v>13697</v>
      </c>
      <c r="AB2236" t="s">
        <v>17476</v>
      </c>
    </row>
    <row r="2237" spans="1:28" x14ac:dyDescent="0.25">
      <c r="A2237" t="s">
        <v>2241</v>
      </c>
      <c r="B2237">
        <v>0.98876768158843997</v>
      </c>
      <c r="C2237">
        <v>0.93731387544004896</v>
      </c>
      <c r="D2237">
        <v>1.02544801489341</v>
      </c>
      <c r="E2237">
        <v>0.55249525248134701</v>
      </c>
      <c r="F2237">
        <v>0.24262136883048299</v>
      </c>
      <c r="G2237">
        <v>0.14692991524658999</v>
      </c>
      <c r="H2237">
        <v>0.10872166933951601</v>
      </c>
      <c r="I2237">
        <v>9.6942849464045897E-2</v>
      </c>
      <c r="J2237">
        <v>0.120975919313225</v>
      </c>
      <c r="K2237">
        <v>0.118336071616972</v>
      </c>
      <c r="L2237">
        <v>1857.0286963573101</v>
      </c>
      <c r="M2237">
        <v>37.0917832854567</v>
      </c>
      <c r="N2237">
        <v>50.435208879588103</v>
      </c>
      <c r="O2237">
        <v>49.920901106494703</v>
      </c>
      <c r="P2237">
        <v>-0.16365651614476201</v>
      </c>
      <c r="Q2237">
        <v>0.118957494113051</v>
      </c>
      <c r="R2237">
        <v>0.99386179398250396</v>
      </c>
      <c r="S2237" t="s">
        <v>6069</v>
      </c>
      <c r="T2237" t="s">
        <v>7662</v>
      </c>
      <c r="U2237" t="s">
        <v>7662</v>
      </c>
      <c r="V2237" t="s">
        <v>7662</v>
      </c>
      <c r="W2237">
        <v>27</v>
      </c>
      <c r="X2237" t="s">
        <v>9899</v>
      </c>
      <c r="Y2237">
        <v>0.41812191535072007</v>
      </c>
      <c r="Z2237" t="str">
        <f>HYPERLINK("Melting_Curves/meltCurve_sp_Q92614_4_MY18A_HUMAN_.pdf", "Melting_Curves/meltCurve_sp_Q92614_4_MY18A_HUMAN_.pdf")</f>
        <v>Melting_Curves/meltCurve_sp_Q92614_4_MY18A_HUMAN_.pdf</v>
      </c>
      <c r="AA2237" t="s">
        <v>13698</v>
      </c>
      <c r="AB2237" t="s">
        <v>17477</v>
      </c>
    </row>
    <row r="2238" spans="1:28" x14ac:dyDescent="0.25">
      <c r="A2238" t="s">
        <v>2242</v>
      </c>
      <c r="B2238">
        <v>0.98876768158843997</v>
      </c>
      <c r="C2238">
        <v>1.2155775508442901</v>
      </c>
      <c r="D2238">
        <v>0.84295211411995596</v>
      </c>
      <c r="E2238">
        <v>0.72374093524656002</v>
      </c>
      <c r="F2238">
        <v>0.87843865588876002</v>
      </c>
      <c r="G2238">
        <v>0.60300410956077</v>
      </c>
      <c r="H2238">
        <v>0.483113655960276</v>
      </c>
      <c r="I2238">
        <v>0.52443615045216097</v>
      </c>
      <c r="J2238">
        <v>0.64440802028058397</v>
      </c>
      <c r="K2238">
        <v>0.79480208864031798</v>
      </c>
      <c r="L2238">
        <v>946.33937208781697</v>
      </c>
      <c r="M2238">
        <v>18.997953393062001</v>
      </c>
      <c r="O2238">
        <v>49.270617818451299</v>
      </c>
      <c r="P2238">
        <v>-3.6882414759115398E-2</v>
      </c>
      <c r="Q2238">
        <v>0.61740148472550005</v>
      </c>
      <c r="R2238">
        <v>0.64279775228829195</v>
      </c>
      <c r="S2238" t="s">
        <v>6070</v>
      </c>
      <c r="T2238" t="s">
        <v>7662</v>
      </c>
      <c r="U2238" t="s">
        <v>7662</v>
      </c>
      <c r="V2238" t="s">
        <v>7662</v>
      </c>
      <c r="W2238">
        <v>2</v>
      </c>
      <c r="X2238" t="s">
        <v>9900</v>
      </c>
      <c r="Y2238">
        <v>0.7484396036946469</v>
      </c>
      <c r="Z2238" t="str">
        <f>HYPERLINK("Melting_Curves/meltCurve_sp_Q92615_LAR4B_HUMAN_.pdf", "Melting_Curves/meltCurve_sp_Q92615_LAR4B_HUMAN_.pdf")</f>
        <v>Melting_Curves/meltCurve_sp_Q92615_LAR4B_HUMAN_.pdf</v>
      </c>
      <c r="AA2238" t="s">
        <v>13699</v>
      </c>
      <c r="AB2238" t="s">
        <v>17478</v>
      </c>
    </row>
    <row r="2239" spans="1:28" x14ac:dyDescent="0.25">
      <c r="A2239" t="s">
        <v>2243</v>
      </c>
      <c r="B2239">
        <v>0.98876768158843997</v>
      </c>
      <c r="C2239">
        <v>0.53913254901072005</v>
      </c>
      <c r="D2239">
        <v>0.36306223066114202</v>
      </c>
      <c r="E2239">
        <v>0.18066411674788299</v>
      </c>
      <c r="F2239">
        <v>0.114593498195097</v>
      </c>
      <c r="G2239">
        <v>6.5133608624823494E-2</v>
      </c>
      <c r="H2239">
        <v>4.6206113033162702E-2</v>
      </c>
      <c r="I2239">
        <v>4.2035519363110799E-2</v>
      </c>
      <c r="J2239">
        <v>5.0405809752423397E-2</v>
      </c>
      <c r="K2239">
        <v>3.3895112234217803E-2</v>
      </c>
      <c r="L2239">
        <v>836.16820040528205</v>
      </c>
      <c r="M2239">
        <v>19.029282399328601</v>
      </c>
      <c r="N2239">
        <v>44.210268313229498</v>
      </c>
      <c r="O2239">
        <v>43.4645131130804</v>
      </c>
      <c r="P2239">
        <v>-0.103470908703663</v>
      </c>
      <c r="Q2239">
        <v>5.4692078817011797E-2</v>
      </c>
      <c r="R2239">
        <v>0.97011663111930002</v>
      </c>
      <c r="S2239" t="s">
        <v>6071</v>
      </c>
      <c r="T2239" t="s">
        <v>7662</v>
      </c>
      <c r="U2239" t="s">
        <v>7662</v>
      </c>
      <c r="V2239" t="s">
        <v>7662</v>
      </c>
      <c r="W2239">
        <v>25</v>
      </c>
      <c r="X2239" t="s">
        <v>9901</v>
      </c>
      <c r="Y2239">
        <v>0.19965196966279991</v>
      </c>
      <c r="Z2239" t="str">
        <f>HYPERLINK("Melting_Curves/meltCurve_sp_Q92616_GCN1L_HUMAN_.pdf", "Melting_Curves/meltCurve_sp_Q92616_GCN1L_HUMAN_.pdf")</f>
        <v>Melting_Curves/meltCurve_sp_Q92616_GCN1L_HUMAN_.pdf</v>
      </c>
      <c r="AA2239" t="s">
        <v>13700</v>
      </c>
      <c r="AB2239" t="s">
        <v>17479</v>
      </c>
    </row>
    <row r="2240" spans="1:28" x14ac:dyDescent="0.25">
      <c r="A2240" t="s">
        <v>2244</v>
      </c>
      <c r="B2240">
        <v>0.98876768158843997</v>
      </c>
      <c r="C2240">
        <v>0.88601474567580896</v>
      </c>
      <c r="D2240">
        <v>0.87719929591357004</v>
      </c>
      <c r="E2240">
        <v>0.52667119983921096</v>
      </c>
      <c r="F2240">
        <v>0.187153228346159</v>
      </c>
      <c r="G2240">
        <v>0.103068512534277</v>
      </c>
      <c r="H2240">
        <v>0.115012819240961</v>
      </c>
      <c r="I2240">
        <v>5.87192528646127E-2</v>
      </c>
      <c r="J2240">
        <v>0.109752552068339</v>
      </c>
      <c r="K2240">
        <v>7.0504369235298306E-2</v>
      </c>
      <c r="L2240">
        <v>1219.8338241741801</v>
      </c>
      <c r="M2240">
        <v>24.6074056728846</v>
      </c>
      <c r="N2240">
        <v>49.911744463597003</v>
      </c>
      <c r="O2240">
        <v>49.247914360811798</v>
      </c>
      <c r="P2240">
        <v>-0.115280468326179</v>
      </c>
      <c r="Q2240">
        <v>7.7149151485293194E-2</v>
      </c>
      <c r="R2240">
        <v>0.98897984472804201</v>
      </c>
      <c r="S2240" t="s">
        <v>6072</v>
      </c>
      <c r="T2240" t="s">
        <v>7662</v>
      </c>
      <c r="U2240" t="s">
        <v>7662</v>
      </c>
      <c r="V2240" t="s">
        <v>7662</v>
      </c>
      <c r="W2240">
        <v>3</v>
      </c>
      <c r="X2240" t="s">
        <v>9902</v>
      </c>
      <c r="Y2240">
        <v>0.38007710344707463</v>
      </c>
      <c r="Z2240" t="str">
        <f>HYPERLINK("Melting_Curves/meltCurve_sp_Q92621_NU205_HUMAN_.pdf", "Melting_Curves/meltCurve_sp_Q92621_NU205_HUMAN_.pdf")</f>
        <v>Melting_Curves/meltCurve_sp_Q92621_NU205_HUMAN_.pdf</v>
      </c>
      <c r="AA2240" t="s">
        <v>13701</v>
      </c>
      <c r="AB2240" t="s">
        <v>17480</v>
      </c>
    </row>
    <row r="2241" spans="1:28" x14ac:dyDescent="0.25">
      <c r="A2241" t="s">
        <v>2245</v>
      </c>
      <c r="B2241">
        <v>0.98876768158843997</v>
      </c>
      <c r="C2241">
        <v>1.2086708212178201</v>
      </c>
      <c r="D2241">
        <v>0.86264060562730804</v>
      </c>
      <c r="E2241">
        <v>0.54097685644694005</v>
      </c>
      <c r="F2241">
        <v>0.72559371224772296</v>
      </c>
      <c r="G2241">
        <v>0.458412782683362</v>
      </c>
      <c r="H2241">
        <v>0.358517550548339</v>
      </c>
      <c r="I2241">
        <v>0.42514263897714599</v>
      </c>
      <c r="J2241">
        <v>0.520444775569602</v>
      </c>
      <c r="K2241">
        <v>0.56247771670258995</v>
      </c>
      <c r="S2241" t="s">
        <v>6073</v>
      </c>
      <c r="T2241" t="s">
        <v>7662</v>
      </c>
      <c r="U2241" t="s">
        <v>7663</v>
      </c>
      <c r="V2241" t="s">
        <v>7662</v>
      </c>
      <c r="W2241">
        <v>2</v>
      </c>
      <c r="X2241" t="s">
        <v>9903</v>
      </c>
      <c r="Z2241" t="str">
        <f>HYPERLINK("Melting_Curves/meltCurve_sp_Q92665_RT31_HUMAN_.pdf", "Melting_Curves/meltCurve_sp_Q92665_RT31_HUMAN_.pdf")</f>
        <v>Melting_Curves/meltCurve_sp_Q92665_RT31_HUMAN_.pdf</v>
      </c>
      <c r="AA2241" t="s">
        <v>13702</v>
      </c>
      <c r="AB2241" t="s">
        <v>17481</v>
      </c>
    </row>
    <row r="2242" spans="1:28" x14ac:dyDescent="0.25">
      <c r="A2242" t="s">
        <v>2246</v>
      </c>
      <c r="B2242">
        <v>0.98876768158843997</v>
      </c>
      <c r="C2242">
        <v>1.01012316300371</v>
      </c>
      <c r="D2242">
        <v>0.89697561776103996</v>
      </c>
      <c r="E2242">
        <v>0.76575698585403296</v>
      </c>
      <c r="F2242">
        <v>0.70810209405149405</v>
      </c>
      <c r="G2242">
        <v>0.54263284606010098</v>
      </c>
      <c r="H2242">
        <v>0.41601154778725802</v>
      </c>
      <c r="I2242">
        <v>0.49765989134163302</v>
      </c>
      <c r="J2242">
        <v>0.59232951066666695</v>
      </c>
      <c r="K2242">
        <v>0.70843628550811899</v>
      </c>
      <c r="L2242">
        <v>1033.78167806794</v>
      </c>
      <c r="M2242">
        <v>20.741495191202599</v>
      </c>
      <c r="O2242">
        <v>49.384860091542599</v>
      </c>
      <c r="P2242">
        <v>-4.7201938146509803E-2</v>
      </c>
      <c r="Q2242">
        <v>0.550467109357753</v>
      </c>
      <c r="R2242">
        <v>0.84979680818196901</v>
      </c>
      <c r="S2242" t="s">
        <v>6074</v>
      </c>
      <c r="T2242" t="s">
        <v>7662</v>
      </c>
      <c r="U2242" t="s">
        <v>7662</v>
      </c>
      <c r="V2242" t="s">
        <v>7662</v>
      </c>
      <c r="W2242">
        <v>12</v>
      </c>
      <c r="X2242" t="s">
        <v>9904</v>
      </c>
      <c r="Y2242">
        <v>0.70376111443752432</v>
      </c>
      <c r="Z2242" t="str">
        <f>HYPERLINK("Melting_Curves/meltCurve_sp_Q92667_AKAP1_HUMAN_.pdf", "Melting_Curves/meltCurve_sp_Q92667_AKAP1_HUMAN_.pdf")</f>
        <v>Melting_Curves/meltCurve_sp_Q92667_AKAP1_HUMAN_.pdf</v>
      </c>
      <c r="AA2242" t="s">
        <v>13703</v>
      </c>
      <c r="AB2242" t="s">
        <v>17482</v>
      </c>
    </row>
    <row r="2243" spans="1:28" x14ac:dyDescent="0.25">
      <c r="A2243" t="s">
        <v>2247</v>
      </c>
      <c r="B2243">
        <v>0.98876768158843997</v>
      </c>
      <c r="C2243">
        <v>1.22115472758621</v>
      </c>
      <c r="D2243">
        <v>0.88520641009066103</v>
      </c>
      <c r="E2243">
        <v>0.87081527609898302</v>
      </c>
      <c r="F2243">
        <v>1.1560518762887599</v>
      </c>
      <c r="G2243">
        <v>0.78160225918169901</v>
      </c>
      <c r="H2243">
        <v>0.49193495437100898</v>
      </c>
      <c r="I2243">
        <v>0.33363027074357998</v>
      </c>
      <c r="J2243">
        <v>0.32195608813619198</v>
      </c>
      <c r="K2243">
        <v>0.32769952950555498</v>
      </c>
      <c r="L2243">
        <v>2078.0250966553399</v>
      </c>
      <c r="M2243">
        <v>35.420794394133999</v>
      </c>
      <c r="N2243">
        <v>60.406380007886298</v>
      </c>
      <c r="O2243">
        <v>58.480742803871301</v>
      </c>
      <c r="P2243">
        <v>-0.103010409298436</v>
      </c>
      <c r="Q2243">
        <v>0.31970958606037198</v>
      </c>
      <c r="R2243">
        <v>0.89705954717298297</v>
      </c>
      <c r="S2243" t="s">
        <v>6075</v>
      </c>
      <c r="T2243" t="s">
        <v>7662</v>
      </c>
      <c r="U2243" t="s">
        <v>7662</v>
      </c>
      <c r="V2243" t="s">
        <v>7662</v>
      </c>
      <c r="W2243">
        <v>9</v>
      </c>
      <c r="X2243" t="s">
        <v>9905</v>
      </c>
      <c r="Y2243">
        <v>0.74634700432735923</v>
      </c>
      <c r="Z2243" t="str">
        <f>HYPERLINK("Melting_Curves/meltCurve_sp_Q92688_2_AN32B_HUMAN_.pdf", "Melting_Curves/meltCurve_sp_Q92688_2_AN32B_HUMAN_.pdf")</f>
        <v>Melting_Curves/meltCurve_sp_Q92688_2_AN32B_HUMAN_.pdf</v>
      </c>
      <c r="AA2243" t="s">
        <v>13704</v>
      </c>
      <c r="AB2243" t="s">
        <v>17483</v>
      </c>
    </row>
    <row r="2244" spans="1:28" x14ac:dyDescent="0.25">
      <c r="A2244" t="s">
        <v>2248</v>
      </c>
      <c r="B2244">
        <v>0.98876768158843997</v>
      </c>
      <c r="C2244">
        <v>0.937500288715855</v>
      </c>
      <c r="D2244">
        <v>0.96478818104997699</v>
      </c>
      <c r="E2244">
        <v>0.88972725436933897</v>
      </c>
      <c r="F2244">
        <v>0.47099397863961301</v>
      </c>
      <c r="G2244">
        <v>0.15313365477202301</v>
      </c>
      <c r="H2244">
        <v>7.8749928986804205E-2</v>
      </c>
      <c r="I2244">
        <v>6.2922411018857802E-2</v>
      </c>
      <c r="J2244">
        <v>8.3640689483842998E-2</v>
      </c>
      <c r="K2244">
        <v>6.0778888544495403E-2</v>
      </c>
      <c r="L2244">
        <v>1834.76690888798</v>
      </c>
      <c r="M2244">
        <v>34.849999302014801</v>
      </c>
      <c r="N2244">
        <v>52.885222154217502</v>
      </c>
      <c r="O2244">
        <v>52.475097613993697</v>
      </c>
      <c r="P2244">
        <v>-0.15399660777442001</v>
      </c>
      <c r="Q2244">
        <v>7.2486866515312096E-2</v>
      </c>
      <c r="R2244">
        <v>0.996329048775347</v>
      </c>
      <c r="S2244" t="s">
        <v>6076</v>
      </c>
      <c r="T2244" t="s">
        <v>7662</v>
      </c>
      <c r="U2244" t="s">
        <v>7662</v>
      </c>
      <c r="V2244" t="s">
        <v>7662</v>
      </c>
      <c r="W2244">
        <v>17</v>
      </c>
      <c r="X2244" t="s">
        <v>9906</v>
      </c>
      <c r="Y2244">
        <v>0.46795749217643079</v>
      </c>
      <c r="Z2244" t="str">
        <f>HYPERLINK("Melting_Curves/meltCurve_sp_Q92696_PGTA_HUMAN_.pdf", "Melting_Curves/meltCurve_sp_Q92696_PGTA_HUMAN_.pdf")</f>
        <v>Melting_Curves/meltCurve_sp_Q92696_PGTA_HUMAN_.pdf</v>
      </c>
      <c r="AA2244" t="s">
        <v>13705</v>
      </c>
      <c r="AB2244" t="s">
        <v>17484</v>
      </c>
    </row>
    <row r="2245" spans="1:28" x14ac:dyDescent="0.25">
      <c r="A2245" t="s">
        <v>2249</v>
      </c>
      <c r="B2245">
        <v>0.98876768158843997</v>
      </c>
      <c r="C2245">
        <v>0.91106850560808395</v>
      </c>
      <c r="D2245">
        <v>0.99445618160694405</v>
      </c>
      <c r="E2245">
        <v>0.80592052003753101</v>
      </c>
      <c r="F2245">
        <v>0.50044255621033595</v>
      </c>
      <c r="G2245">
        <v>0.41889295183615299</v>
      </c>
      <c r="H2245">
        <v>0.38305698751336698</v>
      </c>
      <c r="I2245">
        <v>0.42661207066048501</v>
      </c>
      <c r="J2245">
        <v>0.43224032716736599</v>
      </c>
      <c r="K2245">
        <v>0.32332378566490999</v>
      </c>
      <c r="L2245">
        <v>1979.0803813365601</v>
      </c>
      <c r="M2245">
        <v>38.842185220624202</v>
      </c>
      <c r="N2245">
        <v>53.071687276406998</v>
      </c>
      <c r="O2245">
        <v>50.817340077487898</v>
      </c>
      <c r="P2245">
        <v>-0.115792763102906</v>
      </c>
      <c r="Q2245">
        <v>0.39403346657242</v>
      </c>
      <c r="R2245">
        <v>0.97620410037995098</v>
      </c>
      <c r="S2245" t="s">
        <v>6077</v>
      </c>
      <c r="T2245" t="s">
        <v>7662</v>
      </c>
      <c r="U2245" t="s">
        <v>7662</v>
      </c>
      <c r="V2245" t="s">
        <v>7662</v>
      </c>
      <c r="W2245">
        <v>10</v>
      </c>
      <c r="X2245" t="s">
        <v>9907</v>
      </c>
      <c r="Y2245">
        <v>0.61751236622966532</v>
      </c>
      <c r="Z2245" t="str">
        <f>HYPERLINK("Melting_Curves/meltCurve_sp_Q92734_2_TFG_HUMAN_.pdf", "Melting_Curves/meltCurve_sp_Q92734_2_TFG_HUMAN_.pdf")</f>
        <v>Melting_Curves/meltCurve_sp_Q92734_2_TFG_HUMAN_.pdf</v>
      </c>
      <c r="AA2245" t="s">
        <v>13706</v>
      </c>
      <c r="AB2245" t="s">
        <v>17485</v>
      </c>
    </row>
    <row r="2246" spans="1:28" x14ac:dyDescent="0.25">
      <c r="A2246" t="s">
        <v>2250</v>
      </c>
      <c r="B2246">
        <v>0.98876768158843997</v>
      </c>
      <c r="C2246">
        <v>0.63556283111894596</v>
      </c>
      <c r="D2246">
        <v>0.95718023560014298</v>
      </c>
      <c r="E2246">
        <v>0.55485779669216095</v>
      </c>
      <c r="F2246">
        <v>0.40970420500423299</v>
      </c>
      <c r="G2246">
        <v>0.181770456358338</v>
      </c>
      <c r="H2246">
        <v>0.212402739041334</v>
      </c>
      <c r="I2246">
        <v>8.8698676315136005E-2</v>
      </c>
      <c r="J2246">
        <v>0.29767483926986499</v>
      </c>
      <c r="K2246">
        <v>0.34870964972587198</v>
      </c>
      <c r="L2246">
        <v>763.99742232812298</v>
      </c>
      <c r="M2246">
        <v>15.5587368328642</v>
      </c>
      <c r="N2246">
        <v>50.801036008806399</v>
      </c>
      <c r="O2246">
        <v>48.314347962635502</v>
      </c>
      <c r="P2246">
        <v>-6.4197968593941501E-2</v>
      </c>
      <c r="Q2246">
        <v>0.202657231477959</v>
      </c>
      <c r="R2246">
        <v>0.81209333724038801</v>
      </c>
      <c r="S2246" t="s">
        <v>6078</v>
      </c>
      <c r="T2246" t="s">
        <v>7662</v>
      </c>
      <c r="U2246" t="s">
        <v>7662</v>
      </c>
      <c r="V2246" t="s">
        <v>7662</v>
      </c>
      <c r="W2246">
        <v>1</v>
      </c>
      <c r="X2246" t="s">
        <v>9908</v>
      </c>
      <c r="Y2246">
        <v>0.46292454845433612</v>
      </c>
      <c r="Z2246" t="str">
        <f>HYPERLINK("Melting_Curves/meltCurve_sp_Q92738_US6NL_HUMAN_.pdf", "Melting_Curves/meltCurve_sp_Q92738_US6NL_HUMAN_.pdf")</f>
        <v>Melting_Curves/meltCurve_sp_Q92738_US6NL_HUMAN_.pdf</v>
      </c>
      <c r="AA2246" t="s">
        <v>13707</v>
      </c>
      <c r="AB2246" t="s">
        <v>17486</v>
      </c>
    </row>
    <row r="2247" spans="1:28" x14ac:dyDescent="0.25">
      <c r="A2247" t="s">
        <v>2251</v>
      </c>
      <c r="B2247">
        <v>0.98876768158843997</v>
      </c>
      <c r="C2247">
        <v>0.89712052273262899</v>
      </c>
      <c r="D2247">
        <v>1.05321137902387</v>
      </c>
      <c r="E2247">
        <v>1.0012125250889601</v>
      </c>
      <c r="F2247">
        <v>0.63738827865047798</v>
      </c>
      <c r="G2247">
        <v>0.40389197593651499</v>
      </c>
      <c r="H2247">
        <v>0.149983936772947</v>
      </c>
      <c r="I2247">
        <v>7.1121235073667299E-2</v>
      </c>
      <c r="J2247">
        <v>8.0819358683984696E-2</v>
      </c>
      <c r="K2247">
        <v>6.9148334646578796E-2</v>
      </c>
      <c r="L2247">
        <v>1231.1863734675601</v>
      </c>
      <c r="M2247">
        <v>22.363708466909099</v>
      </c>
      <c r="N2247">
        <v>55.353090820166301</v>
      </c>
      <c r="O2247">
        <v>54.618331725842701</v>
      </c>
      <c r="P2247">
        <v>-9.6519229121784997E-2</v>
      </c>
      <c r="Q2247">
        <v>5.7113337199398699E-2</v>
      </c>
      <c r="R2247">
        <v>0.98008147511959298</v>
      </c>
      <c r="S2247" t="s">
        <v>6079</v>
      </c>
      <c r="T2247" t="s">
        <v>7662</v>
      </c>
      <c r="U2247" t="s">
        <v>7662</v>
      </c>
      <c r="V2247" t="s">
        <v>7662</v>
      </c>
      <c r="W2247">
        <v>9</v>
      </c>
      <c r="X2247" t="s">
        <v>9909</v>
      </c>
      <c r="Y2247">
        <v>0.54074785025806626</v>
      </c>
      <c r="Z2247" t="str">
        <f>HYPERLINK("Melting_Curves/meltCurve_sp_Q92747_ARC1A_HUMAN_.pdf", "Melting_Curves/meltCurve_sp_Q92747_ARC1A_HUMAN_.pdf")</f>
        <v>Melting_Curves/meltCurve_sp_Q92747_ARC1A_HUMAN_.pdf</v>
      </c>
      <c r="AA2247" t="s">
        <v>13708</v>
      </c>
      <c r="AB2247" t="s">
        <v>17487</v>
      </c>
    </row>
    <row r="2248" spans="1:28" x14ac:dyDescent="0.25">
      <c r="A2248" t="s">
        <v>2252</v>
      </c>
      <c r="B2248">
        <v>0.98876768158843997</v>
      </c>
      <c r="C2248">
        <v>0.888139484838538</v>
      </c>
      <c r="D2248">
        <v>0.76475628490022096</v>
      </c>
      <c r="E2248">
        <v>0.42929450799766999</v>
      </c>
      <c r="F2248">
        <v>0.23433483277561601</v>
      </c>
      <c r="G2248">
        <v>0.16894691515535801</v>
      </c>
      <c r="H2248">
        <v>0.124282024817967</v>
      </c>
      <c r="I2248">
        <v>5.3610152864170799E-2</v>
      </c>
      <c r="J2248">
        <v>9.0228431060932299E-2</v>
      </c>
      <c r="K2248">
        <v>6.4101747019419203E-2</v>
      </c>
      <c r="L2248">
        <v>821.92057859755198</v>
      </c>
      <c r="M2248">
        <v>16.890609110514202</v>
      </c>
      <c r="N2248">
        <v>49.1003779122099</v>
      </c>
      <c r="O2248">
        <v>47.994653370860497</v>
      </c>
      <c r="P2248">
        <v>-8.18210622103583E-2</v>
      </c>
      <c r="Q2248">
        <v>7.0080997300571796E-2</v>
      </c>
      <c r="R2248">
        <v>0.99647904248821795</v>
      </c>
      <c r="S2248" t="s">
        <v>6080</v>
      </c>
      <c r="T2248" t="s">
        <v>7662</v>
      </c>
      <c r="U2248" t="s">
        <v>7662</v>
      </c>
      <c r="V2248" t="s">
        <v>7662</v>
      </c>
      <c r="W2248">
        <v>2</v>
      </c>
      <c r="X2248" t="s">
        <v>9910</v>
      </c>
      <c r="Y2248">
        <v>0.35699268531242873</v>
      </c>
      <c r="Z2248" t="str">
        <f>HYPERLINK("Melting_Curves/meltCurve_sp_Q92748_THRSP_HUMAN_.pdf", "Melting_Curves/meltCurve_sp_Q92748_THRSP_HUMAN_.pdf")</f>
        <v>Melting_Curves/meltCurve_sp_Q92748_THRSP_HUMAN_.pdf</v>
      </c>
      <c r="AA2248" t="s">
        <v>13709</v>
      </c>
      <c r="AB2248" t="s">
        <v>17488</v>
      </c>
    </row>
    <row r="2249" spans="1:28" x14ac:dyDescent="0.25">
      <c r="A2249" t="s">
        <v>2253</v>
      </c>
      <c r="B2249">
        <v>0.98876768158843997</v>
      </c>
      <c r="C2249">
        <v>0.99961233721846099</v>
      </c>
      <c r="D2249">
        <v>0.83380262893150903</v>
      </c>
      <c r="E2249">
        <v>0.66046155947940999</v>
      </c>
      <c r="F2249">
        <v>0.85360390617104598</v>
      </c>
      <c r="G2249">
        <v>0.55826405384534195</v>
      </c>
      <c r="H2249">
        <v>0.55053035692540397</v>
      </c>
      <c r="I2249">
        <v>0.57226925679353802</v>
      </c>
      <c r="J2249">
        <v>0.64507946320098597</v>
      </c>
      <c r="K2249">
        <v>0.94409861442607801</v>
      </c>
      <c r="S2249" t="s">
        <v>6081</v>
      </c>
      <c r="T2249" t="s">
        <v>7662</v>
      </c>
      <c r="U2249" t="s">
        <v>7663</v>
      </c>
      <c r="V2249" t="s">
        <v>7662</v>
      </c>
      <c r="W2249">
        <v>2</v>
      </c>
      <c r="X2249" t="s">
        <v>9911</v>
      </c>
      <c r="Z2249" t="str">
        <f>HYPERLINK("Melting_Curves/meltCurve_sp_Q92766_3_RREB1_HUMAN_.pdf", "Melting_Curves/meltCurve_sp_Q92766_3_RREB1_HUMAN_.pdf")</f>
        <v>Melting_Curves/meltCurve_sp_Q92766_3_RREB1_HUMAN_.pdf</v>
      </c>
      <c r="AA2249" t="s">
        <v>13710</v>
      </c>
      <c r="AB2249" t="s">
        <v>17489</v>
      </c>
    </row>
    <row r="2250" spans="1:28" x14ac:dyDescent="0.25">
      <c r="A2250" t="s">
        <v>2254</v>
      </c>
      <c r="B2250">
        <v>0.98876768158843997</v>
      </c>
      <c r="C2250">
        <v>1.0500229429743599</v>
      </c>
      <c r="D2250">
        <v>1.0775752914752901</v>
      </c>
      <c r="E2250">
        <v>0.92014860030142498</v>
      </c>
      <c r="F2250">
        <v>0.581575177413171</v>
      </c>
      <c r="G2250">
        <v>0.39466559632575199</v>
      </c>
      <c r="H2250">
        <v>0.28751002782268797</v>
      </c>
      <c r="I2250">
        <v>0.28022714777036101</v>
      </c>
      <c r="J2250">
        <v>0.318459576473137</v>
      </c>
      <c r="K2250">
        <v>0.35407603666697501</v>
      </c>
      <c r="L2250">
        <v>2027.0308858605099</v>
      </c>
      <c r="M2250">
        <v>38.632784142618299</v>
      </c>
      <c r="N2250">
        <v>53.883172302621396</v>
      </c>
      <c r="O2250">
        <v>52.329196165374498</v>
      </c>
      <c r="P2250">
        <v>-0.12576748150765801</v>
      </c>
      <c r="Q2250">
        <v>0.31857925214390798</v>
      </c>
      <c r="R2250">
        <v>0.98547027886264804</v>
      </c>
      <c r="S2250" t="s">
        <v>6082</v>
      </c>
      <c r="T2250" t="s">
        <v>7662</v>
      </c>
      <c r="U2250" t="s">
        <v>7662</v>
      </c>
      <c r="V2250" t="s">
        <v>7662</v>
      </c>
      <c r="W2250">
        <v>6</v>
      </c>
      <c r="X2250" t="s">
        <v>9912</v>
      </c>
      <c r="Y2250">
        <v>0.60445300628235532</v>
      </c>
      <c r="Z2250" t="str">
        <f>HYPERLINK("Melting_Curves/meltCurve_sp_Q92783_2_STAM1_HUMAN_.pdf", "Melting_Curves/meltCurve_sp_Q92783_2_STAM1_HUMAN_.pdf")</f>
        <v>Melting_Curves/meltCurve_sp_Q92783_2_STAM1_HUMAN_.pdf</v>
      </c>
      <c r="AA2250" t="s">
        <v>13711</v>
      </c>
      <c r="AB2250" t="s">
        <v>17490</v>
      </c>
    </row>
    <row r="2251" spans="1:28" x14ac:dyDescent="0.25">
      <c r="A2251" t="s">
        <v>2255</v>
      </c>
      <c r="B2251">
        <v>0.98876768158843997</v>
      </c>
      <c r="C2251">
        <v>1.1994497110220601</v>
      </c>
      <c r="D2251">
        <v>1.05307015318641</v>
      </c>
      <c r="E2251">
        <v>0.75641881056398197</v>
      </c>
      <c r="F2251">
        <v>0.99628780469953804</v>
      </c>
      <c r="G2251">
        <v>0.60840965355069898</v>
      </c>
      <c r="H2251">
        <v>0.55331684870323905</v>
      </c>
      <c r="I2251">
        <v>0.53530046961084998</v>
      </c>
      <c r="J2251">
        <v>0.76966776336373299</v>
      </c>
      <c r="K2251">
        <v>0.98808182298946901</v>
      </c>
      <c r="L2251">
        <v>1286.2558835344701</v>
      </c>
      <c r="M2251">
        <v>24.839073021781299</v>
      </c>
      <c r="O2251">
        <v>51.451426691813801</v>
      </c>
      <c r="P2251">
        <v>-3.59866139262622E-2</v>
      </c>
      <c r="Q2251">
        <v>0.70183473264362195</v>
      </c>
      <c r="R2251">
        <v>0.46663405473286901</v>
      </c>
      <c r="S2251" t="s">
        <v>6083</v>
      </c>
      <c r="T2251" t="s">
        <v>7662</v>
      </c>
      <c r="U2251" t="s">
        <v>7662</v>
      </c>
      <c r="V2251" t="s">
        <v>7662</v>
      </c>
      <c r="W2251">
        <v>1</v>
      </c>
      <c r="X2251" t="s">
        <v>9913</v>
      </c>
      <c r="Y2251">
        <v>0.82169999254334392</v>
      </c>
      <c r="Z2251" t="str">
        <f>HYPERLINK("Melting_Curves/meltCurve_sp_Q92784_2_DPF3_HUMAN_.pdf", "Melting_Curves/meltCurve_sp_Q92784_2_DPF3_HUMAN_.pdf")</f>
        <v>Melting_Curves/meltCurve_sp_Q92784_2_DPF3_HUMAN_.pdf</v>
      </c>
      <c r="AA2251" t="s">
        <v>13712</v>
      </c>
      <c r="AB2251" t="s">
        <v>17491</v>
      </c>
    </row>
    <row r="2252" spans="1:28" x14ac:dyDescent="0.25">
      <c r="A2252" t="s">
        <v>2256</v>
      </c>
      <c r="B2252">
        <v>0.98876768158843997</v>
      </c>
      <c r="C2252">
        <v>0.96694135745173104</v>
      </c>
      <c r="D2252">
        <v>0.89133472838668204</v>
      </c>
      <c r="E2252">
        <v>0.758383435947107</v>
      </c>
      <c r="F2252">
        <v>0.79245260800065997</v>
      </c>
      <c r="G2252">
        <v>0.58074989623759898</v>
      </c>
      <c r="H2252">
        <v>0.476751722547333</v>
      </c>
      <c r="I2252">
        <v>0.694260308225496</v>
      </c>
      <c r="J2252">
        <v>0.96206382371702703</v>
      </c>
      <c r="K2252">
        <v>1.0458914364540599</v>
      </c>
      <c r="L2252">
        <v>1578.2043330379299</v>
      </c>
      <c r="M2252">
        <v>34.2171425780558</v>
      </c>
      <c r="O2252">
        <v>45.966521119967503</v>
      </c>
      <c r="P2252">
        <v>-4.5340622101990101E-2</v>
      </c>
      <c r="Q2252">
        <v>0.75636275064616398</v>
      </c>
      <c r="R2252">
        <v>0.25103510246218702</v>
      </c>
      <c r="S2252" t="s">
        <v>6084</v>
      </c>
      <c r="T2252" t="s">
        <v>7662</v>
      </c>
      <c r="U2252" t="s">
        <v>7662</v>
      </c>
      <c r="V2252" t="s">
        <v>7662</v>
      </c>
      <c r="W2252">
        <v>3</v>
      </c>
      <c r="X2252" t="s">
        <v>9914</v>
      </c>
      <c r="Y2252">
        <v>0.80719740109608629</v>
      </c>
      <c r="Z2252" t="str">
        <f>HYPERLINK("Melting_Curves/meltCurve_sp_Q92804_2_RBP56_HUMAN_.pdf", "Melting_Curves/meltCurve_sp_Q92804_2_RBP56_HUMAN_.pdf")</f>
        <v>Melting_Curves/meltCurve_sp_Q92804_2_RBP56_HUMAN_.pdf</v>
      </c>
      <c r="AA2252" t="s">
        <v>13713</v>
      </c>
      <c r="AB2252" t="s">
        <v>17492</v>
      </c>
    </row>
    <row r="2253" spans="1:28" x14ac:dyDescent="0.25">
      <c r="A2253" t="s">
        <v>2257</v>
      </c>
      <c r="B2253">
        <v>0.98876768158843997</v>
      </c>
      <c r="C2253">
        <v>0.99243369235343404</v>
      </c>
      <c r="D2253">
        <v>0.856976572999955</v>
      </c>
      <c r="E2253">
        <v>0.68803748572358303</v>
      </c>
      <c r="F2253">
        <v>0.63295536396876795</v>
      </c>
      <c r="G2253">
        <v>0.41325141222928702</v>
      </c>
      <c r="H2253">
        <v>0.29042569111696998</v>
      </c>
      <c r="I2253">
        <v>0.30971436423433801</v>
      </c>
      <c r="J2253">
        <v>0.32620605431641297</v>
      </c>
      <c r="K2253">
        <v>0.392162772463308</v>
      </c>
      <c r="L2253">
        <v>774.65283699495205</v>
      </c>
      <c r="M2253">
        <v>15.149094762357301</v>
      </c>
      <c r="N2253">
        <v>54.554047863898901</v>
      </c>
      <c r="O2253">
        <v>50.269044555940198</v>
      </c>
      <c r="P2253">
        <v>-5.22529185802851E-2</v>
      </c>
      <c r="Q2253">
        <v>0.30650667306207702</v>
      </c>
      <c r="R2253">
        <v>0.97320069851533098</v>
      </c>
      <c r="S2253" t="s">
        <v>6085</v>
      </c>
      <c r="T2253" t="s">
        <v>7662</v>
      </c>
      <c r="U2253" t="s">
        <v>7662</v>
      </c>
      <c r="V2253" t="s">
        <v>7662</v>
      </c>
      <c r="W2253">
        <v>7</v>
      </c>
      <c r="X2253" t="s">
        <v>9915</v>
      </c>
      <c r="Y2253">
        <v>0.5796117165158009</v>
      </c>
      <c r="Z2253" t="str">
        <f>HYPERLINK("Melting_Curves/meltCurve_sp_Q92805_GOGA1_HUMAN_.pdf", "Melting_Curves/meltCurve_sp_Q92805_GOGA1_HUMAN_.pdf")</f>
        <v>Melting_Curves/meltCurve_sp_Q92805_GOGA1_HUMAN_.pdf</v>
      </c>
      <c r="AA2253" t="s">
        <v>13714</v>
      </c>
      <c r="AB2253" t="s">
        <v>17493</v>
      </c>
    </row>
    <row r="2254" spans="1:28" x14ac:dyDescent="0.25">
      <c r="A2254" t="s">
        <v>2258</v>
      </c>
      <c r="B2254">
        <v>0.98876768158843997</v>
      </c>
      <c r="C2254">
        <v>1.0526684328881999</v>
      </c>
      <c r="D2254">
        <v>0.96724580480434497</v>
      </c>
      <c r="E2254">
        <v>0.92879046654700403</v>
      </c>
      <c r="F2254">
        <v>0.90454542667865701</v>
      </c>
      <c r="G2254">
        <v>0.67806094045378795</v>
      </c>
      <c r="H2254">
        <v>0.49181724811892502</v>
      </c>
      <c r="I2254">
        <v>0.29968121369070999</v>
      </c>
      <c r="J2254">
        <v>0.133706655416439</v>
      </c>
      <c r="K2254">
        <v>8.1418004373812997E-2</v>
      </c>
      <c r="L2254">
        <v>940.67856080063905</v>
      </c>
      <c r="M2254">
        <v>15.620550805236601</v>
      </c>
      <c r="N2254">
        <v>60.220575698085703</v>
      </c>
      <c r="O2254">
        <v>59.259515161475598</v>
      </c>
      <c r="P2254">
        <v>-6.59045979298368E-2</v>
      </c>
      <c r="Q2254">
        <v>0</v>
      </c>
      <c r="R2254">
        <v>0.99251715511278304</v>
      </c>
      <c r="S2254" t="s">
        <v>6086</v>
      </c>
      <c r="T2254" t="s">
        <v>7662</v>
      </c>
      <c r="U2254" t="s">
        <v>7662</v>
      </c>
      <c r="V2254" t="s">
        <v>7662</v>
      </c>
      <c r="W2254">
        <v>7</v>
      </c>
      <c r="X2254" t="s">
        <v>9916</v>
      </c>
      <c r="Y2254">
        <v>0.68053412971990468</v>
      </c>
      <c r="Z2254" t="str">
        <f>HYPERLINK("Melting_Curves/meltCurve_sp_Q92820_GGH_HUMAN_.pdf", "Melting_Curves/meltCurve_sp_Q92820_GGH_HUMAN_.pdf")</f>
        <v>Melting_Curves/meltCurve_sp_Q92820_GGH_HUMAN_.pdf</v>
      </c>
      <c r="AA2254" t="s">
        <v>13715</v>
      </c>
      <c r="AB2254" t="s">
        <v>17494</v>
      </c>
    </row>
    <row r="2255" spans="1:28" x14ac:dyDescent="0.25">
      <c r="A2255" t="s">
        <v>2259</v>
      </c>
      <c r="B2255">
        <v>0.98876768158843997</v>
      </c>
      <c r="C2255">
        <v>0.92892404254501904</v>
      </c>
      <c r="D2255">
        <v>1.0466788832860801</v>
      </c>
      <c r="E2255">
        <v>0.91597075872771105</v>
      </c>
      <c r="F2255">
        <v>0.29607298625711198</v>
      </c>
      <c r="G2255">
        <v>0.245022851695328</v>
      </c>
      <c r="H2255">
        <v>6.79880296330405E-2</v>
      </c>
      <c r="I2255">
        <v>5.8671036628660501E-2</v>
      </c>
      <c r="J2255">
        <v>8.0831012824744794E-2</v>
      </c>
      <c r="K2255">
        <v>7.0327539709692494E-2</v>
      </c>
      <c r="L2255">
        <v>2998.7668464670901</v>
      </c>
      <c r="M2255">
        <v>57.812136178561701</v>
      </c>
      <c r="N2255">
        <v>52.076873983011502</v>
      </c>
      <c r="O2255">
        <v>51.808933459959903</v>
      </c>
      <c r="P2255">
        <v>-0.25045787965167798</v>
      </c>
      <c r="Q2255">
        <v>0.102198945514687</v>
      </c>
      <c r="R2255">
        <v>0.98204765607620803</v>
      </c>
      <c r="S2255" t="s">
        <v>6087</v>
      </c>
      <c r="T2255" t="s">
        <v>7662</v>
      </c>
      <c r="U2255" t="s">
        <v>7662</v>
      </c>
      <c r="V2255" t="s">
        <v>7662</v>
      </c>
      <c r="W2255">
        <v>19</v>
      </c>
      <c r="X2255" t="s">
        <v>9917</v>
      </c>
      <c r="Y2255">
        <v>0.45898983414693739</v>
      </c>
      <c r="Z2255" t="str">
        <f>HYPERLINK("Melting_Curves/meltCurve_sp_Q92841_DDX17_HUMAN_.pdf", "Melting_Curves/meltCurve_sp_Q92841_DDX17_HUMAN_.pdf")</f>
        <v>Melting_Curves/meltCurve_sp_Q92841_DDX17_HUMAN_.pdf</v>
      </c>
      <c r="AA2255" t="s">
        <v>13716</v>
      </c>
      <c r="AB2255" t="s">
        <v>17495</v>
      </c>
    </row>
    <row r="2256" spans="1:28" x14ac:dyDescent="0.25">
      <c r="A2256" t="s">
        <v>2260</v>
      </c>
      <c r="B2256">
        <v>0.98876768158843997</v>
      </c>
      <c r="C2256">
        <v>0.75913903114513603</v>
      </c>
      <c r="D2256">
        <v>0.69359580690016298</v>
      </c>
      <c r="E2256">
        <v>0.37123220256435802</v>
      </c>
      <c r="F2256">
        <v>0.17187277353289701</v>
      </c>
      <c r="G2256">
        <v>0.102885593596547</v>
      </c>
      <c r="H2256">
        <v>6.4062773804399897E-2</v>
      </c>
      <c r="I2256">
        <v>5.6007534094959302E-2</v>
      </c>
      <c r="J2256">
        <v>7.7173205355430693E-2</v>
      </c>
      <c r="K2256">
        <v>6.7051574180439694E-2</v>
      </c>
      <c r="L2256">
        <v>722.14499933305603</v>
      </c>
      <c r="M2256">
        <v>15.1812930019818</v>
      </c>
      <c r="N2256">
        <v>47.850865362282299</v>
      </c>
      <c r="O2256">
        <v>46.765629000504099</v>
      </c>
      <c r="P2256">
        <v>-7.7681566616957104E-2</v>
      </c>
      <c r="Q2256">
        <v>4.2907272246365098E-2</v>
      </c>
      <c r="R2256">
        <v>0.98677320238731203</v>
      </c>
      <c r="S2256" t="s">
        <v>6088</v>
      </c>
      <c r="T2256" t="s">
        <v>7662</v>
      </c>
      <c r="U2256" t="s">
        <v>7662</v>
      </c>
      <c r="V2256" t="s">
        <v>7662</v>
      </c>
      <c r="W2256">
        <v>10</v>
      </c>
      <c r="X2256" t="s">
        <v>9918</v>
      </c>
      <c r="Y2256">
        <v>0.30891594729743332</v>
      </c>
      <c r="Z2256" t="str">
        <f>HYPERLINK("Melting_Curves/meltCurve_sp_Q92878_RAD50_HUMAN_.pdf", "Melting_Curves/meltCurve_sp_Q92878_RAD50_HUMAN_.pdf")</f>
        <v>Melting_Curves/meltCurve_sp_Q92878_RAD50_HUMAN_.pdf</v>
      </c>
      <c r="AA2256" t="s">
        <v>13717</v>
      </c>
      <c r="AB2256" t="s">
        <v>17496</v>
      </c>
    </row>
    <row r="2257" spans="1:28" x14ac:dyDescent="0.25">
      <c r="A2257" t="s">
        <v>2261</v>
      </c>
      <c r="B2257">
        <v>0.98876768158843997</v>
      </c>
      <c r="C2257">
        <v>1.1066134988718701</v>
      </c>
      <c r="D2257">
        <v>0.84990190014313605</v>
      </c>
      <c r="E2257">
        <v>0.59782353945684197</v>
      </c>
      <c r="F2257">
        <v>0.355410773958523</v>
      </c>
      <c r="G2257">
        <v>0.107256039327771</v>
      </c>
      <c r="H2257">
        <v>6.9440197192669501E-2</v>
      </c>
      <c r="I2257">
        <v>5.92263292866059E-2</v>
      </c>
      <c r="J2257">
        <v>8.6827161495019595E-2</v>
      </c>
      <c r="K2257">
        <v>7.6059716608892103E-2</v>
      </c>
      <c r="L2257">
        <v>1082.98669206003</v>
      </c>
      <c r="M2257">
        <v>21.358182758376302</v>
      </c>
      <c r="N2257">
        <v>51.004682119074403</v>
      </c>
      <c r="O2257">
        <v>50.267694877774701</v>
      </c>
      <c r="P2257">
        <v>-9.9979341320800899E-2</v>
      </c>
      <c r="Q2257">
        <v>5.8795185536888901E-2</v>
      </c>
      <c r="R2257">
        <v>0.98630659042075397</v>
      </c>
      <c r="S2257" t="s">
        <v>6089</v>
      </c>
      <c r="T2257" t="s">
        <v>7662</v>
      </c>
      <c r="U2257" t="s">
        <v>7662</v>
      </c>
      <c r="V2257" t="s">
        <v>7662</v>
      </c>
      <c r="W2257">
        <v>4</v>
      </c>
      <c r="X2257" t="s">
        <v>9919</v>
      </c>
      <c r="Y2257">
        <v>0.4062097548958003</v>
      </c>
      <c r="Z2257" t="str">
        <f>HYPERLINK("Melting_Curves/meltCurve_sp_Q92879_5_CELF1_HUMAN_.pdf", "Melting_Curves/meltCurve_sp_Q92879_5_CELF1_HUMAN_.pdf")</f>
        <v>Melting_Curves/meltCurve_sp_Q92879_5_CELF1_HUMAN_.pdf</v>
      </c>
      <c r="AA2257" t="s">
        <v>13718</v>
      </c>
      <c r="AB2257" t="s">
        <v>17497</v>
      </c>
    </row>
    <row r="2258" spans="1:28" x14ac:dyDescent="0.25">
      <c r="A2258" t="s">
        <v>2262</v>
      </c>
      <c r="B2258">
        <v>0.98876768158843997</v>
      </c>
      <c r="C2258">
        <v>1.1099744206396001</v>
      </c>
      <c r="D2258">
        <v>0.83112505903176104</v>
      </c>
      <c r="E2258">
        <v>0.69734965192383103</v>
      </c>
      <c r="F2258">
        <v>0.53184130723936396</v>
      </c>
      <c r="G2258">
        <v>0.25409942297535398</v>
      </c>
      <c r="H2258">
        <v>0.15626102766806699</v>
      </c>
      <c r="I2258">
        <v>0.143627974914497</v>
      </c>
      <c r="J2258">
        <v>0.19841708510869199</v>
      </c>
      <c r="K2258">
        <v>0.244989181711149</v>
      </c>
      <c r="L2258">
        <v>972.76642906691802</v>
      </c>
      <c r="M2258">
        <v>18.8708502738105</v>
      </c>
      <c r="N2258">
        <v>52.681466971252704</v>
      </c>
      <c r="O2258">
        <v>50.980217338896303</v>
      </c>
      <c r="P2258">
        <v>-7.7109836329489201E-2</v>
      </c>
      <c r="Q2258">
        <v>0.16677516431328701</v>
      </c>
      <c r="R2258">
        <v>0.96796737014173595</v>
      </c>
      <c r="S2258" t="s">
        <v>6090</v>
      </c>
      <c r="T2258" t="s">
        <v>7662</v>
      </c>
      <c r="U2258" t="s">
        <v>7662</v>
      </c>
      <c r="V2258" t="s">
        <v>7662</v>
      </c>
      <c r="W2258">
        <v>5</v>
      </c>
      <c r="X2258" t="s">
        <v>9920</v>
      </c>
      <c r="Y2258">
        <v>0.50035771470903734</v>
      </c>
      <c r="Z2258" t="str">
        <f>HYPERLINK("Melting_Curves/meltCurve_sp_Q92882_OSTF1_HUMAN_.pdf", "Melting_Curves/meltCurve_sp_Q92882_OSTF1_HUMAN_.pdf")</f>
        <v>Melting_Curves/meltCurve_sp_Q92882_OSTF1_HUMAN_.pdf</v>
      </c>
      <c r="AA2258" t="s">
        <v>13719</v>
      </c>
      <c r="AB2258" t="s">
        <v>17498</v>
      </c>
    </row>
    <row r="2259" spans="1:28" x14ac:dyDescent="0.25">
      <c r="A2259" t="s">
        <v>2263</v>
      </c>
      <c r="B2259">
        <v>0.98876768158843997</v>
      </c>
      <c r="C2259">
        <v>0.84808438608826497</v>
      </c>
      <c r="D2259">
        <v>0.85144032463325003</v>
      </c>
      <c r="E2259">
        <v>0.47117752698910897</v>
      </c>
      <c r="F2259">
        <v>0.29068707818121903</v>
      </c>
      <c r="G2259">
        <v>0.15242014783455199</v>
      </c>
      <c r="H2259">
        <v>0.10754996753920699</v>
      </c>
      <c r="I2259">
        <v>0.107597596541206</v>
      </c>
      <c r="J2259">
        <v>0.114140938681453</v>
      </c>
      <c r="K2259">
        <v>7.6160467314973598E-2</v>
      </c>
      <c r="L2259">
        <v>860.79531836121396</v>
      </c>
      <c r="M2259">
        <v>17.466850944663399</v>
      </c>
      <c r="N2259">
        <v>49.802082836647003</v>
      </c>
      <c r="O2259">
        <v>48.6493031690379</v>
      </c>
      <c r="P2259">
        <v>-8.2275965041367194E-2</v>
      </c>
      <c r="Q2259">
        <v>8.3418973792019693E-2</v>
      </c>
      <c r="R2259">
        <v>0.98988401705205598</v>
      </c>
      <c r="S2259" t="s">
        <v>6091</v>
      </c>
      <c r="T2259" t="s">
        <v>7662</v>
      </c>
      <c r="U2259" t="s">
        <v>7662</v>
      </c>
      <c r="V2259" t="s">
        <v>7662</v>
      </c>
      <c r="W2259">
        <v>11</v>
      </c>
      <c r="X2259" t="s">
        <v>9921</v>
      </c>
      <c r="Y2259">
        <v>0.38375401523939318</v>
      </c>
      <c r="Z2259" t="str">
        <f>HYPERLINK("Melting_Curves/meltCurve_sp_Q92888_2_ARHG1_HUMAN_.pdf", "Melting_Curves/meltCurve_sp_Q92888_2_ARHG1_HUMAN_.pdf")</f>
        <v>Melting_Curves/meltCurve_sp_Q92888_2_ARHG1_HUMAN_.pdf</v>
      </c>
      <c r="AA2259" t="s">
        <v>13720</v>
      </c>
      <c r="AB2259" t="s">
        <v>17499</v>
      </c>
    </row>
    <row r="2260" spans="1:28" x14ac:dyDescent="0.25">
      <c r="A2260" t="s">
        <v>2264</v>
      </c>
      <c r="B2260">
        <v>0.98876768158843997</v>
      </c>
      <c r="C2260">
        <v>0.97949309075333701</v>
      </c>
      <c r="D2260">
        <v>0.89335003423730797</v>
      </c>
      <c r="E2260">
        <v>0.67982111161813497</v>
      </c>
      <c r="F2260">
        <v>0.64097184080209801</v>
      </c>
      <c r="G2260">
        <v>0.41616689141405799</v>
      </c>
      <c r="H2260">
        <v>0.26931799093311998</v>
      </c>
      <c r="I2260">
        <v>0.25376949966624202</v>
      </c>
      <c r="J2260">
        <v>0.189187547740125</v>
      </c>
      <c r="K2260">
        <v>0.201389693066377</v>
      </c>
      <c r="L2260">
        <v>633.21343844125602</v>
      </c>
      <c r="M2260">
        <v>11.8442581874559</v>
      </c>
      <c r="N2260">
        <v>54.906048177713998</v>
      </c>
      <c r="O2260">
        <v>52.005974483302303</v>
      </c>
      <c r="P2260">
        <v>-4.9328053092706901E-2</v>
      </c>
      <c r="Q2260">
        <v>0.13385774780134199</v>
      </c>
      <c r="R2260">
        <v>0.99178528286002599</v>
      </c>
      <c r="S2260" t="s">
        <v>6092</v>
      </c>
      <c r="T2260" t="s">
        <v>7662</v>
      </c>
      <c r="U2260" t="s">
        <v>7662</v>
      </c>
      <c r="V2260" t="s">
        <v>7662</v>
      </c>
      <c r="W2260">
        <v>6</v>
      </c>
      <c r="X2260" t="s">
        <v>9922</v>
      </c>
      <c r="Y2260">
        <v>0.54658125907268296</v>
      </c>
      <c r="Z2260" t="str">
        <f>HYPERLINK("Melting_Curves/meltCurve_sp_Q92890_3_UFD1_HUMAN_.pdf", "Melting_Curves/meltCurve_sp_Q92890_3_UFD1_HUMAN_.pdf")</f>
        <v>Melting_Curves/meltCurve_sp_Q92890_3_UFD1_HUMAN_.pdf</v>
      </c>
      <c r="AA2260" t="s">
        <v>13721</v>
      </c>
      <c r="AB2260" t="s">
        <v>17500</v>
      </c>
    </row>
    <row r="2261" spans="1:28" x14ac:dyDescent="0.25">
      <c r="A2261" t="s">
        <v>2265</v>
      </c>
      <c r="B2261">
        <v>0.98876768158843997</v>
      </c>
      <c r="C2261">
        <v>0.86201812747670303</v>
      </c>
      <c r="D2261">
        <v>0.79967375490111003</v>
      </c>
      <c r="E2261">
        <v>0.47421237964070301</v>
      </c>
      <c r="F2261">
        <v>0.26523242138186098</v>
      </c>
      <c r="G2261">
        <v>0.18149414653573601</v>
      </c>
      <c r="H2261">
        <v>0.15680360309148</v>
      </c>
      <c r="I2261">
        <v>0.106214129920713</v>
      </c>
      <c r="J2261">
        <v>7.9781683912167597E-2</v>
      </c>
      <c r="K2261">
        <v>6.8063956980098497E-2</v>
      </c>
      <c r="L2261">
        <v>773.37566945097899</v>
      </c>
      <c r="M2261">
        <v>15.758906721837601</v>
      </c>
      <c r="N2261">
        <v>49.615396118644803</v>
      </c>
      <c r="O2261">
        <v>48.305601456648802</v>
      </c>
      <c r="P2261">
        <v>-7.5138062345746603E-2</v>
      </c>
      <c r="Q2261">
        <v>7.879720371026E-2</v>
      </c>
      <c r="R2261">
        <v>0.99358272281177795</v>
      </c>
      <c r="S2261" t="s">
        <v>6093</v>
      </c>
      <c r="T2261" t="s">
        <v>7662</v>
      </c>
      <c r="U2261" t="s">
        <v>7662</v>
      </c>
      <c r="V2261" t="s">
        <v>7662</v>
      </c>
      <c r="W2261">
        <v>21</v>
      </c>
      <c r="X2261" t="s">
        <v>9923</v>
      </c>
      <c r="Y2261">
        <v>0.37812689591440191</v>
      </c>
      <c r="Z2261" t="str">
        <f>HYPERLINK("Melting_Curves/meltCurve_sp_Q92900_2_RENT1_HUMAN_.pdf", "Melting_Curves/meltCurve_sp_Q92900_2_RENT1_HUMAN_.pdf")</f>
        <v>Melting_Curves/meltCurve_sp_Q92900_2_RENT1_HUMAN_.pdf</v>
      </c>
      <c r="AA2261" t="s">
        <v>13722</v>
      </c>
      <c r="AB2261" t="s">
        <v>17501</v>
      </c>
    </row>
    <row r="2262" spans="1:28" x14ac:dyDescent="0.25">
      <c r="A2262" t="s">
        <v>2266</v>
      </c>
      <c r="B2262">
        <v>0.98876768158843997</v>
      </c>
      <c r="C2262">
        <v>0.87898548435366597</v>
      </c>
      <c r="D2262">
        <v>1.1376039805671601</v>
      </c>
      <c r="E2262">
        <v>0.94395687698617303</v>
      </c>
      <c r="F2262">
        <v>0.53641633783323805</v>
      </c>
      <c r="G2262">
        <v>0.22170119425578799</v>
      </c>
      <c r="H2262">
        <v>8.6934865664740305E-2</v>
      </c>
      <c r="I2262">
        <v>4.5540480983086898E-2</v>
      </c>
      <c r="J2262">
        <v>4.5782459373285102E-2</v>
      </c>
      <c r="K2262">
        <v>3.6439180109205001E-2</v>
      </c>
      <c r="L2262">
        <v>1661.0564119446601</v>
      </c>
      <c r="M2262">
        <v>31.112359253695399</v>
      </c>
      <c r="N2262">
        <v>53.5886826655221</v>
      </c>
      <c r="O2262">
        <v>53.169830943790799</v>
      </c>
      <c r="P2262">
        <v>-0.13828014327882801</v>
      </c>
      <c r="Q2262">
        <v>5.4743206239350202E-2</v>
      </c>
      <c r="R2262">
        <v>0.97690993664853498</v>
      </c>
      <c r="S2262" t="s">
        <v>6094</v>
      </c>
      <c r="T2262" t="s">
        <v>7662</v>
      </c>
      <c r="U2262" t="s">
        <v>7662</v>
      </c>
      <c r="V2262" t="s">
        <v>7662</v>
      </c>
      <c r="W2262">
        <v>6</v>
      </c>
      <c r="X2262" t="s">
        <v>9924</v>
      </c>
      <c r="Y2262">
        <v>0.48234917461199622</v>
      </c>
      <c r="Z2262" t="str">
        <f>HYPERLINK("Melting_Curves/meltCurve_sp_Q92905_CSN5_HUMAN_.pdf", "Melting_Curves/meltCurve_sp_Q92905_CSN5_HUMAN_.pdf")</f>
        <v>Melting_Curves/meltCurve_sp_Q92905_CSN5_HUMAN_.pdf</v>
      </c>
      <c r="AA2262" t="s">
        <v>13723</v>
      </c>
      <c r="AB2262" t="s">
        <v>17502</v>
      </c>
    </row>
    <row r="2263" spans="1:28" x14ac:dyDescent="0.25">
      <c r="A2263" t="s">
        <v>2267</v>
      </c>
      <c r="B2263">
        <v>0.98876768158843997</v>
      </c>
      <c r="C2263">
        <v>1.0863075722489499</v>
      </c>
      <c r="D2263">
        <v>0.983064625283948</v>
      </c>
      <c r="E2263">
        <v>0.664643556071427</v>
      </c>
      <c r="F2263">
        <v>0.55548418635505303</v>
      </c>
      <c r="G2263">
        <v>0.310810465084494</v>
      </c>
      <c r="H2263">
        <v>0.22479608885015101</v>
      </c>
      <c r="I2263">
        <v>0.26983091335910803</v>
      </c>
      <c r="J2263">
        <v>0.32069809617898898</v>
      </c>
      <c r="K2263">
        <v>0.36228314660281202</v>
      </c>
      <c r="L2263">
        <v>1244.63268155936</v>
      </c>
      <c r="M2263">
        <v>24.452560368315702</v>
      </c>
      <c r="N2263">
        <v>52.7820008643791</v>
      </c>
      <c r="O2263">
        <v>50.563155520057698</v>
      </c>
      <c r="P2263">
        <v>-8.5728772397625802E-2</v>
      </c>
      <c r="Q2263">
        <v>0.29092880112105601</v>
      </c>
      <c r="R2263">
        <v>0.96871706339136998</v>
      </c>
      <c r="S2263" t="s">
        <v>6095</v>
      </c>
      <c r="T2263" t="s">
        <v>7662</v>
      </c>
      <c r="U2263" t="s">
        <v>7662</v>
      </c>
      <c r="V2263" t="s">
        <v>7662</v>
      </c>
      <c r="W2263">
        <v>9</v>
      </c>
      <c r="X2263" t="s">
        <v>9925</v>
      </c>
      <c r="Y2263">
        <v>0.5552392426966487</v>
      </c>
      <c r="Z2263" t="str">
        <f>HYPERLINK("Melting_Curves/meltCurve_sp_Q92917_GPKOW_HUMAN_.pdf", "Melting_Curves/meltCurve_sp_Q92917_GPKOW_HUMAN_.pdf")</f>
        <v>Melting_Curves/meltCurve_sp_Q92917_GPKOW_HUMAN_.pdf</v>
      </c>
      <c r="AA2263" t="s">
        <v>13724</v>
      </c>
      <c r="AB2263" t="s">
        <v>17503</v>
      </c>
    </row>
    <row r="2264" spans="1:28" x14ac:dyDescent="0.25">
      <c r="A2264" t="s">
        <v>2268</v>
      </c>
      <c r="B2264">
        <v>0.98876768158843997</v>
      </c>
      <c r="C2264">
        <v>1.1857304861342799</v>
      </c>
      <c r="D2264">
        <v>0.862477014063181</v>
      </c>
      <c r="E2264">
        <v>0.67653447498901897</v>
      </c>
      <c r="F2264">
        <v>0.310278103860544</v>
      </c>
      <c r="G2264">
        <v>0.21154740673279601</v>
      </c>
      <c r="H2264">
        <v>0.35234104475914402</v>
      </c>
      <c r="I2264">
        <v>0.12621756010000099</v>
      </c>
      <c r="J2264">
        <v>0.413748447873096</v>
      </c>
      <c r="K2264">
        <v>0.13544242197974099</v>
      </c>
      <c r="L2264">
        <v>1730.1406221239899</v>
      </c>
      <c r="M2264">
        <v>34.484297597146202</v>
      </c>
      <c r="N2264">
        <v>51.149839499246397</v>
      </c>
      <c r="O2264">
        <v>50.004015937418899</v>
      </c>
      <c r="P2264">
        <v>-0.130788140362608</v>
      </c>
      <c r="Q2264">
        <v>0.241404553572445</v>
      </c>
      <c r="R2264">
        <v>0.90908061006539598</v>
      </c>
      <c r="S2264" t="s">
        <v>6096</v>
      </c>
      <c r="T2264" t="s">
        <v>7662</v>
      </c>
      <c r="U2264" t="s">
        <v>7662</v>
      </c>
      <c r="V2264" t="s">
        <v>7662</v>
      </c>
      <c r="W2264">
        <v>2</v>
      </c>
      <c r="X2264" t="s">
        <v>9926</v>
      </c>
      <c r="Y2264">
        <v>0.50216563212752496</v>
      </c>
      <c r="Z2264" t="str">
        <f>HYPERLINK("Melting_Curves/meltCurve_sp_Q92922_SMRC1_HUMAN_.pdf", "Melting_Curves/meltCurve_sp_Q92922_SMRC1_HUMAN_.pdf")</f>
        <v>Melting_Curves/meltCurve_sp_Q92922_SMRC1_HUMAN_.pdf</v>
      </c>
      <c r="AA2264" t="s">
        <v>13725</v>
      </c>
      <c r="AB2264" t="s">
        <v>17504</v>
      </c>
    </row>
    <row r="2265" spans="1:28" x14ac:dyDescent="0.25">
      <c r="A2265" t="s">
        <v>2269</v>
      </c>
      <c r="B2265">
        <v>0.98876768158843997</v>
      </c>
      <c r="C2265">
        <v>1.06311698747545</v>
      </c>
      <c r="D2265">
        <v>0.90210541779813502</v>
      </c>
      <c r="E2265">
        <v>0.976323540461696</v>
      </c>
      <c r="F2265">
        <v>1.0144926359336599</v>
      </c>
      <c r="G2265">
        <v>0.94715805494576599</v>
      </c>
      <c r="H2265">
        <v>0.69887884436933601</v>
      </c>
      <c r="I2265">
        <v>0.93678030983190097</v>
      </c>
      <c r="J2265">
        <v>1.0385557989780301</v>
      </c>
      <c r="K2265">
        <v>1.1221278012053999</v>
      </c>
      <c r="L2265">
        <v>15000</v>
      </c>
      <c r="M2265">
        <v>223.10663315364101</v>
      </c>
      <c r="O2265">
        <v>67.227046311167399</v>
      </c>
      <c r="P2265">
        <v>0.10134179103004699</v>
      </c>
      <c r="Q2265">
        <v>1.1221462010899701</v>
      </c>
      <c r="R2265">
        <v>5.6370595242116399E-2</v>
      </c>
      <c r="S2265" t="s">
        <v>6097</v>
      </c>
      <c r="T2265" t="s">
        <v>7662</v>
      </c>
      <c r="U2265" t="s">
        <v>7662</v>
      </c>
      <c r="V2265" t="s">
        <v>7662</v>
      </c>
      <c r="W2265">
        <v>1</v>
      </c>
      <c r="X2265" t="s">
        <v>9927</v>
      </c>
      <c r="Y2265">
        <v>1.0112503930244681</v>
      </c>
      <c r="Z2265" t="str">
        <f>HYPERLINK("Melting_Curves/meltCurve_sp_Q92934_BAD_HUMAN_.pdf", "Melting_Curves/meltCurve_sp_Q92934_BAD_HUMAN_.pdf")</f>
        <v>Melting_Curves/meltCurve_sp_Q92934_BAD_HUMAN_.pdf</v>
      </c>
      <c r="AA2265" t="s">
        <v>13726</v>
      </c>
      <c r="AB2265" t="s">
        <v>17505</v>
      </c>
    </row>
    <row r="2266" spans="1:28" x14ac:dyDescent="0.25">
      <c r="A2266" t="s">
        <v>2270</v>
      </c>
      <c r="B2266">
        <v>0.98876768158843997</v>
      </c>
      <c r="C2266">
        <v>1.10871133253382</v>
      </c>
      <c r="D2266">
        <v>0.86029114731856005</v>
      </c>
      <c r="E2266">
        <v>0.72089290079764501</v>
      </c>
      <c r="F2266">
        <v>0.88631880757214099</v>
      </c>
      <c r="G2266">
        <v>0.62996525790414404</v>
      </c>
      <c r="H2266">
        <v>0.52858754661344698</v>
      </c>
      <c r="I2266">
        <v>0.60858464647311505</v>
      </c>
      <c r="J2266">
        <v>0.76839399409970399</v>
      </c>
      <c r="K2266">
        <v>0.86750497051089603</v>
      </c>
      <c r="L2266">
        <v>11501.564254744901</v>
      </c>
      <c r="M2266">
        <v>250</v>
      </c>
      <c r="O2266">
        <v>46.0033128842407</v>
      </c>
      <c r="P2266">
        <v>-0.386181791390586</v>
      </c>
      <c r="Q2266">
        <v>0.71574973161686195</v>
      </c>
      <c r="R2266">
        <v>0.58785197441451698</v>
      </c>
      <c r="S2266" t="s">
        <v>6098</v>
      </c>
      <c r="T2266" t="s">
        <v>7662</v>
      </c>
      <c r="U2266" t="s">
        <v>7662</v>
      </c>
      <c r="V2266" t="s">
        <v>7662</v>
      </c>
      <c r="W2266">
        <v>30</v>
      </c>
      <c r="X2266" t="s">
        <v>9928</v>
      </c>
      <c r="Y2266">
        <v>0.77268202104630779</v>
      </c>
      <c r="Z2266" t="str">
        <f>HYPERLINK("Melting_Curves/meltCurve_sp_Q92945_FUBP2_HUMAN_.pdf", "Melting_Curves/meltCurve_sp_Q92945_FUBP2_HUMAN_.pdf")</f>
        <v>Melting_Curves/meltCurve_sp_Q92945_FUBP2_HUMAN_.pdf</v>
      </c>
      <c r="AA2266" t="s">
        <v>13727</v>
      </c>
      <c r="AB2266" t="s">
        <v>17506</v>
      </c>
    </row>
    <row r="2267" spans="1:28" x14ac:dyDescent="0.25">
      <c r="A2267" t="s">
        <v>2271</v>
      </c>
      <c r="B2267">
        <v>0.98876768158843997</v>
      </c>
      <c r="C2267">
        <v>0.83445421860086699</v>
      </c>
      <c r="D2267">
        <v>0.610312243712956</v>
      </c>
      <c r="E2267">
        <v>0.33410033365940101</v>
      </c>
      <c r="F2267">
        <v>0.17045311398617399</v>
      </c>
      <c r="G2267">
        <v>9.9472638165702301E-2</v>
      </c>
      <c r="H2267">
        <v>6.4651873920534106E-2</v>
      </c>
      <c r="I2267">
        <v>4.6371541371167703E-2</v>
      </c>
      <c r="J2267">
        <v>3.51609912737142E-2</v>
      </c>
      <c r="K2267">
        <v>2.3915406210298699E-2</v>
      </c>
      <c r="L2267">
        <v>752.58793633104403</v>
      </c>
      <c r="M2267">
        <v>15.9029336066091</v>
      </c>
      <c r="N2267">
        <v>47.507531246745998</v>
      </c>
      <c r="O2267">
        <v>46.594527486324701</v>
      </c>
      <c r="P2267">
        <v>-8.2788375736132694E-2</v>
      </c>
      <c r="Q2267">
        <v>2.98208926208933E-2</v>
      </c>
      <c r="R2267">
        <v>0.99802999052710195</v>
      </c>
      <c r="S2267" t="s">
        <v>6099</v>
      </c>
      <c r="T2267" t="s">
        <v>7662</v>
      </c>
      <c r="U2267" t="s">
        <v>7662</v>
      </c>
      <c r="V2267" t="s">
        <v>7662</v>
      </c>
      <c r="W2267">
        <v>11</v>
      </c>
      <c r="X2267" t="s">
        <v>9929</v>
      </c>
      <c r="Y2267">
        <v>0.28959427793946663</v>
      </c>
      <c r="Z2267" t="str">
        <f>HYPERLINK("Melting_Curves/meltCurve_sp_Q92947_GCDH_HUMAN_.pdf", "Melting_Curves/meltCurve_sp_Q92947_GCDH_HUMAN_.pdf")</f>
        <v>Melting_Curves/meltCurve_sp_Q92947_GCDH_HUMAN_.pdf</v>
      </c>
      <c r="AA2267" t="s">
        <v>13728</v>
      </c>
      <c r="AB2267" t="s">
        <v>17507</v>
      </c>
    </row>
    <row r="2268" spans="1:28" x14ac:dyDescent="0.25">
      <c r="A2268" t="s">
        <v>2272</v>
      </c>
      <c r="B2268">
        <v>0.98876768158843997</v>
      </c>
      <c r="C2268">
        <v>0.94124706902905597</v>
      </c>
      <c r="D2268">
        <v>0.95957244700651301</v>
      </c>
      <c r="E2268">
        <v>0.816408075298103</v>
      </c>
      <c r="F2268">
        <v>0.42477518939597098</v>
      </c>
      <c r="G2268">
        <v>0.14382385491472899</v>
      </c>
      <c r="H2268">
        <v>6.6360207981498498E-2</v>
      </c>
      <c r="I2268">
        <v>5.7018946283829197E-2</v>
      </c>
      <c r="J2268">
        <v>5.5391117903885602E-2</v>
      </c>
      <c r="K2268">
        <v>4.5411776834533603E-2</v>
      </c>
      <c r="L2268">
        <v>1510.53547320296</v>
      </c>
      <c r="M2268">
        <v>28.882631686993498</v>
      </c>
      <c r="N2268">
        <v>52.498868037353397</v>
      </c>
      <c r="O2268">
        <v>52.050310125147902</v>
      </c>
      <c r="P2268">
        <v>-0.13150620742647601</v>
      </c>
      <c r="Q2268">
        <v>5.2041145784293301E-2</v>
      </c>
      <c r="R2268">
        <v>0.99729044738455996</v>
      </c>
      <c r="S2268" t="s">
        <v>6100</v>
      </c>
      <c r="T2268" t="s">
        <v>7662</v>
      </c>
      <c r="U2268" t="s">
        <v>7662</v>
      </c>
      <c r="V2268" t="s">
        <v>7662</v>
      </c>
      <c r="W2268">
        <v>14</v>
      </c>
      <c r="X2268" t="s">
        <v>9930</v>
      </c>
      <c r="Y2268">
        <v>0.44723319316706778</v>
      </c>
      <c r="Z2268" t="str">
        <f>HYPERLINK("Melting_Curves/meltCurve_sp_Q92973_2_TNPO1_HUMAN_.pdf", "Melting_Curves/meltCurve_sp_Q92973_2_TNPO1_HUMAN_.pdf")</f>
        <v>Melting_Curves/meltCurve_sp_Q92973_2_TNPO1_HUMAN_.pdf</v>
      </c>
      <c r="AA2268" t="s">
        <v>13729</v>
      </c>
      <c r="AB2268" t="s">
        <v>17508</v>
      </c>
    </row>
    <row r="2269" spans="1:28" x14ac:dyDescent="0.25">
      <c r="A2269" t="s">
        <v>2273</v>
      </c>
      <c r="B2269">
        <v>0.98876768158843997</v>
      </c>
      <c r="C2269">
        <v>0.83837202131964395</v>
      </c>
      <c r="D2269">
        <v>0.69586356267106497</v>
      </c>
      <c r="E2269">
        <v>0.37023765215092402</v>
      </c>
      <c r="F2269">
        <v>0.203234988087173</v>
      </c>
      <c r="G2269">
        <v>5.9287970389389197E-2</v>
      </c>
      <c r="H2269">
        <v>3.4690039006496899E-2</v>
      </c>
      <c r="I2269">
        <v>0</v>
      </c>
      <c r="J2269">
        <v>0</v>
      </c>
      <c r="K2269">
        <v>0</v>
      </c>
      <c r="L2269">
        <v>764.43914780998205</v>
      </c>
      <c r="M2269">
        <v>15.8468739938833</v>
      </c>
      <c r="N2269">
        <v>48.239113157923498</v>
      </c>
      <c r="O2269">
        <v>47.490534233779002</v>
      </c>
      <c r="P2269">
        <v>-8.3428018652733693E-2</v>
      </c>
      <c r="Q2269">
        <v>0</v>
      </c>
      <c r="R2269">
        <v>0.99736027207455402</v>
      </c>
      <c r="S2269" t="s">
        <v>6101</v>
      </c>
      <c r="T2269" t="s">
        <v>7662</v>
      </c>
      <c r="U2269" t="s">
        <v>7662</v>
      </c>
      <c r="V2269" t="s">
        <v>7662</v>
      </c>
      <c r="W2269">
        <v>2</v>
      </c>
      <c r="X2269" t="s">
        <v>9931</v>
      </c>
      <c r="Y2269">
        <v>0.29747137387360317</v>
      </c>
      <c r="Z2269" t="str">
        <f>HYPERLINK("Melting_Curves/meltCurve_sp_Q92979_NEP1_HUMAN_.pdf", "Melting_Curves/meltCurve_sp_Q92979_NEP1_HUMAN_.pdf")</f>
        <v>Melting_Curves/meltCurve_sp_Q92979_NEP1_HUMAN_.pdf</v>
      </c>
      <c r="AA2269" t="s">
        <v>13730</v>
      </c>
      <c r="AB2269" t="s">
        <v>17509</v>
      </c>
    </row>
    <row r="2270" spans="1:28" x14ac:dyDescent="0.25">
      <c r="A2270" t="s">
        <v>2274</v>
      </c>
      <c r="B2270">
        <v>0.98876768158843997</v>
      </c>
      <c r="C2270">
        <v>0.88998659026820504</v>
      </c>
      <c r="D2270">
        <v>1.05145056316082</v>
      </c>
      <c r="E2270">
        <v>0.68964235924357697</v>
      </c>
      <c r="F2270">
        <v>0.193933747882922</v>
      </c>
      <c r="G2270">
        <v>0.11045930029591899</v>
      </c>
      <c r="H2270">
        <v>7.53732503017598E-2</v>
      </c>
      <c r="I2270">
        <v>6.9507756959733699E-2</v>
      </c>
      <c r="J2270">
        <v>8.5173156010999798E-2</v>
      </c>
      <c r="K2270">
        <v>8.1551872452738997E-2</v>
      </c>
      <c r="L2270">
        <v>2401.3709144003301</v>
      </c>
      <c r="M2270">
        <v>47.3382779589775</v>
      </c>
      <c r="N2270">
        <v>50.925188650136498</v>
      </c>
      <c r="O2270">
        <v>50.637602174666299</v>
      </c>
      <c r="P2270">
        <v>-0.21412948851653901</v>
      </c>
      <c r="Q2270">
        <v>8.3786373229637598E-2</v>
      </c>
      <c r="R2270">
        <v>0.98994364699020998</v>
      </c>
      <c r="S2270" t="s">
        <v>6102</v>
      </c>
      <c r="T2270" t="s">
        <v>7662</v>
      </c>
      <c r="U2270" t="s">
        <v>7662</v>
      </c>
      <c r="V2270" t="s">
        <v>7662</v>
      </c>
      <c r="W2270">
        <v>37</v>
      </c>
      <c r="X2270" t="s">
        <v>9932</v>
      </c>
      <c r="Y2270">
        <v>0.41370956646947588</v>
      </c>
      <c r="Z2270" t="str">
        <f>HYPERLINK("Melting_Curves/meltCurve_sp_Q93008_1_USP9X_HUMAN_.pdf", "Melting_Curves/meltCurve_sp_Q93008_1_USP9X_HUMAN_.pdf")</f>
        <v>Melting_Curves/meltCurve_sp_Q93008_1_USP9X_HUMAN_.pdf</v>
      </c>
      <c r="AA2270" t="s">
        <v>13731</v>
      </c>
      <c r="AB2270" t="s">
        <v>17510</v>
      </c>
    </row>
    <row r="2271" spans="1:28" x14ac:dyDescent="0.25">
      <c r="A2271" t="s">
        <v>2275</v>
      </c>
      <c r="B2271">
        <v>0.98876768158843997</v>
      </c>
      <c r="C2271">
        <v>0.86227296857838798</v>
      </c>
      <c r="D2271">
        <v>0.988211186425486</v>
      </c>
      <c r="E2271">
        <v>0.86826749391086</v>
      </c>
      <c r="F2271">
        <v>0.45362640609446198</v>
      </c>
      <c r="G2271">
        <v>0.23757201298050201</v>
      </c>
      <c r="H2271">
        <v>6.1114636570501202E-2</v>
      </c>
      <c r="I2271">
        <v>5.8834882428636097E-2</v>
      </c>
      <c r="J2271">
        <v>6.2702050549783894E-2</v>
      </c>
      <c r="K2271">
        <v>5.5685638921072901E-2</v>
      </c>
      <c r="L2271">
        <v>1381.08492201372</v>
      </c>
      <c r="M2271">
        <v>26.161129804959</v>
      </c>
      <c r="N2271">
        <v>53.041082137769003</v>
      </c>
      <c r="O2271">
        <v>52.485918605633202</v>
      </c>
      <c r="P2271">
        <v>-0.117394704605518</v>
      </c>
      <c r="Q2271">
        <v>5.7915345161283001E-2</v>
      </c>
      <c r="R2271">
        <v>0.98254269198015798</v>
      </c>
      <c r="S2271" t="s">
        <v>6103</v>
      </c>
      <c r="T2271" t="s">
        <v>7662</v>
      </c>
      <c r="U2271" t="s">
        <v>7662</v>
      </c>
      <c r="V2271" t="s">
        <v>7662</v>
      </c>
      <c r="W2271">
        <v>18</v>
      </c>
      <c r="X2271" t="s">
        <v>9933</v>
      </c>
      <c r="Y2271">
        <v>0.46754895944565628</v>
      </c>
      <c r="Z2271" t="str">
        <f>HYPERLINK("Melting_Curves/meltCurve_sp_Q93034_CUL5_HUMAN_.pdf", "Melting_Curves/meltCurve_sp_Q93034_CUL5_HUMAN_.pdf")</f>
        <v>Melting_Curves/meltCurve_sp_Q93034_CUL5_HUMAN_.pdf</v>
      </c>
      <c r="AA2271" t="s">
        <v>13732</v>
      </c>
      <c r="AB2271" t="s">
        <v>17511</v>
      </c>
    </row>
    <row r="2272" spans="1:28" x14ac:dyDescent="0.25">
      <c r="A2272" t="s">
        <v>2276</v>
      </c>
      <c r="B2272">
        <v>0.98876768158843997</v>
      </c>
      <c r="C2272">
        <v>1.0789793696440599</v>
      </c>
      <c r="D2272">
        <v>0.90451025807887298</v>
      </c>
      <c r="E2272">
        <v>0.75762174655011405</v>
      </c>
      <c r="F2272">
        <v>0.733932436136294</v>
      </c>
      <c r="G2272">
        <v>0.54849663272717697</v>
      </c>
      <c r="H2272">
        <v>0.41018927061402799</v>
      </c>
      <c r="I2272">
        <v>0.48750921099566602</v>
      </c>
      <c r="J2272">
        <v>0.54762151442031404</v>
      </c>
      <c r="K2272">
        <v>0.66869317997648003</v>
      </c>
      <c r="L2272">
        <v>1035.02754315418</v>
      </c>
      <c r="M2272">
        <v>20.488894952906801</v>
      </c>
      <c r="O2272">
        <v>50.042676801484703</v>
      </c>
      <c r="P2272">
        <v>-4.8313092438240599E-2</v>
      </c>
      <c r="Q2272">
        <v>0.52800872825248402</v>
      </c>
      <c r="R2272">
        <v>0.87471969262676696</v>
      </c>
      <c r="S2272" t="s">
        <v>6104</v>
      </c>
      <c r="T2272" t="s">
        <v>7662</v>
      </c>
      <c r="U2272" t="s">
        <v>7662</v>
      </c>
      <c r="V2272" t="s">
        <v>7662</v>
      </c>
      <c r="W2272">
        <v>26</v>
      </c>
      <c r="X2272" t="s">
        <v>9934</v>
      </c>
      <c r="Y2272">
        <v>0.69972884829530457</v>
      </c>
      <c r="Z2272" t="str">
        <f>HYPERLINK("Melting_Curves/meltCurve_sp_Q93052_LPP_HUMAN_.pdf", "Melting_Curves/meltCurve_sp_Q93052_LPP_HUMAN_.pdf")</f>
        <v>Melting_Curves/meltCurve_sp_Q93052_LPP_HUMAN_.pdf</v>
      </c>
      <c r="AA2272" t="s">
        <v>13733</v>
      </c>
      <c r="AB2272" t="s">
        <v>17512</v>
      </c>
    </row>
    <row r="2273" spans="1:28" x14ac:dyDescent="0.25">
      <c r="A2273" t="s">
        <v>2277</v>
      </c>
      <c r="B2273">
        <v>0.98876768158843997</v>
      </c>
      <c r="C2273">
        <v>1.2375634567573199</v>
      </c>
      <c r="D2273">
        <v>0.88713860299449798</v>
      </c>
      <c r="E2273">
        <v>0.48140268805410902</v>
      </c>
      <c r="F2273">
        <v>0.33990472866431698</v>
      </c>
      <c r="G2273">
        <v>0.22116715513113699</v>
      </c>
      <c r="H2273">
        <v>0.21880305587073801</v>
      </c>
      <c r="I2273">
        <v>0.341432718026908</v>
      </c>
      <c r="J2273">
        <v>0.38026206002593299</v>
      </c>
      <c r="K2273">
        <v>0.35969897817982299</v>
      </c>
      <c r="L2273">
        <v>1852.0990741559399</v>
      </c>
      <c r="M2273">
        <v>38.206315376031</v>
      </c>
      <c r="N2273">
        <v>49.710841578592898</v>
      </c>
      <c r="O2273">
        <v>48.344011984191198</v>
      </c>
      <c r="P2273">
        <v>-0.13703676375380699</v>
      </c>
      <c r="Q2273">
        <v>0.30640872504777</v>
      </c>
      <c r="R2273">
        <v>0.92625922545038397</v>
      </c>
      <c r="S2273" t="s">
        <v>6105</v>
      </c>
      <c r="T2273" t="s">
        <v>7662</v>
      </c>
      <c r="U2273" t="s">
        <v>7662</v>
      </c>
      <c r="V2273" t="s">
        <v>7662</v>
      </c>
      <c r="W2273">
        <v>2</v>
      </c>
      <c r="X2273" t="s">
        <v>9935</v>
      </c>
      <c r="Y2273">
        <v>0.50493294293067692</v>
      </c>
      <c r="Z2273" t="str">
        <f>HYPERLINK("Melting_Curves/meltCurve_sp_Q93062_4_RBPMS_HUMAN_.pdf", "Melting_Curves/meltCurve_sp_Q93062_4_RBPMS_HUMAN_.pdf")</f>
        <v>Melting_Curves/meltCurve_sp_Q93062_4_RBPMS_HUMAN_.pdf</v>
      </c>
      <c r="AA2273" t="s">
        <v>13734</v>
      </c>
      <c r="AB2273" t="s">
        <v>17513</v>
      </c>
    </row>
    <row r="2274" spans="1:28" x14ac:dyDescent="0.25">
      <c r="A2274" t="s">
        <v>2278</v>
      </c>
      <c r="B2274">
        <v>0.98876768158843997</v>
      </c>
      <c r="C2274">
        <v>0.93431719095128596</v>
      </c>
      <c r="D2274">
        <v>0.87248280518896304</v>
      </c>
      <c r="E2274">
        <v>0.58636702865690804</v>
      </c>
      <c r="F2274">
        <v>0.35645228715121102</v>
      </c>
      <c r="G2274">
        <v>0.27134298539120499</v>
      </c>
      <c r="H2274">
        <v>0.19004890054263399</v>
      </c>
      <c r="I2274">
        <v>0.17769822628815499</v>
      </c>
      <c r="J2274">
        <v>0.166763763387381</v>
      </c>
      <c r="K2274">
        <v>0.116714410137923</v>
      </c>
      <c r="L2274">
        <v>869.66762743645302</v>
      </c>
      <c r="M2274">
        <v>17.347770364130199</v>
      </c>
      <c r="N2274">
        <v>51.156232666285803</v>
      </c>
      <c r="O2274">
        <v>49.479449952655301</v>
      </c>
      <c r="P2274">
        <v>-7.4789504398335205E-2</v>
      </c>
      <c r="Q2274">
        <v>0.14678774541759901</v>
      </c>
      <c r="R2274">
        <v>0.99601029317867995</v>
      </c>
      <c r="S2274" t="s">
        <v>6106</v>
      </c>
      <c r="T2274" t="s">
        <v>7662</v>
      </c>
      <c r="U2274" t="s">
        <v>7662</v>
      </c>
      <c r="V2274" t="s">
        <v>7662</v>
      </c>
      <c r="W2274">
        <v>4</v>
      </c>
      <c r="X2274" t="s">
        <v>9936</v>
      </c>
      <c r="Y2274">
        <v>0.45049492190453649</v>
      </c>
      <c r="Z2274" t="str">
        <f>HYPERLINK("Melting_Curves/meltCurve_sp_Q93077_H2A1C_HUMAN_.pdf", "Melting_Curves/meltCurve_sp_Q93077_H2A1C_HUMAN_.pdf")</f>
        <v>Melting_Curves/meltCurve_sp_Q93077_H2A1C_HUMAN_.pdf</v>
      </c>
      <c r="AA2274" t="s">
        <v>13735</v>
      </c>
      <c r="AB2274" t="s">
        <v>17514</v>
      </c>
    </row>
    <row r="2275" spans="1:28" x14ac:dyDescent="0.25">
      <c r="A2275" t="s">
        <v>2279</v>
      </c>
      <c r="B2275">
        <v>0.98876768158843997</v>
      </c>
      <c r="C2275">
        <v>0.85974262545476798</v>
      </c>
      <c r="D2275">
        <v>1.02456590175297</v>
      </c>
      <c r="E2275">
        <v>0.99453833383676304</v>
      </c>
      <c r="F2275">
        <v>0.66536376620760296</v>
      </c>
      <c r="G2275">
        <v>0.54722455885008403</v>
      </c>
      <c r="H2275">
        <v>0.51468095110066403</v>
      </c>
      <c r="I2275">
        <v>0.715110165238944</v>
      </c>
      <c r="J2275">
        <v>0.63505424960051804</v>
      </c>
      <c r="K2275">
        <v>0.97569793822053996</v>
      </c>
      <c r="L2275">
        <v>12703.1971637323</v>
      </c>
      <c r="M2275">
        <v>250</v>
      </c>
      <c r="O2275">
        <v>50.809559578750502</v>
      </c>
      <c r="P2275">
        <v>-0.39913734556827901</v>
      </c>
      <c r="Q2275">
        <v>0.67552025990310605</v>
      </c>
      <c r="R2275">
        <v>0.56084782456360105</v>
      </c>
      <c r="S2275" t="s">
        <v>6107</v>
      </c>
      <c r="T2275" t="s">
        <v>7662</v>
      </c>
      <c r="U2275" t="s">
        <v>7662</v>
      </c>
      <c r="V2275" t="s">
        <v>7662</v>
      </c>
      <c r="W2275">
        <v>41</v>
      </c>
      <c r="X2275" t="s">
        <v>9937</v>
      </c>
      <c r="Y2275">
        <v>0.79250022401170928</v>
      </c>
      <c r="Z2275" t="str">
        <f>HYPERLINK("Melting_Curves/meltCurve_sp_Q93088_BHMT1_HUMAN_.pdf", "Melting_Curves/meltCurve_sp_Q93088_BHMT1_HUMAN_.pdf")</f>
        <v>Melting_Curves/meltCurve_sp_Q93088_BHMT1_HUMAN_.pdf</v>
      </c>
      <c r="AA2275" t="s">
        <v>13736</v>
      </c>
      <c r="AB2275" t="s">
        <v>17515</v>
      </c>
    </row>
    <row r="2276" spans="1:28" x14ac:dyDescent="0.25">
      <c r="A2276" t="s">
        <v>2280</v>
      </c>
      <c r="B2276">
        <v>0.98876768158843997</v>
      </c>
      <c r="C2276">
        <v>1.1412626666035099</v>
      </c>
      <c r="D2276">
        <v>0.82062507128602202</v>
      </c>
      <c r="E2276">
        <v>0.60404652937596204</v>
      </c>
      <c r="F2276">
        <v>0.66143666966911996</v>
      </c>
      <c r="G2276">
        <v>0.345016192304679</v>
      </c>
      <c r="H2276">
        <v>0.15506741555804601</v>
      </c>
      <c r="I2276">
        <v>7.6503332659458301E-2</v>
      </c>
      <c r="J2276">
        <v>5.3282004736067597E-2</v>
      </c>
      <c r="K2276">
        <v>4.29411476795621E-2</v>
      </c>
      <c r="L2276">
        <v>693.94381376643503</v>
      </c>
      <c r="M2276">
        <v>12.9094599147561</v>
      </c>
      <c r="N2276">
        <v>53.754675386787802</v>
      </c>
      <c r="O2276">
        <v>52.513810424810899</v>
      </c>
      <c r="P2276">
        <v>-6.14686085463809E-2</v>
      </c>
      <c r="Q2276">
        <v>0</v>
      </c>
      <c r="R2276">
        <v>0.95504974223756001</v>
      </c>
      <c r="S2276" t="s">
        <v>6108</v>
      </c>
      <c r="T2276" t="s">
        <v>7662</v>
      </c>
      <c r="U2276" t="s">
        <v>7662</v>
      </c>
      <c r="V2276" t="s">
        <v>7662</v>
      </c>
      <c r="W2276">
        <v>1</v>
      </c>
      <c r="X2276" t="s">
        <v>9938</v>
      </c>
      <c r="Y2276">
        <v>0.48328444679603472</v>
      </c>
      <c r="Z2276" t="str">
        <f>HYPERLINK("Melting_Curves/meltCurve_sp_Q93096_TP4A1_HUMAN_.pdf", "Melting_Curves/meltCurve_sp_Q93096_TP4A1_HUMAN_.pdf")</f>
        <v>Melting_Curves/meltCurve_sp_Q93096_TP4A1_HUMAN_.pdf</v>
      </c>
      <c r="AA2276" t="s">
        <v>13737</v>
      </c>
      <c r="AB2276" t="s">
        <v>17516</v>
      </c>
    </row>
    <row r="2277" spans="1:28" x14ac:dyDescent="0.25">
      <c r="A2277" t="s">
        <v>2281</v>
      </c>
      <c r="B2277">
        <v>0.98876768158843997</v>
      </c>
      <c r="C2277">
        <v>0.90578168196778697</v>
      </c>
      <c r="D2277">
        <v>1.0328932455690001</v>
      </c>
      <c r="E2277">
        <v>0.84235035926773805</v>
      </c>
      <c r="F2277">
        <v>0.55299353644949201</v>
      </c>
      <c r="G2277">
        <v>0.39120439051310002</v>
      </c>
      <c r="H2277">
        <v>0.31304600511561997</v>
      </c>
      <c r="I2277">
        <v>0.240783961527121</v>
      </c>
      <c r="J2277">
        <v>8.1144344976673694E-2</v>
      </c>
      <c r="K2277">
        <v>4.0186652631137201E-2</v>
      </c>
      <c r="L2277">
        <v>680.32570812469896</v>
      </c>
      <c r="M2277">
        <v>12.2710375422681</v>
      </c>
      <c r="N2277">
        <v>55.531066207825901</v>
      </c>
      <c r="O2277">
        <v>54.030867039170303</v>
      </c>
      <c r="P2277">
        <v>-5.6234474493709302E-2</v>
      </c>
      <c r="Q2277">
        <v>9.7900541963170107E-3</v>
      </c>
      <c r="R2277">
        <v>0.97025444058704002</v>
      </c>
      <c r="S2277" t="s">
        <v>6109</v>
      </c>
      <c r="T2277" t="s">
        <v>7662</v>
      </c>
      <c r="U2277" t="s">
        <v>7662</v>
      </c>
      <c r="V2277" t="s">
        <v>7662</v>
      </c>
      <c r="W2277">
        <v>14</v>
      </c>
      <c r="X2277" t="s">
        <v>9939</v>
      </c>
      <c r="Y2277">
        <v>0.54111857123351426</v>
      </c>
      <c r="Z2277" t="str">
        <f>HYPERLINK("Melting_Curves/meltCurve_sp_Q93099_HGD_HUMAN_.pdf", "Melting_Curves/meltCurve_sp_Q93099_HGD_HUMAN_.pdf")</f>
        <v>Melting_Curves/meltCurve_sp_Q93099_HGD_HUMAN_.pdf</v>
      </c>
      <c r="AA2277" t="s">
        <v>13738</v>
      </c>
      <c r="AB2277" t="s">
        <v>17517</v>
      </c>
    </row>
    <row r="2278" spans="1:28" x14ac:dyDescent="0.25">
      <c r="A2278" t="s">
        <v>2282</v>
      </c>
      <c r="B2278">
        <v>0.98876768158843997</v>
      </c>
      <c r="C2278">
        <v>1.1517413751029999</v>
      </c>
      <c r="D2278">
        <v>0.98689724520912703</v>
      </c>
      <c r="E2278">
        <v>0.35145190669555498</v>
      </c>
      <c r="F2278">
        <v>0.18814753449437399</v>
      </c>
      <c r="G2278">
        <v>0.101130313525415</v>
      </c>
      <c r="H2278">
        <v>5.8680084448251797E-2</v>
      </c>
      <c r="I2278">
        <v>4.3055568924412903E-2</v>
      </c>
      <c r="J2278">
        <v>3.7291387274929901E-2</v>
      </c>
      <c r="K2278">
        <v>6.6475678566973104E-2</v>
      </c>
      <c r="L2278">
        <v>2119.5891553913102</v>
      </c>
      <c r="M2278">
        <v>43.122933388970402</v>
      </c>
      <c r="N2278">
        <v>49.332163554641099</v>
      </c>
      <c r="O2278">
        <v>49.046917744375001</v>
      </c>
      <c r="P2278">
        <v>-0.203809270385196</v>
      </c>
      <c r="Q2278">
        <v>7.2772039315335005E-2</v>
      </c>
      <c r="R2278">
        <v>0.98180972035604597</v>
      </c>
      <c r="S2278" t="s">
        <v>6110</v>
      </c>
      <c r="T2278" t="s">
        <v>7662</v>
      </c>
      <c r="U2278" t="s">
        <v>7662</v>
      </c>
      <c r="V2278" t="s">
        <v>7662</v>
      </c>
      <c r="W2278">
        <v>6</v>
      </c>
      <c r="X2278" t="s">
        <v>9940</v>
      </c>
      <c r="Y2278">
        <v>0.35835499238299839</v>
      </c>
      <c r="Z2278" t="str">
        <f>HYPERLINK("Melting_Curves/meltCurve_sp_Q93100_4_KPBB_HUMAN_.pdf", "Melting_Curves/meltCurve_sp_Q93100_4_KPBB_HUMAN_.pdf")</f>
        <v>Melting_Curves/meltCurve_sp_Q93100_4_KPBB_HUMAN_.pdf</v>
      </c>
      <c r="AA2278" t="s">
        <v>13739</v>
      </c>
      <c r="AB2278" t="s">
        <v>17518</v>
      </c>
    </row>
    <row r="2279" spans="1:28" x14ac:dyDescent="0.25">
      <c r="A2279" t="s">
        <v>2283</v>
      </c>
      <c r="B2279">
        <v>0.98876768158843997</v>
      </c>
      <c r="C2279">
        <v>0.96062177709919305</v>
      </c>
      <c r="D2279">
        <v>0.49990828262855702</v>
      </c>
      <c r="E2279">
        <v>0.169933615567259</v>
      </c>
      <c r="F2279">
        <v>5.5272687392926997E-2</v>
      </c>
      <c r="G2279">
        <v>3.2149586526379899E-2</v>
      </c>
      <c r="H2279">
        <v>1.8018358188947599E-2</v>
      </c>
      <c r="I2279">
        <v>4.4273709725341601E-2</v>
      </c>
      <c r="J2279">
        <v>1.9803501651136101E-2</v>
      </c>
      <c r="K2279">
        <v>4.9929656325062098E-2</v>
      </c>
      <c r="L2279">
        <v>1416.5821818427701</v>
      </c>
      <c r="M2279">
        <v>30.7433041751638</v>
      </c>
      <c r="N2279">
        <v>46.200545892072199</v>
      </c>
      <c r="O2279">
        <v>45.884104432530101</v>
      </c>
      <c r="P2279">
        <v>-0.16093455648133301</v>
      </c>
      <c r="Q2279">
        <v>3.9232183957609301E-2</v>
      </c>
      <c r="R2279">
        <v>0.99472521452462304</v>
      </c>
      <c r="S2279" t="s">
        <v>6111</v>
      </c>
      <c r="T2279" t="s">
        <v>7662</v>
      </c>
      <c r="U2279" t="s">
        <v>7662</v>
      </c>
      <c r="V2279" t="s">
        <v>7662</v>
      </c>
      <c r="W2279">
        <v>2</v>
      </c>
      <c r="X2279" t="s">
        <v>9941</v>
      </c>
      <c r="Y2279">
        <v>0.23940586173261011</v>
      </c>
      <c r="Z2279" t="str">
        <f>HYPERLINK("Melting_Curves/meltCurve_sp_Q969G6_RIFK_HUMAN_.pdf", "Melting_Curves/meltCurve_sp_Q969G6_RIFK_HUMAN_.pdf")</f>
        <v>Melting_Curves/meltCurve_sp_Q969G6_RIFK_HUMAN_.pdf</v>
      </c>
      <c r="AA2279" t="s">
        <v>13740</v>
      </c>
      <c r="AB2279" t="s">
        <v>17519</v>
      </c>
    </row>
    <row r="2280" spans="1:28" x14ac:dyDescent="0.25">
      <c r="A2280" t="s">
        <v>2284</v>
      </c>
      <c r="B2280">
        <v>0.98876768158843997</v>
      </c>
      <c r="C2280">
        <v>1.15036648477213</v>
      </c>
      <c r="D2280">
        <v>0.85208329007884298</v>
      </c>
      <c r="E2280">
        <v>0.838649201281916</v>
      </c>
      <c r="F2280">
        <v>1.0989164566751599</v>
      </c>
      <c r="G2280">
        <v>0.80913929883286895</v>
      </c>
      <c r="H2280">
        <v>0.57061833766948999</v>
      </c>
      <c r="I2280">
        <v>0.493656946120826</v>
      </c>
      <c r="J2280">
        <v>0.214118343304673</v>
      </c>
      <c r="K2280">
        <v>8.1670505795703993E-2</v>
      </c>
      <c r="L2280">
        <v>1117.50093735215</v>
      </c>
      <c r="M2280">
        <v>17.856199405110399</v>
      </c>
      <c r="N2280">
        <v>62.583360094110397</v>
      </c>
      <c r="O2280">
        <v>61.814261055961502</v>
      </c>
      <c r="P2280">
        <v>-7.2220829185787205E-2</v>
      </c>
      <c r="Q2280">
        <v>0</v>
      </c>
      <c r="R2280">
        <v>0.91457239527300505</v>
      </c>
      <c r="S2280" t="s">
        <v>6112</v>
      </c>
      <c r="T2280" t="s">
        <v>7662</v>
      </c>
      <c r="U2280" t="s">
        <v>7662</v>
      </c>
      <c r="V2280" t="s">
        <v>7662</v>
      </c>
      <c r="W2280">
        <v>4</v>
      </c>
      <c r="X2280" t="s">
        <v>9942</v>
      </c>
      <c r="Y2280">
        <v>0.75145352578754065</v>
      </c>
      <c r="Z2280" t="str">
        <f>HYPERLINK("Melting_Curves/meltCurve_sp_Q969H8_CS010_HUMAN_.pdf", "Melting_Curves/meltCurve_sp_Q969H8_CS010_HUMAN_.pdf")</f>
        <v>Melting_Curves/meltCurve_sp_Q969H8_CS010_HUMAN_.pdf</v>
      </c>
      <c r="AA2280" t="s">
        <v>13741</v>
      </c>
      <c r="AB2280" t="s">
        <v>17520</v>
      </c>
    </row>
    <row r="2281" spans="1:28" x14ac:dyDescent="0.25">
      <c r="A2281" t="s">
        <v>2285</v>
      </c>
      <c r="B2281">
        <v>0.98876768158843997</v>
      </c>
      <c r="C2281">
        <v>1.07167971973231</v>
      </c>
      <c r="D2281">
        <v>0.87627195066268604</v>
      </c>
      <c r="E2281">
        <v>0.78845763083632603</v>
      </c>
      <c r="F2281">
        <v>0.83821363482655098</v>
      </c>
      <c r="G2281">
        <v>0.29829946878499802</v>
      </c>
      <c r="H2281">
        <v>8.2366070391915402E-2</v>
      </c>
      <c r="I2281">
        <v>5.1008081995780198E-2</v>
      </c>
      <c r="J2281">
        <v>0.119980020015702</v>
      </c>
      <c r="K2281">
        <v>4.4866361445361803E-2</v>
      </c>
      <c r="L2281">
        <v>1458.41025375554</v>
      </c>
      <c r="M2281">
        <v>26.4833072076969</v>
      </c>
      <c r="N2281">
        <v>55.2808286880773</v>
      </c>
      <c r="O2281">
        <v>54.757923658756901</v>
      </c>
      <c r="P2281">
        <v>-0.11507905486014899</v>
      </c>
      <c r="Q2281">
        <v>4.8242329784566197E-2</v>
      </c>
      <c r="R2281">
        <v>0.96642959153860197</v>
      </c>
      <c r="S2281" t="s">
        <v>6113</v>
      </c>
      <c r="T2281" t="s">
        <v>7662</v>
      </c>
      <c r="U2281" t="s">
        <v>7662</v>
      </c>
      <c r="V2281" t="s">
        <v>7662</v>
      </c>
      <c r="W2281">
        <v>11</v>
      </c>
      <c r="X2281" t="s">
        <v>9943</v>
      </c>
      <c r="Y2281">
        <v>0.5342599863149593</v>
      </c>
      <c r="Z2281" t="str">
        <f>HYPERLINK("Melting_Curves/meltCurve_sp_Q969I3_GLYL1_HUMAN_.pdf", "Melting_Curves/meltCurve_sp_Q969I3_GLYL1_HUMAN_.pdf")</f>
        <v>Melting_Curves/meltCurve_sp_Q969I3_GLYL1_HUMAN_.pdf</v>
      </c>
      <c r="AA2281" t="s">
        <v>13742</v>
      </c>
      <c r="AB2281" t="s">
        <v>17521</v>
      </c>
    </row>
    <row r="2282" spans="1:28" x14ac:dyDescent="0.25">
      <c r="A2282" t="s">
        <v>2286</v>
      </c>
      <c r="B2282">
        <v>0.98876768158843997</v>
      </c>
      <c r="C2282">
        <v>1.00491682951433</v>
      </c>
      <c r="D2282">
        <v>0.99414647613637597</v>
      </c>
      <c r="E2282">
        <v>1.08188600802735</v>
      </c>
      <c r="F2282">
        <v>0.62290677763259705</v>
      </c>
      <c r="G2282">
        <v>0.50862277956212398</v>
      </c>
      <c r="H2282">
        <v>0.48170904363251499</v>
      </c>
      <c r="I2282">
        <v>0.43644600295159303</v>
      </c>
      <c r="J2282">
        <v>0.38009088379236</v>
      </c>
      <c r="K2282">
        <v>0.649087711412482</v>
      </c>
      <c r="L2282">
        <v>13194.2522950892</v>
      </c>
      <c r="M2282">
        <v>250</v>
      </c>
      <c r="N2282">
        <v>53.6436697410102</v>
      </c>
      <c r="O2282">
        <v>52.773631804197201</v>
      </c>
      <c r="P2282">
        <v>-0.60258403136149796</v>
      </c>
      <c r="Q2282">
        <v>0.49119123578463503</v>
      </c>
      <c r="R2282">
        <v>0.92914095324019297</v>
      </c>
      <c r="S2282" t="s">
        <v>6114</v>
      </c>
      <c r="T2282" t="s">
        <v>7662</v>
      </c>
      <c r="U2282" t="s">
        <v>7662</v>
      </c>
      <c r="V2282" t="s">
        <v>7662</v>
      </c>
      <c r="W2282">
        <v>2</v>
      </c>
      <c r="X2282" t="s">
        <v>9944</v>
      </c>
      <c r="Y2282">
        <v>0.70794017147302013</v>
      </c>
      <c r="Z2282" t="str">
        <f>HYPERLINK("Melting_Curves/meltCurve_sp_Q969Q0_RL36L_HUMAN_.pdf", "Melting_Curves/meltCurve_sp_Q969Q0_RL36L_HUMAN_.pdf")</f>
        <v>Melting_Curves/meltCurve_sp_Q969Q0_RL36L_HUMAN_.pdf</v>
      </c>
      <c r="AA2282" t="s">
        <v>13743</v>
      </c>
      <c r="AB2282" t="s">
        <v>17522</v>
      </c>
    </row>
    <row r="2283" spans="1:28" x14ac:dyDescent="0.25">
      <c r="A2283" t="s">
        <v>2287</v>
      </c>
      <c r="B2283">
        <v>0.98876768158843997</v>
      </c>
      <c r="C2283">
        <v>1.07701681323191</v>
      </c>
      <c r="D2283">
        <v>0.82437965718072004</v>
      </c>
      <c r="E2283">
        <v>0.67108007937751302</v>
      </c>
      <c r="F2283">
        <v>0.38447876415769699</v>
      </c>
      <c r="G2283">
        <v>0.23545842233987599</v>
      </c>
      <c r="H2283">
        <v>0.14420189754517199</v>
      </c>
      <c r="I2283">
        <v>0.112218754077285</v>
      </c>
      <c r="J2283">
        <v>0.107942676372094</v>
      </c>
      <c r="K2283">
        <v>7.6248456059366101E-2</v>
      </c>
      <c r="L2283">
        <v>897.10132439449103</v>
      </c>
      <c r="M2283">
        <v>17.514377457126301</v>
      </c>
      <c r="N2283">
        <v>51.7780151809676</v>
      </c>
      <c r="O2283">
        <v>50.5670809594614</v>
      </c>
      <c r="P2283">
        <v>-7.9157438990751894E-2</v>
      </c>
      <c r="Q2283">
        <v>8.5884156069627696E-2</v>
      </c>
      <c r="R2283">
        <v>0.98687958368347894</v>
      </c>
      <c r="S2283" t="s">
        <v>6115</v>
      </c>
      <c r="T2283" t="s">
        <v>7662</v>
      </c>
      <c r="U2283" t="s">
        <v>7662</v>
      </c>
      <c r="V2283" t="s">
        <v>7662</v>
      </c>
      <c r="W2283">
        <v>3</v>
      </c>
      <c r="X2283" t="s">
        <v>9945</v>
      </c>
      <c r="Y2283">
        <v>0.443914628251182</v>
      </c>
      <c r="Z2283" t="str">
        <f>HYPERLINK("Melting_Curves/meltCurve_sp_Q969T7_2_5NT3B_HUMAN_.pdf", "Melting_Curves/meltCurve_sp_Q969T7_2_5NT3B_HUMAN_.pdf")</f>
        <v>Melting_Curves/meltCurve_sp_Q969T7_2_5NT3B_HUMAN_.pdf</v>
      </c>
      <c r="AA2283" t="s">
        <v>13744</v>
      </c>
      <c r="AB2283" t="s">
        <v>17523</v>
      </c>
    </row>
    <row r="2284" spans="1:28" x14ac:dyDescent="0.25">
      <c r="A2284" t="s">
        <v>2288</v>
      </c>
      <c r="B2284">
        <v>0.98876768158843997</v>
      </c>
      <c r="C2284">
        <v>0.93535339713320798</v>
      </c>
      <c r="D2284">
        <v>0.60753876591157296</v>
      </c>
      <c r="E2284">
        <v>0.187705772161356</v>
      </c>
      <c r="F2284">
        <v>0.120112979872218</v>
      </c>
      <c r="G2284">
        <v>6.6748618541883201E-2</v>
      </c>
      <c r="H2284">
        <v>4.6046368444067801E-2</v>
      </c>
      <c r="I2284">
        <v>4.0845723149648697E-2</v>
      </c>
      <c r="J2284">
        <v>4.9117997863250898E-2</v>
      </c>
      <c r="K2284">
        <v>5.3180615261298698E-2</v>
      </c>
      <c r="L2284">
        <v>1239.4749816864501</v>
      </c>
      <c r="M2284">
        <v>26.5601174172137</v>
      </c>
      <c r="N2284">
        <v>46.866623508430997</v>
      </c>
      <c r="O2284">
        <v>46.404622937535002</v>
      </c>
      <c r="P2284">
        <v>-0.13543023398008</v>
      </c>
      <c r="Q2284">
        <v>5.3539681367170598E-2</v>
      </c>
      <c r="R2284">
        <v>0.99879466204400402</v>
      </c>
      <c r="S2284" t="s">
        <v>6116</v>
      </c>
      <c r="T2284" t="s">
        <v>7662</v>
      </c>
      <c r="U2284" t="s">
        <v>7662</v>
      </c>
      <c r="V2284" t="s">
        <v>7662</v>
      </c>
      <c r="W2284">
        <v>5</v>
      </c>
      <c r="X2284" t="s">
        <v>9946</v>
      </c>
      <c r="Y2284">
        <v>0.27130960825225331</v>
      </c>
      <c r="Z2284" t="str">
        <f>HYPERLINK("Melting_Curves/meltCurve_sp_Q969Z0_TBRG4_HUMAN_.pdf", "Melting_Curves/meltCurve_sp_Q969Z0_TBRG4_HUMAN_.pdf")</f>
        <v>Melting_Curves/meltCurve_sp_Q969Z0_TBRG4_HUMAN_.pdf</v>
      </c>
      <c r="AA2284" t="s">
        <v>13745</v>
      </c>
      <c r="AB2284" t="s">
        <v>17524</v>
      </c>
    </row>
    <row r="2285" spans="1:28" x14ac:dyDescent="0.25">
      <c r="A2285" t="s">
        <v>2289</v>
      </c>
      <c r="B2285">
        <v>0.98876768158843997</v>
      </c>
      <c r="C2285">
        <v>1.0474946695651299</v>
      </c>
      <c r="D2285">
        <v>0.92471964292207798</v>
      </c>
      <c r="E2285">
        <v>0.67683875932335302</v>
      </c>
      <c r="F2285">
        <v>0.76612377917206198</v>
      </c>
      <c r="G2285">
        <v>0.51736071280770302</v>
      </c>
      <c r="H2285">
        <v>0.36450883039619902</v>
      </c>
      <c r="I2285">
        <v>0.36020577391550401</v>
      </c>
      <c r="J2285">
        <v>0.400242883195782</v>
      </c>
      <c r="K2285">
        <v>0.36254807484270501</v>
      </c>
      <c r="L2285">
        <v>712.43172945830997</v>
      </c>
      <c r="M2285">
        <v>13.4612718451574</v>
      </c>
      <c r="N2285">
        <v>57.418547726244</v>
      </c>
      <c r="O2285">
        <v>51.797512206808797</v>
      </c>
      <c r="P2285">
        <v>-4.3819315348083102E-2</v>
      </c>
      <c r="Q2285">
        <v>0.325656138060331</v>
      </c>
      <c r="R2285">
        <v>0.94892110552231101</v>
      </c>
      <c r="S2285" t="s">
        <v>6117</v>
      </c>
      <c r="T2285" t="s">
        <v>7662</v>
      </c>
      <c r="U2285" t="s">
        <v>7662</v>
      </c>
      <c r="V2285" t="s">
        <v>7662</v>
      </c>
      <c r="W2285">
        <v>5</v>
      </c>
      <c r="X2285" t="s">
        <v>9947</v>
      </c>
      <c r="Y2285">
        <v>0.63299939916031966</v>
      </c>
      <c r="Z2285" t="str">
        <f>HYPERLINK("Melting_Curves/meltCurve_sp_Q96A49_SYAP1_HUMAN_.pdf", "Melting_Curves/meltCurve_sp_Q96A49_SYAP1_HUMAN_.pdf")</f>
        <v>Melting_Curves/meltCurve_sp_Q96A49_SYAP1_HUMAN_.pdf</v>
      </c>
      <c r="AA2285" t="s">
        <v>13746</v>
      </c>
      <c r="AB2285" t="s">
        <v>17525</v>
      </c>
    </row>
    <row r="2286" spans="1:28" x14ac:dyDescent="0.25">
      <c r="A2286" t="s">
        <v>2290</v>
      </c>
      <c r="B2286">
        <v>0.98876768158843997</v>
      </c>
      <c r="C2286">
        <v>0.91928008969506603</v>
      </c>
      <c r="D2286">
        <v>1.05691030119947</v>
      </c>
      <c r="E2286">
        <v>0.42360671841386299</v>
      </c>
      <c r="F2286">
        <v>0.20993662131544299</v>
      </c>
      <c r="G2286">
        <v>0.104513083616685</v>
      </c>
      <c r="H2286">
        <v>6.5155114883881607E-2</v>
      </c>
      <c r="I2286">
        <v>6.59179500438698E-2</v>
      </c>
      <c r="J2286">
        <v>4.0794354792949197E-2</v>
      </c>
      <c r="K2286">
        <v>6.8634892681787005E-2</v>
      </c>
      <c r="L2286">
        <v>2122.5952256986998</v>
      </c>
      <c r="M2286">
        <v>42.831910343434402</v>
      </c>
      <c r="N2286">
        <v>49.758174716397598</v>
      </c>
      <c r="O2286">
        <v>49.448744163101999</v>
      </c>
      <c r="P2286">
        <v>-0.19928405180887299</v>
      </c>
      <c r="Q2286">
        <v>7.9720742086597698E-2</v>
      </c>
      <c r="R2286">
        <v>0.98550152075538799</v>
      </c>
      <c r="S2286" t="s">
        <v>6118</v>
      </c>
      <c r="T2286" t="s">
        <v>7662</v>
      </c>
      <c r="U2286" t="s">
        <v>7662</v>
      </c>
      <c r="V2286" t="s">
        <v>7662</v>
      </c>
      <c r="W2286">
        <v>9</v>
      </c>
      <c r="X2286" t="s">
        <v>9948</v>
      </c>
      <c r="Y2286">
        <v>0.37562010566074849</v>
      </c>
      <c r="Z2286" t="str">
        <f>HYPERLINK("Melting_Curves/meltCurve_sp_Q96A65_EXOC4_HUMAN_.pdf", "Melting_Curves/meltCurve_sp_Q96A65_EXOC4_HUMAN_.pdf")</f>
        <v>Melting_Curves/meltCurve_sp_Q96A65_EXOC4_HUMAN_.pdf</v>
      </c>
      <c r="AA2286" t="s">
        <v>13747</v>
      </c>
      <c r="AB2286" t="s">
        <v>17526</v>
      </c>
    </row>
    <row r="2287" spans="1:28" x14ac:dyDescent="0.25">
      <c r="A2287" t="s">
        <v>2291</v>
      </c>
      <c r="B2287">
        <v>0.98876768158843997</v>
      </c>
      <c r="C2287">
        <v>0.95684642587649504</v>
      </c>
      <c r="D2287">
        <v>0.83971537142979702</v>
      </c>
      <c r="E2287">
        <v>0.65241787834792297</v>
      </c>
      <c r="F2287">
        <v>0.50254315571808095</v>
      </c>
      <c r="G2287">
        <v>0.304527006244184</v>
      </c>
      <c r="H2287">
        <v>0.177578213772039</v>
      </c>
      <c r="I2287">
        <v>0.12698649857337699</v>
      </c>
      <c r="J2287">
        <v>9.8698007551793601E-2</v>
      </c>
      <c r="K2287">
        <v>7.7603662322740699E-2</v>
      </c>
      <c r="L2287">
        <v>634.53899035401605</v>
      </c>
      <c r="M2287">
        <v>12.070170945799299</v>
      </c>
      <c r="N2287">
        <v>52.837023310860999</v>
      </c>
      <c r="O2287">
        <v>51.190214124373803</v>
      </c>
      <c r="P2287">
        <v>-5.72222005380131E-2</v>
      </c>
      <c r="Q2287">
        <v>2.94995151496753E-2</v>
      </c>
      <c r="R2287">
        <v>0.99931316442696805</v>
      </c>
      <c r="S2287" t="s">
        <v>6119</v>
      </c>
      <c r="T2287" t="s">
        <v>7662</v>
      </c>
      <c r="U2287" t="s">
        <v>7662</v>
      </c>
      <c r="V2287" t="s">
        <v>7662</v>
      </c>
      <c r="W2287">
        <v>3</v>
      </c>
      <c r="X2287" t="s">
        <v>9949</v>
      </c>
      <c r="Y2287">
        <v>0.46450829772827268</v>
      </c>
      <c r="Z2287" t="str">
        <f>HYPERLINK("Melting_Curves/meltCurve_sp_Q96AB3_ISOC2_HUMAN_.pdf", "Melting_Curves/meltCurve_sp_Q96AB3_ISOC2_HUMAN_.pdf")</f>
        <v>Melting_Curves/meltCurve_sp_Q96AB3_ISOC2_HUMAN_.pdf</v>
      </c>
      <c r="AA2287" t="s">
        <v>13748</v>
      </c>
      <c r="AB2287" t="s">
        <v>17527</v>
      </c>
    </row>
    <row r="2288" spans="1:28" x14ac:dyDescent="0.25">
      <c r="A2288" t="s">
        <v>2292</v>
      </c>
      <c r="B2288">
        <v>0.98876768158843997</v>
      </c>
      <c r="C2288">
        <v>0.99899747273839401</v>
      </c>
      <c r="D2288">
        <v>0.90197329658209502</v>
      </c>
      <c r="E2288">
        <v>0.75590571483282798</v>
      </c>
      <c r="F2288">
        <v>0.75528024966222795</v>
      </c>
      <c r="G2288">
        <v>0.389520566582441</v>
      </c>
      <c r="H2288">
        <v>8.3439044824394903E-2</v>
      </c>
      <c r="I2288">
        <v>6.2037228074437498E-2</v>
      </c>
      <c r="J2288">
        <v>6.3388034498829696E-2</v>
      </c>
      <c r="K2288">
        <v>5.3525283384439702E-2</v>
      </c>
      <c r="L2288">
        <v>939.65632441751097</v>
      </c>
      <c r="M2288">
        <v>17.039165538105198</v>
      </c>
      <c r="N2288">
        <v>55.146850268563</v>
      </c>
      <c r="O2288">
        <v>54.404075115728403</v>
      </c>
      <c r="P2288">
        <v>-7.8303918789703206E-2</v>
      </c>
      <c r="Q2288">
        <v>0</v>
      </c>
      <c r="R2288">
        <v>0.98043186533621796</v>
      </c>
      <c r="S2288" t="s">
        <v>6120</v>
      </c>
      <c r="T2288" t="s">
        <v>7662</v>
      </c>
      <c r="U2288" t="s">
        <v>7662</v>
      </c>
      <c r="V2288" t="s">
        <v>7662</v>
      </c>
      <c r="W2288">
        <v>24</v>
      </c>
      <c r="X2288" t="s">
        <v>9950</v>
      </c>
      <c r="Y2288">
        <v>0.52139378125393587</v>
      </c>
      <c r="Z2288" t="str">
        <f>HYPERLINK("Melting_Curves/meltCurve_sp_Q96AC1_FERM2_HUMAN_.pdf", "Melting_Curves/meltCurve_sp_Q96AC1_FERM2_HUMAN_.pdf")</f>
        <v>Melting_Curves/meltCurve_sp_Q96AC1_FERM2_HUMAN_.pdf</v>
      </c>
      <c r="AA2288" t="s">
        <v>13749</v>
      </c>
      <c r="AB2288" t="s">
        <v>17528</v>
      </c>
    </row>
    <row r="2289" spans="1:28" x14ac:dyDescent="0.25">
      <c r="A2289" t="s">
        <v>2293</v>
      </c>
      <c r="B2289">
        <v>0.98876768158843997</v>
      </c>
      <c r="C2289">
        <v>1.0978842089677501</v>
      </c>
      <c r="D2289">
        <v>0.85788698215671</v>
      </c>
      <c r="E2289">
        <v>0.72091800299986697</v>
      </c>
      <c r="F2289">
        <v>0.84111568230020495</v>
      </c>
      <c r="G2289">
        <v>0.62555545835098603</v>
      </c>
      <c r="H2289">
        <v>0.51418920477301799</v>
      </c>
      <c r="I2289">
        <v>0.61131410505761996</v>
      </c>
      <c r="J2289">
        <v>0.69853520190660501</v>
      </c>
      <c r="K2289">
        <v>0.87224169657748196</v>
      </c>
      <c r="L2289">
        <v>11505.508340660799</v>
      </c>
      <c r="M2289">
        <v>250</v>
      </c>
      <c r="O2289">
        <v>46.019088060144099</v>
      </c>
      <c r="P2289">
        <v>-0.41056927443004498</v>
      </c>
      <c r="Q2289">
        <v>0.69769562153947995</v>
      </c>
      <c r="R2289">
        <v>0.63635028064135502</v>
      </c>
      <c r="S2289" t="s">
        <v>6121</v>
      </c>
      <c r="T2289" t="s">
        <v>7662</v>
      </c>
      <c r="U2289" t="s">
        <v>7662</v>
      </c>
      <c r="V2289" t="s">
        <v>7662</v>
      </c>
      <c r="W2289">
        <v>31</v>
      </c>
      <c r="X2289" t="s">
        <v>9951</v>
      </c>
      <c r="Y2289">
        <v>0.7584029398038421</v>
      </c>
      <c r="Z2289" t="str">
        <f>HYPERLINK("Melting_Curves/meltCurve_sp_Q96AE4_2_FUBP1_HUMAN_.pdf", "Melting_Curves/meltCurve_sp_Q96AE4_2_FUBP1_HUMAN_.pdf")</f>
        <v>Melting_Curves/meltCurve_sp_Q96AE4_2_FUBP1_HUMAN_.pdf</v>
      </c>
      <c r="AA2289" t="s">
        <v>13750</v>
      </c>
      <c r="AB2289" t="s">
        <v>17529</v>
      </c>
    </row>
    <row r="2290" spans="1:28" x14ac:dyDescent="0.25">
      <c r="A2290" t="s">
        <v>2294</v>
      </c>
      <c r="B2290">
        <v>0.98876768158843997</v>
      </c>
      <c r="C2290">
        <v>1.0740642121850901</v>
      </c>
      <c r="D2290">
        <v>0.84290193527308799</v>
      </c>
      <c r="E2290">
        <v>0.72566787675020505</v>
      </c>
      <c r="F2290">
        <v>0.72677140270572405</v>
      </c>
      <c r="G2290">
        <v>0.400919114335684</v>
      </c>
      <c r="H2290">
        <v>0.27688266777408099</v>
      </c>
      <c r="I2290">
        <v>0.303398925514341</v>
      </c>
      <c r="J2290">
        <v>0.36522319119786201</v>
      </c>
      <c r="K2290">
        <v>0.38760218117468598</v>
      </c>
      <c r="L2290">
        <v>856.46001345731497</v>
      </c>
      <c r="M2290">
        <v>16.423605456281798</v>
      </c>
      <c r="N2290">
        <v>55.376730077977498</v>
      </c>
      <c r="O2290">
        <v>51.393373406115998</v>
      </c>
      <c r="P2290">
        <v>-5.5282364879543598E-2</v>
      </c>
      <c r="Q2290">
        <v>0.30808223331386497</v>
      </c>
      <c r="R2290">
        <v>0.93712370342923501</v>
      </c>
      <c r="S2290" t="s">
        <v>6122</v>
      </c>
      <c r="T2290" t="s">
        <v>7662</v>
      </c>
      <c r="U2290" t="s">
        <v>7662</v>
      </c>
      <c r="V2290" t="s">
        <v>7662</v>
      </c>
      <c r="W2290">
        <v>7</v>
      </c>
      <c r="X2290" t="s">
        <v>9952</v>
      </c>
      <c r="Y2290">
        <v>0.60162841676176104</v>
      </c>
      <c r="Z2290" t="str">
        <f>HYPERLINK("Melting_Curves/meltCurve_sp_Q96AG4_LRC59_HUMAN_.pdf", "Melting_Curves/meltCurve_sp_Q96AG4_LRC59_HUMAN_.pdf")</f>
        <v>Melting_Curves/meltCurve_sp_Q96AG4_LRC59_HUMAN_.pdf</v>
      </c>
      <c r="AA2290" t="s">
        <v>13751</v>
      </c>
      <c r="AB2290" t="s">
        <v>17530</v>
      </c>
    </row>
    <row r="2291" spans="1:28" x14ac:dyDescent="0.25">
      <c r="A2291" t="s">
        <v>2295</v>
      </c>
      <c r="B2291">
        <v>0.98876768158843997</v>
      </c>
      <c r="C2291">
        <v>1.25293632815543</v>
      </c>
      <c r="D2291">
        <v>0.91766629106140296</v>
      </c>
      <c r="E2291">
        <v>0.76860890450126595</v>
      </c>
      <c r="F2291">
        <v>0.78729304570434</v>
      </c>
      <c r="G2291">
        <v>0.562210807209653</v>
      </c>
      <c r="H2291">
        <v>0.47580272524540701</v>
      </c>
      <c r="I2291">
        <v>0.459430205024775</v>
      </c>
      <c r="J2291">
        <v>0.55327803477758397</v>
      </c>
      <c r="K2291">
        <v>0.60505478946727498</v>
      </c>
      <c r="L2291">
        <v>1059.4510118042499</v>
      </c>
      <c r="M2291">
        <v>20.495542735855299</v>
      </c>
      <c r="O2291">
        <v>51.207224261692701</v>
      </c>
      <c r="P2291">
        <v>-4.8139602487466002E-2</v>
      </c>
      <c r="Q2291">
        <v>0.51891538222988498</v>
      </c>
      <c r="R2291">
        <v>0.83190233849119299</v>
      </c>
      <c r="S2291" t="s">
        <v>6123</v>
      </c>
      <c r="T2291" t="s">
        <v>7662</v>
      </c>
      <c r="U2291" t="s">
        <v>7662</v>
      </c>
      <c r="V2291" t="s">
        <v>7662</v>
      </c>
      <c r="W2291">
        <v>1</v>
      </c>
      <c r="X2291" t="s">
        <v>9953</v>
      </c>
      <c r="Y2291">
        <v>0.71278057283926433</v>
      </c>
      <c r="Z2291" t="str">
        <f>HYPERLINK("Melting_Curves/meltCurve_sp_Q96AT1_K1143_HUMAN_.pdf", "Melting_Curves/meltCurve_sp_Q96AT1_K1143_HUMAN_.pdf")</f>
        <v>Melting_Curves/meltCurve_sp_Q96AT1_K1143_HUMAN_.pdf</v>
      </c>
      <c r="AA2291" t="s">
        <v>13752</v>
      </c>
      <c r="AB2291" t="s">
        <v>17531</v>
      </c>
    </row>
    <row r="2292" spans="1:28" x14ac:dyDescent="0.25">
      <c r="A2292" t="s">
        <v>2296</v>
      </c>
      <c r="B2292">
        <v>0.98876768158843997</v>
      </c>
      <c r="C2292">
        <v>0.98702938385806605</v>
      </c>
      <c r="D2292">
        <v>0.93968591605497997</v>
      </c>
      <c r="E2292">
        <v>0.825040614525687</v>
      </c>
      <c r="F2292">
        <v>0.582549506130283</v>
      </c>
      <c r="G2292">
        <v>0.239844141971705</v>
      </c>
      <c r="H2292">
        <v>0.110122612704732</v>
      </c>
      <c r="I2292">
        <v>8.1895365297110098E-2</v>
      </c>
      <c r="J2292">
        <v>0.14575408855820299</v>
      </c>
      <c r="K2292">
        <v>6.8555147911674205E-2</v>
      </c>
      <c r="L2292">
        <v>1215.40029237262</v>
      </c>
      <c r="M2292">
        <v>22.8214806134085</v>
      </c>
      <c r="N2292">
        <v>53.674715462903499</v>
      </c>
      <c r="O2292">
        <v>52.852992180519799</v>
      </c>
      <c r="P2292">
        <v>-9.9163600225057505E-2</v>
      </c>
      <c r="Q2292">
        <v>8.1393207828850997E-2</v>
      </c>
      <c r="R2292">
        <v>0.99595388054157696</v>
      </c>
      <c r="S2292" t="s">
        <v>6124</v>
      </c>
      <c r="T2292" t="s">
        <v>7662</v>
      </c>
      <c r="U2292" t="s">
        <v>7662</v>
      </c>
      <c r="V2292" t="s">
        <v>7662</v>
      </c>
      <c r="W2292">
        <v>2</v>
      </c>
      <c r="X2292" t="s">
        <v>9954</v>
      </c>
      <c r="Y2292">
        <v>0.49733434378558788</v>
      </c>
      <c r="Z2292" t="str">
        <f>HYPERLINK("Melting_Curves/meltCurve_sp_Q96B26_EXOS8_HUMAN_.pdf", "Melting_Curves/meltCurve_sp_Q96B26_EXOS8_HUMAN_.pdf")</f>
        <v>Melting_Curves/meltCurve_sp_Q96B26_EXOS8_HUMAN_.pdf</v>
      </c>
      <c r="AA2292" t="s">
        <v>13753</v>
      </c>
      <c r="AB2292" t="s">
        <v>17532</v>
      </c>
    </row>
    <row r="2293" spans="1:28" x14ac:dyDescent="0.25">
      <c r="A2293" t="s">
        <v>2297</v>
      </c>
      <c r="B2293">
        <v>0.98876768158843997</v>
      </c>
      <c r="C2293">
        <v>1.05519652287418</v>
      </c>
      <c r="D2293">
        <v>0.94276856867578396</v>
      </c>
      <c r="E2293">
        <v>0.73650905045188297</v>
      </c>
      <c r="F2293">
        <v>0.62319700345125895</v>
      </c>
      <c r="G2293">
        <v>0.409241276409961</v>
      </c>
      <c r="H2293">
        <v>0.32626600255698401</v>
      </c>
      <c r="I2293">
        <v>0.35687412703579402</v>
      </c>
      <c r="J2293">
        <v>0.46396389250971098</v>
      </c>
      <c r="K2293">
        <v>0.418006069931528</v>
      </c>
      <c r="L2293">
        <v>1163.5304394304401</v>
      </c>
      <c r="M2293">
        <v>22.782446319637899</v>
      </c>
      <c r="N2293">
        <v>54.595079348566898</v>
      </c>
      <c r="O2293">
        <v>50.682736049253897</v>
      </c>
      <c r="P2293">
        <v>-6.9103702836318406E-2</v>
      </c>
      <c r="Q2293">
        <v>0.385088342181792</v>
      </c>
      <c r="R2293">
        <v>0.96900182320402894</v>
      </c>
      <c r="S2293" t="s">
        <v>6125</v>
      </c>
      <c r="T2293" t="s">
        <v>7662</v>
      </c>
      <c r="U2293" t="s">
        <v>7662</v>
      </c>
      <c r="V2293" t="s">
        <v>7662</v>
      </c>
      <c r="W2293">
        <v>5</v>
      </c>
      <c r="X2293" t="s">
        <v>9955</v>
      </c>
      <c r="Y2293">
        <v>0.618681198735611</v>
      </c>
      <c r="Z2293" t="str">
        <f>HYPERLINK("Melting_Curves/meltCurve_sp_Q96B36_AKTS1_HUMAN_.pdf", "Melting_Curves/meltCurve_sp_Q96B36_AKTS1_HUMAN_.pdf")</f>
        <v>Melting_Curves/meltCurve_sp_Q96B36_AKTS1_HUMAN_.pdf</v>
      </c>
      <c r="AA2293" t="s">
        <v>13754</v>
      </c>
      <c r="AB2293" t="s">
        <v>17533</v>
      </c>
    </row>
    <row r="2294" spans="1:28" x14ac:dyDescent="0.25">
      <c r="A2294" t="s">
        <v>2298</v>
      </c>
      <c r="B2294">
        <v>0.98876768158843997</v>
      </c>
      <c r="C2294">
        <v>0.99084474236029996</v>
      </c>
      <c r="D2294">
        <v>0.90294210282106802</v>
      </c>
      <c r="E2294">
        <v>0.70053321027891702</v>
      </c>
      <c r="F2294">
        <v>0.55691145342873605</v>
      </c>
      <c r="G2294">
        <v>0.47445785363974602</v>
      </c>
      <c r="H2294">
        <v>0.27288826629990398</v>
      </c>
      <c r="I2294">
        <v>0.27489792935816099</v>
      </c>
      <c r="J2294">
        <v>0.34185390704721003</v>
      </c>
      <c r="K2294">
        <v>0.235980284340364</v>
      </c>
      <c r="L2294">
        <v>732.48570953880903</v>
      </c>
      <c r="M2294">
        <v>14.1112370901525</v>
      </c>
      <c r="N2294">
        <v>54.535024584303002</v>
      </c>
      <c r="O2294">
        <v>50.898877858870598</v>
      </c>
      <c r="P2294">
        <v>-5.2222772064639301E-2</v>
      </c>
      <c r="Q2294">
        <v>0.24663174492003301</v>
      </c>
      <c r="R2294">
        <v>0.983220072388578</v>
      </c>
      <c r="S2294" t="s">
        <v>6126</v>
      </c>
      <c r="T2294" t="s">
        <v>7662</v>
      </c>
      <c r="U2294" t="s">
        <v>7662</v>
      </c>
      <c r="V2294" t="s">
        <v>7662</v>
      </c>
      <c r="W2294">
        <v>1</v>
      </c>
      <c r="X2294" t="s">
        <v>9956</v>
      </c>
      <c r="Y2294">
        <v>0.56419482837361168</v>
      </c>
      <c r="Z2294" t="str">
        <f>HYPERLINK("Melting_Curves/meltCurve_sp_Q96B45_CJ032_HUMAN_.pdf", "Melting_Curves/meltCurve_sp_Q96B45_CJ032_HUMAN_.pdf")</f>
        <v>Melting_Curves/meltCurve_sp_Q96B45_CJ032_HUMAN_.pdf</v>
      </c>
      <c r="AA2294" t="s">
        <v>13755</v>
      </c>
      <c r="AB2294" t="s">
        <v>17534</v>
      </c>
    </row>
    <row r="2295" spans="1:28" x14ac:dyDescent="0.25">
      <c r="A2295" t="s">
        <v>2299</v>
      </c>
      <c r="B2295">
        <v>0.98876768158843997</v>
      </c>
      <c r="C2295">
        <v>1.3468684437551199</v>
      </c>
      <c r="D2295">
        <v>0.89759548452311899</v>
      </c>
      <c r="E2295">
        <v>0.84275744967592403</v>
      </c>
      <c r="F2295">
        <v>1.14308709535922</v>
      </c>
      <c r="G2295">
        <v>0.839251886501994</v>
      </c>
      <c r="H2295">
        <v>0.33785446360799098</v>
      </c>
      <c r="I2295">
        <v>1.40089781001369</v>
      </c>
      <c r="J2295">
        <v>0.66768393680121196</v>
      </c>
      <c r="K2295">
        <v>1.4643224770277501</v>
      </c>
      <c r="L2295">
        <v>15000</v>
      </c>
      <c r="M2295">
        <v>216.74635645981601</v>
      </c>
      <c r="O2295">
        <v>69.199428926462801</v>
      </c>
      <c r="P2295">
        <v>0.391524857685487</v>
      </c>
      <c r="Q2295">
        <v>1.5</v>
      </c>
      <c r="R2295">
        <v>0.19066602328485799</v>
      </c>
      <c r="S2295" t="s">
        <v>6127</v>
      </c>
      <c r="T2295" t="s">
        <v>7662</v>
      </c>
      <c r="U2295" t="s">
        <v>7662</v>
      </c>
      <c r="V2295" t="s">
        <v>7662</v>
      </c>
      <c r="W2295">
        <v>3</v>
      </c>
      <c r="X2295" t="s">
        <v>9957</v>
      </c>
      <c r="Y2295">
        <v>1.013614319404718</v>
      </c>
      <c r="Z2295" t="str">
        <f>HYPERLINK("Melting_Curves/meltCurve_sp_Q96B54_ZN428_HUMAN_.pdf", "Melting_Curves/meltCurve_sp_Q96B54_ZN428_HUMAN_.pdf")</f>
        <v>Melting_Curves/meltCurve_sp_Q96B54_ZN428_HUMAN_.pdf</v>
      </c>
      <c r="AA2295" t="s">
        <v>13756</v>
      </c>
      <c r="AB2295" t="s">
        <v>17535</v>
      </c>
    </row>
    <row r="2296" spans="1:28" x14ac:dyDescent="0.25">
      <c r="A2296" t="s">
        <v>2300</v>
      </c>
      <c r="B2296">
        <v>0.98876768158843997</v>
      </c>
      <c r="C2296">
        <v>1.0486012437377199</v>
      </c>
      <c r="D2296">
        <v>0.96724983440749901</v>
      </c>
      <c r="E2296">
        <v>0.85939929995811304</v>
      </c>
      <c r="F2296">
        <v>0.73098257180501502</v>
      </c>
      <c r="G2296">
        <v>0.54506106074146099</v>
      </c>
      <c r="H2296">
        <v>0.432981413620452</v>
      </c>
      <c r="I2296">
        <v>0.54882937516210095</v>
      </c>
      <c r="J2296">
        <v>0.24628194935767</v>
      </c>
      <c r="K2296">
        <v>0.68119387404228204</v>
      </c>
      <c r="L2296">
        <v>1251.9742611469401</v>
      </c>
      <c r="M2296">
        <v>23.826316603043502</v>
      </c>
      <c r="N2296">
        <v>59.811905029939197</v>
      </c>
      <c r="O2296">
        <v>52.179907578619101</v>
      </c>
      <c r="P2296">
        <v>-6.0236338580348603E-2</v>
      </c>
      <c r="Q2296">
        <v>0.472335490765035</v>
      </c>
      <c r="R2296">
        <v>0.82844795422843798</v>
      </c>
      <c r="S2296" t="s">
        <v>6128</v>
      </c>
      <c r="T2296" t="s">
        <v>7662</v>
      </c>
      <c r="U2296" t="s">
        <v>7662</v>
      </c>
      <c r="V2296" t="s">
        <v>7662</v>
      </c>
      <c r="W2296">
        <v>4</v>
      </c>
      <c r="X2296" t="s">
        <v>9958</v>
      </c>
      <c r="Y2296">
        <v>0.69830321962888076</v>
      </c>
      <c r="Z2296" t="str">
        <f>HYPERLINK("Melting_Curves/meltCurve_sp_Q96B97_SH3K1_HUMAN_.pdf", "Melting_Curves/meltCurve_sp_Q96B97_SH3K1_HUMAN_.pdf")</f>
        <v>Melting_Curves/meltCurve_sp_Q96B97_SH3K1_HUMAN_.pdf</v>
      </c>
      <c r="AA2296" t="s">
        <v>13757</v>
      </c>
      <c r="AB2296" t="s">
        <v>17536</v>
      </c>
    </row>
    <row r="2297" spans="1:28" x14ac:dyDescent="0.25">
      <c r="A2297" t="s">
        <v>2301</v>
      </c>
      <c r="B2297">
        <v>0.98876768158843997</v>
      </c>
      <c r="C2297">
        <v>0.95593907917851795</v>
      </c>
      <c r="D2297">
        <v>0.86914846204334295</v>
      </c>
      <c r="E2297">
        <v>0.74791861732663401</v>
      </c>
      <c r="F2297">
        <v>0.791852964923207</v>
      </c>
      <c r="G2297">
        <v>0.668656014235814</v>
      </c>
      <c r="H2297">
        <v>0.527862796398749</v>
      </c>
      <c r="I2297">
        <v>0.47424266051695801</v>
      </c>
      <c r="J2297">
        <v>0.53317677532360597</v>
      </c>
      <c r="K2297">
        <v>0.55048279791868404</v>
      </c>
      <c r="L2297">
        <v>503.62574141557297</v>
      </c>
      <c r="M2297">
        <v>9.5541036359460101</v>
      </c>
      <c r="O2297">
        <v>50.558786913503397</v>
      </c>
      <c r="P2297">
        <v>-2.5678581494393699E-2</v>
      </c>
      <c r="Q2297">
        <v>0.45676673786062599</v>
      </c>
      <c r="R2297">
        <v>0.94234754955404698</v>
      </c>
      <c r="S2297" t="s">
        <v>6129</v>
      </c>
      <c r="T2297" t="s">
        <v>7662</v>
      </c>
      <c r="U2297" t="s">
        <v>7662</v>
      </c>
      <c r="V2297" t="s">
        <v>7662</v>
      </c>
      <c r="W2297">
        <v>2</v>
      </c>
      <c r="X2297" t="s">
        <v>9959</v>
      </c>
      <c r="Y2297">
        <v>0.70698399323062033</v>
      </c>
      <c r="Z2297" t="str">
        <f>HYPERLINK("Melting_Curves/meltCurve_sp_Q96BH1_RNF25_HUMAN_.pdf", "Melting_Curves/meltCurve_sp_Q96BH1_RNF25_HUMAN_.pdf")</f>
        <v>Melting_Curves/meltCurve_sp_Q96BH1_RNF25_HUMAN_.pdf</v>
      </c>
      <c r="AA2297" t="s">
        <v>13758</v>
      </c>
      <c r="AB2297" t="s">
        <v>17537</v>
      </c>
    </row>
    <row r="2298" spans="1:28" x14ac:dyDescent="0.25">
      <c r="A2298" t="s">
        <v>2302</v>
      </c>
      <c r="B2298">
        <v>0.98876768158843997</v>
      </c>
      <c r="C2298">
        <v>0.97651209588506205</v>
      </c>
      <c r="D2298">
        <v>0.89340680696200703</v>
      </c>
      <c r="E2298">
        <v>0.561368031707008</v>
      </c>
      <c r="F2298">
        <v>0.55493544260378902</v>
      </c>
      <c r="G2298">
        <v>0.28002062004474199</v>
      </c>
      <c r="H2298">
        <v>0.16321592897291101</v>
      </c>
      <c r="I2298">
        <v>0.10054916383878</v>
      </c>
      <c r="J2298">
        <v>0.15701318426438701</v>
      </c>
      <c r="K2298">
        <v>8.1666824087267706E-2</v>
      </c>
      <c r="L2298">
        <v>697.44829274062897</v>
      </c>
      <c r="M2298">
        <v>13.4091462750725</v>
      </c>
      <c r="N2298">
        <v>52.5588042023182</v>
      </c>
      <c r="O2298">
        <v>50.896933458139401</v>
      </c>
      <c r="P2298">
        <v>-6.1592166284531402E-2</v>
      </c>
      <c r="Q2298">
        <v>6.5007854144645702E-2</v>
      </c>
      <c r="R2298">
        <v>0.98295009617916396</v>
      </c>
      <c r="S2298" t="s">
        <v>6130</v>
      </c>
      <c r="T2298" t="s">
        <v>7662</v>
      </c>
      <c r="U2298" t="s">
        <v>7662</v>
      </c>
      <c r="V2298" t="s">
        <v>7662</v>
      </c>
      <c r="W2298">
        <v>2</v>
      </c>
      <c r="X2298" t="s">
        <v>9960</v>
      </c>
      <c r="Y2298">
        <v>0.46403326146533003</v>
      </c>
      <c r="Z2298" t="str">
        <f>HYPERLINK("Melting_Curves/meltCurve_sp_Q96BM9_ARL8A_HUMAN_.pdf", "Melting_Curves/meltCurve_sp_Q96BM9_ARL8A_HUMAN_.pdf")</f>
        <v>Melting_Curves/meltCurve_sp_Q96BM9_ARL8A_HUMAN_.pdf</v>
      </c>
      <c r="AA2298" t="s">
        <v>13759</v>
      </c>
      <c r="AB2298" t="s">
        <v>17538</v>
      </c>
    </row>
    <row r="2299" spans="1:28" x14ac:dyDescent="0.25">
      <c r="A2299" t="s">
        <v>2303</v>
      </c>
      <c r="B2299">
        <v>0.98876768158843997</v>
      </c>
      <c r="C2299">
        <v>1.03292778953305</v>
      </c>
      <c r="D2299">
        <v>0.84660713393197695</v>
      </c>
      <c r="E2299">
        <v>0.66736928035265997</v>
      </c>
      <c r="F2299">
        <v>0.39255596922842401</v>
      </c>
      <c r="G2299">
        <v>0.14923066314660899</v>
      </c>
      <c r="H2299">
        <v>0.10567075878931199</v>
      </c>
      <c r="I2299">
        <v>9.2309243529798302E-2</v>
      </c>
      <c r="J2299">
        <v>0.113437250051611</v>
      </c>
      <c r="K2299">
        <v>0.106707549865352</v>
      </c>
      <c r="L2299">
        <v>1035.40070772849</v>
      </c>
      <c r="M2299">
        <v>20.2674665204087</v>
      </c>
      <c r="N2299">
        <v>51.560500145339198</v>
      </c>
      <c r="O2299">
        <v>50.597286283527602</v>
      </c>
      <c r="P2299">
        <v>-9.1637752266575306E-2</v>
      </c>
      <c r="Q2299">
        <v>8.4941688119565803E-2</v>
      </c>
      <c r="R2299">
        <v>0.99288483551676099</v>
      </c>
      <c r="S2299" t="s">
        <v>6131</v>
      </c>
      <c r="T2299" t="s">
        <v>7662</v>
      </c>
      <c r="U2299" t="s">
        <v>7662</v>
      </c>
      <c r="V2299" t="s">
        <v>7662</v>
      </c>
      <c r="W2299">
        <v>8</v>
      </c>
      <c r="X2299" t="s">
        <v>9961</v>
      </c>
      <c r="Y2299">
        <v>0.43549996654299988</v>
      </c>
      <c r="Z2299" t="str">
        <f>HYPERLINK("Melting_Curves/meltCurve_sp_Q96BN8_F105B_HUMAN_.pdf", "Melting_Curves/meltCurve_sp_Q96BN8_F105B_HUMAN_.pdf")</f>
        <v>Melting_Curves/meltCurve_sp_Q96BN8_F105B_HUMAN_.pdf</v>
      </c>
      <c r="AA2299" t="s">
        <v>13760</v>
      </c>
      <c r="AB2299" t="s">
        <v>17539</v>
      </c>
    </row>
    <row r="2300" spans="1:28" x14ac:dyDescent="0.25">
      <c r="A2300" t="s">
        <v>2304</v>
      </c>
      <c r="B2300">
        <v>0.98876768158843997</v>
      </c>
      <c r="C2300">
        <v>0.978444071426534</v>
      </c>
      <c r="D2300">
        <v>0.92399571171883799</v>
      </c>
      <c r="E2300">
        <v>0.72588792463328899</v>
      </c>
      <c r="F2300">
        <v>0.27244726776431299</v>
      </c>
      <c r="G2300">
        <v>0.16390428867891299</v>
      </c>
      <c r="H2300">
        <v>0.11216818218359199</v>
      </c>
      <c r="I2300">
        <v>0.10887961139656301</v>
      </c>
      <c r="J2300">
        <v>0.17118666895105999</v>
      </c>
      <c r="K2300">
        <v>0.11434333198496099</v>
      </c>
      <c r="L2300">
        <v>1959.2951154692801</v>
      </c>
      <c r="M2300">
        <v>38.475711495864601</v>
      </c>
      <c r="N2300">
        <v>51.321244517576801</v>
      </c>
      <c r="O2300">
        <v>50.785937933374498</v>
      </c>
      <c r="P2300">
        <v>-0.16495261787166601</v>
      </c>
      <c r="Q2300">
        <v>0.129086733365506</v>
      </c>
      <c r="R2300">
        <v>0.99433082538071704</v>
      </c>
      <c r="S2300" t="s">
        <v>6132</v>
      </c>
      <c r="T2300" t="s">
        <v>7662</v>
      </c>
      <c r="U2300" t="s">
        <v>7662</v>
      </c>
      <c r="V2300" t="s">
        <v>7662</v>
      </c>
      <c r="W2300">
        <v>2</v>
      </c>
      <c r="X2300" t="s">
        <v>9962</v>
      </c>
      <c r="Y2300">
        <v>0.44949862860337392</v>
      </c>
      <c r="Z2300" t="str">
        <f>HYPERLINK("Melting_Curves/meltCurve_sp_Q96BP3_PPWD1_HUMAN_.pdf", "Melting_Curves/meltCurve_sp_Q96BP3_PPWD1_HUMAN_.pdf")</f>
        <v>Melting_Curves/meltCurve_sp_Q96BP3_PPWD1_HUMAN_.pdf</v>
      </c>
      <c r="AA2300" t="s">
        <v>13761</v>
      </c>
      <c r="AB2300" t="s">
        <v>17540</v>
      </c>
    </row>
    <row r="2301" spans="1:28" x14ac:dyDescent="0.25">
      <c r="A2301" t="s">
        <v>2305</v>
      </c>
      <c r="B2301">
        <v>0.98876768158843997</v>
      </c>
      <c r="C2301">
        <v>1.14155777435623</v>
      </c>
      <c r="D2301">
        <v>0.92176675946721598</v>
      </c>
      <c r="E2301">
        <v>0.73504604546956098</v>
      </c>
      <c r="F2301">
        <v>0.78799737490101895</v>
      </c>
      <c r="G2301">
        <v>0.51772385724768699</v>
      </c>
      <c r="H2301">
        <v>0.35989093193536797</v>
      </c>
      <c r="I2301">
        <v>0.415710579073785</v>
      </c>
      <c r="J2301">
        <v>0.49732681077063401</v>
      </c>
      <c r="K2301">
        <v>0.573337833109135</v>
      </c>
      <c r="L2301">
        <v>1003.04358786843</v>
      </c>
      <c r="M2301">
        <v>19.347081230322601</v>
      </c>
      <c r="N2301">
        <v>59.3356268964937</v>
      </c>
      <c r="O2301">
        <v>51.300337495527401</v>
      </c>
      <c r="P2301">
        <v>-5.1242230358280703E-2</v>
      </c>
      <c r="Q2301">
        <v>0.456528636151941</v>
      </c>
      <c r="R2301">
        <v>0.87481777657099202</v>
      </c>
      <c r="S2301" t="s">
        <v>6133</v>
      </c>
      <c r="T2301" t="s">
        <v>7662</v>
      </c>
      <c r="U2301" t="s">
        <v>7662</v>
      </c>
      <c r="V2301" t="s">
        <v>7662</v>
      </c>
      <c r="W2301">
        <v>4</v>
      </c>
      <c r="X2301" t="s">
        <v>9963</v>
      </c>
      <c r="Y2301">
        <v>0.67909066609025193</v>
      </c>
      <c r="Z2301" t="str">
        <f>HYPERLINK("Melting_Curves/meltCurve_sp_Q96BR5_SELR1_HUMAN_.pdf", "Melting_Curves/meltCurve_sp_Q96BR5_SELR1_HUMAN_.pdf")</f>
        <v>Melting_Curves/meltCurve_sp_Q96BR5_SELR1_HUMAN_.pdf</v>
      </c>
      <c r="AA2301" t="s">
        <v>13762</v>
      </c>
      <c r="AB2301" t="s">
        <v>17541</v>
      </c>
    </row>
    <row r="2302" spans="1:28" x14ac:dyDescent="0.25">
      <c r="A2302" t="s">
        <v>2306</v>
      </c>
      <c r="B2302">
        <v>0.98876768158843997</v>
      </c>
      <c r="C2302">
        <v>0.96510611451017703</v>
      </c>
      <c r="D2302">
        <v>0.91568851929514805</v>
      </c>
      <c r="E2302">
        <v>0.83299330411907602</v>
      </c>
      <c r="F2302">
        <v>0.788822734203528</v>
      </c>
      <c r="G2302">
        <v>0.59018133178875898</v>
      </c>
      <c r="H2302">
        <v>0.42861563016730297</v>
      </c>
      <c r="I2302">
        <v>0.23014938254883699</v>
      </c>
      <c r="J2302">
        <v>0.182450545312104</v>
      </c>
      <c r="K2302">
        <v>8.9712674931731504E-2</v>
      </c>
      <c r="L2302">
        <v>680.58098808198702</v>
      </c>
      <c r="M2302">
        <v>11.641621199064099</v>
      </c>
      <c r="N2302">
        <v>58.461026667925204</v>
      </c>
      <c r="O2302">
        <v>56.815909217328098</v>
      </c>
      <c r="P2302">
        <v>-5.1239062213624599E-2</v>
      </c>
      <c r="Q2302">
        <v>0</v>
      </c>
      <c r="R2302">
        <v>0.99058582820339303</v>
      </c>
      <c r="S2302" t="s">
        <v>6134</v>
      </c>
      <c r="T2302" t="s">
        <v>7662</v>
      </c>
      <c r="U2302" t="s">
        <v>7662</v>
      </c>
      <c r="V2302" t="s">
        <v>7662</v>
      </c>
      <c r="W2302">
        <v>13</v>
      </c>
      <c r="X2302" t="s">
        <v>9964</v>
      </c>
      <c r="Y2302">
        <v>0.62550395384880708</v>
      </c>
      <c r="Z2302" t="str">
        <f>HYPERLINK("Melting_Curves/meltCurve_sp_Q96BW5_2_PTER_HUMAN_.pdf", "Melting_Curves/meltCurve_sp_Q96BW5_2_PTER_HUMAN_.pdf")</f>
        <v>Melting_Curves/meltCurve_sp_Q96BW5_2_PTER_HUMAN_.pdf</v>
      </c>
      <c r="AA2302" t="s">
        <v>13763</v>
      </c>
      <c r="AB2302" t="s">
        <v>17542</v>
      </c>
    </row>
    <row r="2303" spans="1:28" x14ac:dyDescent="0.25">
      <c r="A2303" t="s">
        <v>2307</v>
      </c>
      <c r="B2303">
        <v>0.98876768158843997</v>
      </c>
      <c r="C2303">
        <v>0.86870182756791703</v>
      </c>
      <c r="D2303">
        <v>1.0285634697966</v>
      </c>
      <c r="E2303">
        <v>0.72555996266154699</v>
      </c>
      <c r="F2303">
        <v>0.54368109102801698</v>
      </c>
      <c r="G2303">
        <v>0.309067137996339</v>
      </c>
      <c r="H2303">
        <v>0.16876603784781799</v>
      </c>
      <c r="I2303">
        <v>0.13060925088186701</v>
      </c>
      <c r="J2303">
        <v>0.103610019875649</v>
      </c>
      <c r="K2303">
        <v>0.179836058524103</v>
      </c>
      <c r="L2303">
        <v>978.67845815298699</v>
      </c>
      <c r="M2303">
        <v>18.587164057701202</v>
      </c>
      <c r="N2303">
        <v>53.439131577944302</v>
      </c>
      <c r="O2303">
        <v>52.055343603095203</v>
      </c>
      <c r="P2303">
        <v>-7.8597396667552E-2</v>
      </c>
      <c r="Q2303">
        <v>0.11955656038646099</v>
      </c>
      <c r="R2303">
        <v>0.97813527056300698</v>
      </c>
      <c r="S2303" t="s">
        <v>6135</v>
      </c>
      <c r="T2303" t="s">
        <v>7662</v>
      </c>
      <c r="U2303" t="s">
        <v>7662</v>
      </c>
      <c r="V2303" t="s">
        <v>7662</v>
      </c>
      <c r="W2303">
        <v>1</v>
      </c>
      <c r="X2303" t="s">
        <v>9965</v>
      </c>
      <c r="Y2303">
        <v>0.50466778295979331</v>
      </c>
      <c r="Z2303" t="str">
        <f>HYPERLINK("Melting_Curves/meltCurve_sp_Q96BY7_ATG2B_HUMAN_.pdf", "Melting_Curves/meltCurve_sp_Q96BY7_ATG2B_HUMAN_.pdf")</f>
        <v>Melting_Curves/meltCurve_sp_Q96BY7_ATG2B_HUMAN_.pdf</v>
      </c>
      <c r="AA2303" t="s">
        <v>13764</v>
      </c>
      <c r="AB2303" t="s">
        <v>17543</v>
      </c>
    </row>
    <row r="2304" spans="1:28" x14ac:dyDescent="0.25">
      <c r="A2304" t="s">
        <v>2308</v>
      </c>
      <c r="B2304">
        <v>0.98876768158843997</v>
      </c>
      <c r="C2304">
        <v>1.1944819769502499</v>
      </c>
      <c r="D2304">
        <v>0.88634604358344604</v>
      </c>
      <c r="E2304">
        <v>0.60295466001661502</v>
      </c>
      <c r="F2304">
        <v>0.91467940187129304</v>
      </c>
      <c r="G2304">
        <v>0.59118783910461803</v>
      </c>
      <c r="H2304">
        <v>0.49852129839980902</v>
      </c>
      <c r="I2304">
        <v>0.58861794529810496</v>
      </c>
      <c r="J2304">
        <v>0.73814297313124599</v>
      </c>
      <c r="K2304">
        <v>0.88078596370798201</v>
      </c>
      <c r="L2304">
        <v>11525.652084540199</v>
      </c>
      <c r="M2304">
        <v>250</v>
      </c>
      <c r="O2304">
        <v>46.0996341370031</v>
      </c>
      <c r="P2304">
        <v>-0.42321159768392702</v>
      </c>
      <c r="Q2304">
        <v>0.68784143989004598</v>
      </c>
      <c r="R2304">
        <v>0.56389068472924797</v>
      </c>
      <c r="S2304" t="s">
        <v>6136</v>
      </c>
      <c r="T2304" t="s">
        <v>7662</v>
      </c>
      <c r="U2304" t="s">
        <v>7662</v>
      </c>
      <c r="V2304" t="s">
        <v>7662</v>
      </c>
      <c r="W2304">
        <v>11</v>
      </c>
      <c r="X2304" t="s">
        <v>9966</v>
      </c>
      <c r="Y2304">
        <v>0.75136607749790896</v>
      </c>
      <c r="Z2304" t="str">
        <f>HYPERLINK("Melting_Curves/meltCurve_sp_Q96C01_F136A_HUMAN_.pdf", "Melting_Curves/meltCurve_sp_Q96C01_F136A_HUMAN_.pdf")</f>
        <v>Melting_Curves/meltCurve_sp_Q96C01_F136A_HUMAN_.pdf</v>
      </c>
      <c r="AA2304" t="s">
        <v>13765</v>
      </c>
      <c r="AB2304" t="s">
        <v>17544</v>
      </c>
    </row>
    <row r="2305" spans="1:28" x14ac:dyDescent="0.25">
      <c r="A2305" t="s">
        <v>2309</v>
      </c>
      <c r="B2305">
        <v>0.98876768158843997</v>
      </c>
      <c r="C2305">
        <v>0.93664613589823997</v>
      </c>
      <c r="D2305">
        <v>0.97017641807927901</v>
      </c>
      <c r="E2305">
        <v>0.91200936580017</v>
      </c>
      <c r="F2305">
        <v>0.72908185058556996</v>
      </c>
      <c r="G2305">
        <v>0.51530935005557699</v>
      </c>
      <c r="H2305">
        <v>0.19389755558470301</v>
      </c>
      <c r="I2305">
        <v>6.9221653016904805E-2</v>
      </c>
      <c r="J2305">
        <v>5.6430006607430402E-2</v>
      </c>
      <c r="K2305">
        <v>4.14274616656303E-2</v>
      </c>
      <c r="L2305">
        <v>1007.36697900466</v>
      </c>
      <c r="M2305">
        <v>17.828707558676602</v>
      </c>
      <c r="N2305">
        <v>56.502524090525</v>
      </c>
      <c r="O2305">
        <v>55.806055280133599</v>
      </c>
      <c r="P2305">
        <v>-7.9873146990901103E-2</v>
      </c>
      <c r="Q2305">
        <v>0</v>
      </c>
      <c r="R2305">
        <v>0.99340778904929805</v>
      </c>
      <c r="S2305" t="s">
        <v>6137</v>
      </c>
      <c r="T2305" t="s">
        <v>7662</v>
      </c>
      <c r="U2305" t="s">
        <v>7662</v>
      </c>
      <c r="V2305" t="s">
        <v>7662</v>
      </c>
      <c r="W2305">
        <v>13</v>
      </c>
      <c r="X2305" t="s">
        <v>9967</v>
      </c>
      <c r="Y2305">
        <v>0.56449425319340973</v>
      </c>
      <c r="Z2305" t="str">
        <f>HYPERLINK("Melting_Curves/meltCurve_sp_Q96C11_FGGY_HUMAN_.pdf", "Melting_Curves/meltCurve_sp_Q96C11_FGGY_HUMAN_.pdf")</f>
        <v>Melting_Curves/meltCurve_sp_Q96C11_FGGY_HUMAN_.pdf</v>
      </c>
      <c r="AA2305" t="s">
        <v>13766</v>
      </c>
      <c r="AB2305" t="s">
        <v>17545</v>
      </c>
    </row>
    <row r="2306" spans="1:28" x14ac:dyDescent="0.25">
      <c r="A2306" t="s">
        <v>2310</v>
      </c>
      <c r="B2306">
        <v>0.98876768158843997</v>
      </c>
      <c r="C2306">
        <v>1.1656656223237101</v>
      </c>
      <c r="D2306">
        <v>0.67642616088686802</v>
      </c>
      <c r="E2306">
        <v>0.70866487966012004</v>
      </c>
      <c r="F2306">
        <v>0.82422897807798601</v>
      </c>
      <c r="G2306">
        <v>0.58374491858495003</v>
      </c>
      <c r="H2306">
        <v>0.40847515203464402</v>
      </c>
      <c r="I2306">
        <v>0.44295586496883699</v>
      </c>
      <c r="J2306">
        <v>0.43138578201545902</v>
      </c>
      <c r="K2306">
        <v>0.42261205735616703</v>
      </c>
      <c r="L2306">
        <v>518.64406374546104</v>
      </c>
      <c r="M2306">
        <v>9.7294493752597209</v>
      </c>
      <c r="N2306">
        <v>60.4440801831919</v>
      </c>
      <c r="O2306">
        <v>51.200917306998598</v>
      </c>
      <c r="P2306">
        <v>-3.12994805593272E-2</v>
      </c>
      <c r="Q2306">
        <v>0.34150566630243601</v>
      </c>
      <c r="R2306">
        <v>0.79699132924247396</v>
      </c>
      <c r="S2306" t="s">
        <v>6138</v>
      </c>
      <c r="T2306" t="s">
        <v>7662</v>
      </c>
      <c r="U2306" t="s">
        <v>7662</v>
      </c>
      <c r="V2306" t="s">
        <v>7662</v>
      </c>
      <c r="W2306">
        <v>12</v>
      </c>
      <c r="X2306" t="s">
        <v>9968</v>
      </c>
      <c r="Y2306">
        <v>0.6558181732013072</v>
      </c>
      <c r="Z2306" t="str">
        <f>HYPERLINK("Melting_Curves/meltCurve_sp_Q96C19_EFHD2_HUMAN_.pdf", "Melting_Curves/meltCurve_sp_Q96C19_EFHD2_HUMAN_.pdf")</f>
        <v>Melting_Curves/meltCurve_sp_Q96C19_EFHD2_HUMAN_.pdf</v>
      </c>
      <c r="AA2306" t="s">
        <v>13767</v>
      </c>
      <c r="AB2306" t="s">
        <v>17546</v>
      </c>
    </row>
    <row r="2307" spans="1:28" x14ac:dyDescent="0.25">
      <c r="A2307" t="s">
        <v>2311</v>
      </c>
      <c r="B2307">
        <v>0.98876768158843997</v>
      </c>
      <c r="C2307">
        <v>1.0350993236172199</v>
      </c>
      <c r="D2307">
        <v>0.86464460077299099</v>
      </c>
      <c r="E2307">
        <v>0.70021491173186601</v>
      </c>
      <c r="F2307">
        <v>0.38516824518642701</v>
      </c>
      <c r="G2307">
        <v>0.107826794486866</v>
      </c>
      <c r="H2307">
        <v>6.2890964341764194E-2</v>
      </c>
      <c r="I2307">
        <v>4.7626930178138301E-2</v>
      </c>
      <c r="J2307">
        <v>5.3101024494520498E-2</v>
      </c>
      <c r="K2307">
        <v>4.5492820214439199E-2</v>
      </c>
      <c r="L2307">
        <v>1122.9603732726</v>
      </c>
      <c r="M2307">
        <v>21.776555071248001</v>
      </c>
      <c r="N2307">
        <v>51.730389313304897</v>
      </c>
      <c r="O2307">
        <v>51.138459019562198</v>
      </c>
      <c r="P2307">
        <v>-0.102931540244164</v>
      </c>
      <c r="Q2307">
        <v>3.3155194307556798E-2</v>
      </c>
      <c r="R2307">
        <v>0.99423989221117604</v>
      </c>
      <c r="S2307" t="s">
        <v>6139</v>
      </c>
      <c r="T2307" t="s">
        <v>7662</v>
      </c>
      <c r="U2307" t="s">
        <v>7662</v>
      </c>
      <c r="V2307" t="s">
        <v>7662</v>
      </c>
      <c r="W2307">
        <v>12</v>
      </c>
      <c r="X2307" t="s">
        <v>9969</v>
      </c>
      <c r="Y2307">
        <v>0.41739597616155899</v>
      </c>
      <c r="Z2307" t="str">
        <f>HYPERLINK("Melting_Curves/meltCurve_sp_Q96C23_GALM_HUMAN_.pdf", "Melting_Curves/meltCurve_sp_Q96C23_GALM_HUMAN_.pdf")</f>
        <v>Melting_Curves/meltCurve_sp_Q96C23_GALM_HUMAN_.pdf</v>
      </c>
      <c r="AA2307" t="s">
        <v>13768</v>
      </c>
      <c r="AB2307" t="s">
        <v>17547</v>
      </c>
    </row>
    <row r="2308" spans="1:28" x14ac:dyDescent="0.25">
      <c r="A2308" t="s">
        <v>2312</v>
      </c>
      <c r="B2308">
        <v>0.98876768158843997</v>
      </c>
      <c r="C2308">
        <v>0.88559435694510202</v>
      </c>
      <c r="D2308">
        <v>0.92869900634300395</v>
      </c>
      <c r="E2308">
        <v>0.576022568234696</v>
      </c>
      <c r="F2308">
        <v>0.42320989255531</v>
      </c>
      <c r="G2308">
        <v>0.19676699836243</v>
      </c>
      <c r="H2308">
        <v>0.103639265721131</v>
      </c>
      <c r="I2308">
        <v>6.6594933150543004E-2</v>
      </c>
      <c r="J2308">
        <v>2.94624518961869E-2</v>
      </c>
      <c r="K2308">
        <v>3.5143227131003499E-2</v>
      </c>
      <c r="L2308">
        <v>773.44807783191197</v>
      </c>
      <c r="M2308">
        <v>15.013125914065901</v>
      </c>
      <c r="N2308">
        <v>51.601814519704199</v>
      </c>
      <c r="O2308">
        <v>50.6300000195777</v>
      </c>
      <c r="P2308">
        <v>-7.3247324816576101E-2</v>
      </c>
      <c r="Q2308">
        <v>1.20275474347698E-2</v>
      </c>
      <c r="R2308">
        <v>0.99167515792571503</v>
      </c>
      <c r="S2308" t="s">
        <v>6140</v>
      </c>
      <c r="T2308" t="s">
        <v>7662</v>
      </c>
      <c r="U2308" t="s">
        <v>7662</v>
      </c>
      <c r="V2308" t="s">
        <v>7662</v>
      </c>
      <c r="W2308">
        <v>1</v>
      </c>
      <c r="X2308" t="s">
        <v>9970</v>
      </c>
      <c r="Y2308">
        <v>0.4137661831553896</v>
      </c>
      <c r="Z2308" t="str">
        <f>HYPERLINK("Melting_Curves/meltCurve_sp_Q96C24_SYTL4_HUMAN_.pdf", "Melting_Curves/meltCurve_sp_Q96C24_SYTL4_HUMAN_.pdf")</f>
        <v>Melting_Curves/meltCurve_sp_Q96C24_SYTL4_HUMAN_.pdf</v>
      </c>
      <c r="AA2308" t="s">
        <v>13769</v>
      </c>
      <c r="AB2308" t="s">
        <v>17548</v>
      </c>
    </row>
    <row r="2309" spans="1:28" x14ac:dyDescent="0.25">
      <c r="A2309" t="s">
        <v>2313</v>
      </c>
      <c r="B2309">
        <v>0.98876768158843997</v>
      </c>
      <c r="C2309">
        <v>1.0785664830505099</v>
      </c>
      <c r="D2309">
        <v>0.897131705547211</v>
      </c>
      <c r="E2309">
        <v>0.83829956396933702</v>
      </c>
      <c r="F2309">
        <v>0.77886796796383095</v>
      </c>
      <c r="G2309">
        <v>0.35787728105447503</v>
      </c>
      <c r="H2309">
        <v>8.4876310965981597E-2</v>
      </c>
      <c r="I2309">
        <v>6.7924306517610597E-2</v>
      </c>
      <c r="J2309">
        <v>0.14414344176302901</v>
      </c>
      <c r="K2309">
        <v>5.3844293156010997E-2</v>
      </c>
      <c r="L2309">
        <v>1272.45697734947</v>
      </c>
      <c r="M2309">
        <v>23.107887848834899</v>
      </c>
      <c r="N2309">
        <v>55.344752975763797</v>
      </c>
      <c r="O2309">
        <v>54.658493502093698</v>
      </c>
      <c r="P2309">
        <v>-9.9886131780124801E-2</v>
      </c>
      <c r="Q2309">
        <v>5.4950383979573303E-2</v>
      </c>
      <c r="R2309">
        <v>0.97912186830095804</v>
      </c>
      <c r="S2309" t="s">
        <v>6141</v>
      </c>
      <c r="T2309" t="s">
        <v>7662</v>
      </c>
      <c r="U2309" t="s">
        <v>7662</v>
      </c>
      <c r="V2309" t="s">
        <v>7662</v>
      </c>
      <c r="W2309">
        <v>9</v>
      </c>
      <c r="X2309" t="s">
        <v>9971</v>
      </c>
      <c r="Y2309">
        <v>0.53954935617076027</v>
      </c>
      <c r="Z2309" t="str">
        <f>HYPERLINK("Melting_Curves/meltCurve_sp_Q96C86_DCPS_HUMAN_.pdf", "Melting_Curves/meltCurve_sp_Q96C86_DCPS_HUMAN_.pdf")</f>
        <v>Melting_Curves/meltCurve_sp_Q96C86_DCPS_HUMAN_.pdf</v>
      </c>
      <c r="AA2309" t="s">
        <v>13770</v>
      </c>
      <c r="AB2309" t="s">
        <v>17549</v>
      </c>
    </row>
    <row r="2310" spans="1:28" x14ac:dyDescent="0.25">
      <c r="A2310" t="s">
        <v>2314</v>
      </c>
      <c r="B2310">
        <v>0.98876768158843997</v>
      </c>
      <c r="C2310">
        <v>1.0045789208185401</v>
      </c>
      <c r="D2310">
        <v>0.68208383165352404</v>
      </c>
      <c r="E2310">
        <v>0.63957384572683595</v>
      </c>
      <c r="F2310">
        <v>1.1631945167908</v>
      </c>
      <c r="G2310">
        <v>0.849863927675645</v>
      </c>
      <c r="H2310">
        <v>0.52789534532910498</v>
      </c>
      <c r="I2310">
        <v>0.64620541148837396</v>
      </c>
      <c r="J2310">
        <v>0.90423708627196497</v>
      </c>
      <c r="K2310">
        <v>1.10513031494698</v>
      </c>
      <c r="L2310">
        <v>11026.616518684999</v>
      </c>
      <c r="M2310">
        <v>250</v>
      </c>
      <c r="O2310">
        <v>44.103643566404998</v>
      </c>
      <c r="P2310">
        <v>-0.26248775799686902</v>
      </c>
      <c r="Q2310">
        <v>0.81477333596364598</v>
      </c>
      <c r="R2310">
        <v>0.123916796172013</v>
      </c>
      <c r="S2310" t="s">
        <v>6142</v>
      </c>
      <c r="T2310" t="s">
        <v>7662</v>
      </c>
      <c r="U2310" t="s">
        <v>7662</v>
      </c>
      <c r="V2310" t="s">
        <v>7662</v>
      </c>
      <c r="W2310">
        <v>1</v>
      </c>
      <c r="X2310" t="s">
        <v>9972</v>
      </c>
      <c r="Y2310">
        <v>0.84014190738214733</v>
      </c>
      <c r="Z2310" t="str">
        <f>HYPERLINK("Melting_Curves/meltCurve_sp_Q96CB8_INT12_HUMAN_.pdf", "Melting_Curves/meltCurve_sp_Q96CB8_INT12_HUMAN_.pdf")</f>
        <v>Melting_Curves/meltCurve_sp_Q96CB8_INT12_HUMAN_.pdf</v>
      </c>
      <c r="AA2310" t="s">
        <v>13771</v>
      </c>
      <c r="AB2310" t="s">
        <v>17550</v>
      </c>
    </row>
    <row r="2311" spans="1:28" x14ac:dyDescent="0.25">
      <c r="A2311" t="s">
        <v>2315</v>
      </c>
      <c r="B2311">
        <v>0.98876768158843997</v>
      </c>
      <c r="C2311">
        <v>1.12244617455502</v>
      </c>
      <c r="D2311">
        <v>0.80772047880459097</v>
      </c>
      <c r="E2311">
        <v>0.73659986812737599</v>
      </c>
      <c r="F2311">
        <v>0.35671842615431998</v>
      </c>
      <c r="G2311">
        <v>0.102906726937217</v>
      </c>
      <c r="H2311">
        <v>7.1054637276108307E-2</v>
      </c>
      <c r="I2311">
        <v>4.5623428678551299E-2</v>
      </c>
      <c r="J2311">
        <v>2.1358770920337999E-2</v>
      </c>
      <c r="K2311">
        <v>4.64416259966276E-2</v>
      </c>
      <c r="L2311">
        <v>1163.9435265258001</v>
      </c>
      <c r="M2311">
        <v>22.558543817675002</v>
      </c>
      <c r="N2311">
        <v>51.727630618460097</v>
      </c>
      <c r="O2311">
        <v>51.196244806048099</v>
      </c>
      <c r="P2311">
        <v>-0.10709964854746599</v>
      </c>
      <c r="Q2311">
        <v>2.7776117228246099E-2</v>
      </c>
      <c r="R2311">
        <v>0.97683521551888397</v>
      </c>
      <c r="S2311" t="s">
        <v>6143</v>
      </c>
      <c r="T2311" t="s">
        <v>7662</v>
      </c>
      <c r="U2311" t="s">
        <v>7662</v>
      </c>
      <c r="V2311" t="s">
        <v>7662</v>
      </c>
      <c r="W2311">
        <v>2</v>
      </c>
      <c r="X2311" t="s">
        <v>9973</v>
      </c>
      <c r="Y2311">
        <v>0.41435960352845169</v>
      </c>
      <c r="Z2311" t="str">
        <f>HYPERLINK("Melting_Curves/meltCurve_sp_Q96CD0_FBXL8_HUMAN_.pdf", "Melting_Curves/meltCurve_sp_Q96CD0_FBXL8_HUMAN_.pdf")</f>
        <v>Melting_Curves/meltCurve_sp_Q96CD0_FBXL8_HUMAN_.pdf</v>
      </c>
      <c r="AA2311" t="s">
        <v>13772</v>
      </c>
      <c r="AB2311" t="s">
        <v>17551</v>
      </c>
    </row>
    <row r="2312" spans="1:28" x14ac:dyDescent="0.25">
      <c r="A2312" t="s">
        <v>2316</v>
      </c>
      <c r="B2312">
        <v>0.98876768158843997</v>
      </c>
      <c r="C2312">
        <v>0.59219171290830797</v>
      </c>
      <c r="D2312">
        <v>0.89347539726972502</v>
      </c>
      <c r="E2312">
        <v>0.89042114556445595</v>
      </c>
      <c r="F2312">
        <v>0.68254319261701102</v>
      </c>
      <c r="G2312">
        <v>0.43590635961231999</v>
      </c>
      <c r="H2312">
        <v>9.8090836585027402E-2</v>
      </c>
      <c r="I2312">
        <v>4.2870279382731399E-2</v>
      </c>
      <c r="J2312">
        <v>2.9842070962341899E-2</v>
      </c>
      <c r="K2312">
        <v>2.39276819355363E-2</v>
      </c>
      <c r="L2312">
        <v>982.23575603061897</v>
      </c>
      <c r="M2312">
        <v>17.7524305472033</v>
      </c>
      <c r="N2312">
        <v>55.329656950781398</v>
      </c>
      <c r="O2312">
        <v>54.641885251746203</v>
      </c>
      <c r="P2312">
        <v>-8.1225947558170294E-2</v>
      </c>
      <c r="Q2312">
        <v>0</v>
      </c>
      <c r="R2312">
        <v>0.87263504808478798</v>
      </c>
      <c r="S2312" t="s">
        <v>6144</v>
      </c>
      <c r="T2312" t="s">
        <v>7662</v>
      </c>
      <c r="U2312" t="s">
        <v>7662</v>
      </c>
      <c r="V2312" t="s">
        <v>7662</v>
      </c>
      <c r="W2312">
        <v>10</v>
      </c>
      <c r="X2312" t="s">
        <v>9974</v>
      </c>
      <c r="Y2312">
        <v>0.52651517544230009</v>
      </c>
      <c r="Z2312" t="str">
        <f>HYPERLINK("Melting_Curves/meltCurve_sp_Q96CN7_ISOC1_HUMAN_.pdf", "Melting_Curves/meltCurve_sp_Q96CN7_ISOC1_HUMAN_.pdf")</f>
        <v>Melting_Curves/meltCurve_sp_Q96CN7_ISOC1_HUMAN_.pdf</v>
      </c>
      <c r="AA2312" t="s">
        <v>13773</v>
      </c>
      <c r="AB2312" t="s">
        <v>17552</v>
      </c>
    </row>
    <row r="2313" spans="1:28" x14ac:dyDescent="0.25">
      <c r="A2313" t="s">
        <v>2317</v>
      </c>
      <c r="B2313">
        <v>0.98876768158843997</v>
      </c>
      <c r="C2313">
        <v>0.95675501379829597</v>
      </c>
      <c r="D2313">
        <v>1.19083331771926</v>
      </c>
      <c r="E2313">
        <v>0.709172188545514</v>
      </c>
      <c r="F2313">
        <v>0.28122422549406301</v>
      </c>
      <c r="G2313">
        <v>0.256993755437183</v>
      </c>
      <c r="H2313">
        <v>0.18476684591421699</v>
      </c>
      <c r="I2313">
        <v>0.122090802841979</v>
      </c>
      <c r="J2313">
        <v>0.14830696397122101</v>
      </c>
      <c r="K2313">
        <v>0.13712369347463499</v>
      </c>
      <c r="L2313">
        <v>2386.7929535414</v>
      </c>
      <c r="M2313">
        <v>47.0395753865389</v>
      </c>
      <c r="N2313">
        <v>51.193208032847302</v>
      </c>
      <c r="O2313">
        <v>50.648651816046801</v>
      </c>
      <c r="P2313">
        <v>-0.19264977040200901</v>
      </c>
      <c r="Q2313">
        <v>0.17027812155137001</v>
      </c>
      <c r="R2313">
        <v>0.96686352816288401</v>
      </c>
      <c r="S2313" t="s">
        <v>6145</v>
      </c>
      <c r="T2313" t="s">
        <v>7662</v>
      </c>
      <c r="U2313" t="s">
        <v>7662</v>
      </c>
      <c r="V2313" t="s">
        <v>7662</v>
      </c>
      <c r="W2313">
        <v>2</v>
      </c>
      <c r="X2313" t="s">
        <v>9975</v>
      </c>
      <c r="Y2313">
        <v>0.46942104657703582</v>
      </c>
      <c r="Z2313" t="str">
        <f>HYPERLINK("Melting_Curves/meltCurve_sp_Q96CN9_GCC1_HUMAN_.pdf", "Melting_Curves/meltCurve_sp_Q96CN9_GCC1_HUMAN_.pdf")</f>
        <v>Melting_Curves/meltCurve_sp_Q96CN9_GCC1_HUMAN_.pdf</v>
      </c>
      <c r="AA2313" t="s">
        <v>13774</v>
      </c>
      <c r="AB2313" t="s">
        <v>17553</v>
      </c>
    </row>
    <row r="2314" spans="1:28" x14ac:dyDescent="0.25">
      <c r="A2314" t="s">
        <v>2318</v>
      </c>
      <c r="B2314">
        <v>0.98876768158843997</v>
      </c>
      <c r="C2314">
        <v>1.2540111237855101</v>
      </c>
      <c r="D2314">
        <v>0.93284887603877997</v>
      </c>
      <c r="E2314">
        <v>0.76650336420266996</v>
      </c>
      <c r="F2314">
        <v>0.99096597131096298</v>
      </c>
      <c r="G2314">
        <v>0.62799409662248795</v>
      </c>
      <c r="H2314">
        <v>0.52037329749413097</v>
      </c>
      <c r="I2314">
        <v>0.68329809087222604</v>
      </c>
      <c r="J2314">
        <v>0.78821453501512095</v>
      </c>
      <c r="K2314">
        <v>0.89686007889798602</v>
      </c>
      <c r="L2314">
        <v>1114.3904688689699</v>
      </c>
      <c r="M2314">
        <v>22.005719884219499</v>
      </c>
      <c r="O2314">
        <v>50.228312168463702</v>
      </c>
      <c r="P2314">
        <v>-3.08575792569265E-2</v>
      </c>
      <c r="Q2314">
        <v>0.71827514551937499</v>
      </c>
      <c r="R2314">
        <v>0.47972446164848698</v>
      </c>
      <c r="S2314" t="s">
        <v>6146</v>
      </c>
      <c r="T2314" t="s">
        <v>7662</v>
      </c>
      <c r="U2314" t="s">
        <v>7662</v>
      </c>
      <c r="V2314" t="s">
        <v>7662</v>
      </c>
      <c r="W2314">
        <v>4</v>
      </c>
      <c r="X2314" t="s">
        <v>9976</v>
      </c>
      <c r="Y2314">
        <v>0.82145967804232023</v>
      </c>
      <c r="Z2314" t="str">
        <f>HYPERLINK("Melting_Curves/meltCurve_sp_Q96CP2_FWCH2_HUMAN_.pdf", "Melting_Curves/meltCurve_sp_Q96CP2_FWCH2_HUMAN_.pdf")</f>
        <v>Melting_Curves/meltCurve_sp_Q96CP2_FWCH2_HUMAN_.pdf</v>
      </c>
      <c r="AA2314" t="s">
        <v>13775</v>
      </c>
      <c r="AB2314" t="s">
        <v>17554</v>
      </c>
    </row>
    <row r="2315" spans="1:28" x14ac:dyDescent="0.25">
      <c r="A2315" t="s">
        <v>2319</v>
      </c>
      <c r="B2315">
        <v>0.98876768158843997</v>
      </c>
      <c r="C2315">
        <v>1.1197907557117699</v>
      </c>
      <c r="D2315">
        <v>0.86480887932751804</v>
      </c>
      <c r="E2315">
        <v>0.78312772288901</v>
      </c>
      <c r="F2315">
        <v>0.80433336089922702</v>
      </c>
      <c r="G2315">
        <v>0.48112221909290998</v>
      </c>
      <c r="H2315">
        <v>0.43959330487793702</v>
      </c>
      <c r="I2315">
        <v>0.39632794854019199</v>
      </c>
      <c r="J2315">
        <v>0.90058432690404899</v>
      </c>
      <c r="K2315">
        <v>0.57341976509162196</v>
      </c>
      <c r="L2315">
        <v>1079.89281680059</v>
      </c>
      <c r="M2315">
        <v>21.364694594461401</v>
      </c>
      <c r="O2315">
        <v>50.109087822839797</v>
      </c>
      <c r="P2315">
        <v>-4.6454008018125797E-2</v>
      </c>
      <c r="Q2315">
        <v>0.56419511082453</v>
      </c>
      <c r="R2315">
        <v>0.61534972908710395</v>
      </c>
      <c r="S2315" t="s">
        <v>6147</v>
      </c>
      <c r="T2315" t="s">
        <v>7662</v>
      </c>
      <c r="U2315" t="s">
        <v>7662</v>
      </c>
      <c r="V2315" t="s">
        <v>7662</v>
      </c>
      <c r="W2315">
        <v>6</v>
      </c>
      <c r="X2315" t="s">
        <v>9977</v>
      </c>
      <c r="Y2315">
        <v>0.72272481058544191</v>
      </c>
      <c r="Z2315" t="str">
        <f>HYPERLINK("Melting_Curves/meltCurve_sp_Q96CT7_CC124_HUMAN_.pdf", "Melting_Curves/meltCurve_sp_Q96CT7_CC124_HUMAN_.pdf")</f>
        <v>Melting_Curves/meltCurve_sp_Q96CT7_CC124_HUMAN_.pdf</v>
      </c>
      <c r="AA2315" t="s">
        <v>13776</v>
      </c>
      <c r="AB2315" t="s">
        <v>17555</v>
      </c>
    </row>
    <row r="2316" spans="1:28" x14ac:dyDescent="0.25">
      <c r="A2316" t="s">
        <v>2320</v>
      </c>
      <c r="B2316">
        <v>0.98876768158843997</v>
      </c>
      <c r="C2316">
        <v>1.0736430961550001</v>
      </c>
      <c r="D2316">
        <v>0.95523375777956898</v>
      </c>
      <c r="E2316">
        <v>0.82972849935981396</v>
      </c>
      <c r="F2316">
        <v>0.87811883789189205</v>
      </c>
      <c r="G2316">
        <v>0.61797761091134895</v>
      </c>
      <c r="H2316">
        <v>0.526698761073222</v>
      </c>
      <c r="I2316">
        <v>0.61482875485481603</v>
      </c>
      <c r="J2316">
        <v>0.73010103372580404</v>
      </c>
      <c r="K2316">
        <v>0.89495809692154005</v>
      </c>
      <c r="L2316">
        <v>1249.67084847517</v>
      </c>
      <c r="M2316">
        <v>24.498441865913701</v>
      </c>
      <c r="O2316">
        <v>50.673988267585301</v>
      </c>
      <c r="P2316">
        <v>-3.82660119236998E-2</v>
      </c>
      <c r="Q2316">
        <v>0.683398194739541</v>
      </c>
      <c r="R2316">
        <v>0.64307745055721599</v>
      </c>
      <c r="S2316" t="s">
        <v>6148</v>
      </c>
      <c r="T2316" t="s">
        <v>7662</v>
      </c>
      <c r="U2316" t="s">
        <v>7662</v>
      </c>
      <c r="V2316" t="s">
        <v>7662</v>
      </c>
      <c r="W2316">
        <v>12</v>
      </c>
      <c r="X2316" t="s">
        <v>9978</v>
      </c>
      <c r="Y2316">
        <v>0.80256999600684842</v>
      </c>
      <c r="Z2316" t="str">
        <f>HYPERLINK("Melting_Curves/meltCurve_sp_Q96CV9_OPTN_HUMAN_.pdf", "Melting_Curves/meltCurve_sp_Q96CV9_OPTN_HUMAN_.pdf")</f>
        <v>Melting_Curves/meltCurve_sp_Q96CV9_OPTN_HUMAN_.pdf</v>
      </c>
      <c r="AA2316" t="s">
        <v>13777</v>
      </c>
      <c r="AB2316" t="s">
        <v>17556</v>
      </c>
    </row>
    <row r="2317" spans="1:28" x14ac:dyDescent="0.25">
      <c r="A2317" t="s">
        <v>2321</v>
      </c>
      <c r="B2317">
        <v>0.98876768158843997</v>
      </c>
      <c r="C2317">
        <v>0.90639311231409303</v>
      </c>
      <c r="D2317">
        <v>1.08853323817485</v>
      </c>
      <c r="E2317">
        <v>0.76628848878807498</v>
      </c>
      <c r="F2317">
        <v>0.36622402585153402</v>
      </c>
      <c r="G2317">
        <v>0.19249802566413901</v>
      </c>
      <c r="H2317">
        <v>0.106954168962501</v>
      </c>
      <c r="I2317">
        <v>7.4615247682555494E-2</v>
      </c>
      <c r="J2317">
        <v>6.9330283036835805E-2</v>
      </c>
      <c r="K2317">
        <v>8.7963167645875404E-2</v>
      </c>
      <c r="L2317">
        <v>1653.4070531154</v>
      </c>
      <c r="M2317">
        <v>31.967114057689301</v>
      </c>
      <c r="N2317">
        <v>52.057136118623802</v>
      </c>
      <c r="O2317">
        <v>51.5210039318561</v>
      </c>
      <c r="P2317">
        <v>-0.140696340181795</v>
      </c>
      <c r="Q2317">
        <v>9.2970777876688504E-2</v>
      </c>
      <c r="R2317">
        <v>0.98508078541801902</v>
      </c>
      <c r="S2317" t="s">
        <v>6149</v>
      </c>
      <c r="T2317" t="s">
        <v>7662</v>
      </c>
      <c r="U2317" t="s">
        <v>7662</v>
      </c>
      <c r="V2317" t="s">
        <v>7662</v>
      </c>
      <c r="W2317">
        <v>12</v>
      </c>
      <c r="X2317" t="s">
        <v>9979</v>
      </c>
      <c r="Y2317">
        <v>0.45246484180019708</v>
      </c>
      <c r="Z2317" t="str">
        <f>HYPERLINK("Melting_Curves/meltCurve_sp_Q96CW1_2_AP2M1_HUMAN_.pdf", "Melting_Curves/meltCurve_sp_Q96CW1_2_AP2M1_HUMAN_.pdf")</f>
        <v>Melting_Curves/meltCurve_sp_Q96CW1_2_AP2M1_HUMAN_.pdf</v>
      </c>
      <c r="AA2317" t="s">
        <v>13778</v>
      </c>
      <c r="AB2317" t="s">
        <v>17557</v>
      </c>
    </row>
    <row r="2318" spans="1:28" x14ac:dyDescent="0.25">
      <c r="A2318" t="s">
        <v>2322</v>
      </c>
      <c r="B2318">
        <v>0.98876768158843997</v>
      </c>
      <c r="C2318">
        <v>0.93607254956158903</v>
      </c>
      <c r="D2318">
        <v>0.88903247585703205</v>
      </c>
      <c r="E2318">
        <v>0.73926111908748104</v>
      </c>
      <c r="F2318">
        <v>0.53885515359417702</v>
      </c>
      <c r="G2318">
        <v>0.27739219603662701</v>
      </c>
      <c r="H2318">
        <v>0.190626653022338</v>
      </c>
      <c r="I2318">
        <v>0.25117423588515098</v>
      </c>
      <c r="J2318">
        <v>0.254153314739896</v>
      </c>
      <c r="K2318">
        <v>0.230827689115993</v>
      </c>
      <c r="L2318">
        <v>993.332664199345</v>
      </c>
      <c r="M2318">
        <v>19.249875383871601</v>
      </c>
      <c r="N2318">
        <v>53.107580780686199</v>
      </c>
      <c r="O2318">
        <v>51.054828339821697</v>
      </c>
      <c r="P2318">
        <v>-7.4441825266049103E-2</v>
      </c>
      <c r="Q2318">
        <v>0.21028667702879</v>
      </c>
      <c r="R2318">
        <v>0.98702343814349303</v>
      </c>
      <c r="S2318" t="s">
        <v>6150</v>
      </c>
      <c r="T2318" t="s">
        <v>7662</v>
      </c>
      <c r="U2318" t="s">
        <v>7662</v>
      </c>
      <c r="V2318" t="s">
        <v>7662</v>
      </c>
      <c r="W2318">
        <v>3</v>
      </c>
      <c r="X2318" t="s">
        <v>9980</v>
      </c>
      <c r="Y2318">
        <v>0.52742490954355503</v>
      </c>
      <c r="Z2318" t="str">
        <f>HYPERLINK("Melting_Curves/meltCurve_sp_Q96CX2_KCD12_HUMAN_.pdf", "Melting_Curves/meltCurve_sp_Q96CX2_KCD12_HUMAN_.pdf")</f>
        <v>Melting_Curves/meltCurve_sp_Q96CX2_KCD12_HUMAN_.pdf</v>
      </c>
      <c r="AA2318" t="s">
        <v>13779</v>
      </c>
      <c r="AB2318" t="s">
        <v>17558</v>
      </c>
    </row>
    <row r="2319" spans="1:28" x14ac:dyDescent="0.25">
      <c r="A2319" t="s">
        <v>2323</v>
      </c>
      <c r="B2319">
        <v>0.98876768158843997</v>
      </c>
      <c r="C2319">
        <v>0.96296310610360802</v>
      </c>
      <c r="D2319">
        <v>0.809005941106274</v>
      </c>
      <c r="E2319">
        <v>0.56406854160667497</v>
      </c>
      <c r="F2319">
        <v>0.20169540993329099</v>
      </c>
      <c r="G2319">
        <v>7.6045480944729196E-2</v>
      </c>
      <c r="H2319">
        <v>6.24745689682688E-2</v>
      </c>
      <c r="I2319">
        <v>5.4682012854057403E-2</v>
      </c>
      <c r="J2319">
        <v>7.3576682256663195E-2</v>
      </c>
      <c r="K2319">
        <v>3.7140618814606799E-2</v>
      </c>
      <c r="L2319">
        <v>1058.1463344598601</v>
      </c>
      <c r="M2319">
        <v>21.242769994453699</v>
      </c>
      <c r="N2319">
        <v>50.006449172932399</v>
      </c>
      <c r="O2319">
        <v>49.376939062314499</v>
      </c>
      <c r="P2319">
        <v>-0.10329462719304899</v>
      </c>
      <c r="Q2319">
        <v>3.9627703466462702E-2</v>
      </c>
      <c r="R2319">
        <v>0.99289660220167597</v>
      </c>
      <c r="S2319" t="s">
        <v>6151</v>
      </c>
      <c r="T2319" t="s">
        <v>7662</v>
      </c>
      <c r="U2319" t="s">
        <v>7662</v>
      </c>
      <c r="V2319" t="s">
        <v>7662</v>
      </c>
      <c r="W2319">
        <v>4</v>
      </c>
      <c r="X2319" t="s">
        <v>9981</v>
      </c>
      <c r="Y2319">
        <v>0.36561279474435621</v>
      </c>
      <c r="Z2319" t="str">
        <f>HYPERLINK("Melting_Curves/meltCurve_sp_Q96D46_NMD3_HUMAN_.pdf", "Melting_Curves/meltCurve_sp_Q96D46_NMD3_HUMAN_.pdf")</f>
        <v>Melting_Curves/meltCurve_sp_Q96D46_NMD3_HUMAN_.pdf</v>
      </c>
      <c r="AA2319" t="s">
        <v>13780</v>
      </c>
      <c r="AB2319" t="s">
        <v>17559</v>
      </c>
    </row>
    <row r="2320" spans="1:28" x14ac:dyDescent="0.25">
      <c r="A2320" t="s">
        <v>2324</v>
      </c>
      <c r="B2320">
        <v>0.98876768158843997</v>
      </c>
      <c r="C2320">
        <v>1.1119172818717</v>
      </c>
      <c r="D2320">
        <v>0.92405629094778297</v>
      </c>
      <c r="E2320">
        <v>0.59679333442930205</v>
      </c>
      <c r="F2320">
        <v>0.54780524581365697</v>
      </c>
      <c r="G2320">
        <v>0.40463251322025801</v>
      </c>
      <c r="H2320">
        <v>0.36467279181866602</v>
      </c>
      <c r="I2320">
        <v>0.41836559302783</v>
      </c>
      <c r="J2320">
        <v>0.69798808527285705</v>
      </c>
      <c r="K2320">
        <v>0.62183526703247505</v>
      </c>
      <c r="L2320">
        <v>1964.1121148065099</v>
      </c>
      <c r="M2320">
        <v>40.795733509891797</v>
      </c>
      <c r="O2320">
        <v>48.029785902127699</v>
      </c>
      <c r="P2320">
        <v>-0.10467757250375601</v>
      </c>
      <c r="Q2320">
        <v>0.50704337658945597</v>
      </c>
      <c r="R2320">
        <v>0.83183889415490497</v>
      </c>
      <c r="S2320" t="s">
        <v>6152</v>
      </c>
      <c r="T2320" t="s">
        <v>7662</v>
      </c>
      <c r="U2320" t="s">
        <v>7662</v>
      </c>
      <c r="V2320" t="s">
        <v>7662</v>
      </c>
      <c r="W2320">
        <v>9</v>
      </c>
      <c r="X2320" t="s">
        <v>9982</v>
      </c>
      <c r="Y2320">
        <v>0.6424618197205485</v>
      </c>
      <c r="Z2320" t="str">
        <f>HYPERLINK("Melting_Curves/meltCurve_sp_Q96D71_2_REPS1_HUMAN_.pdf", "Melting_Curves/meltCurve_sp_Q96D71_2_REPS1_HUMAN_.pdf")</f>
        <v>Melting_Curves/meltCurve_sp_Q96D71_2_REPS1_HUMAN_.pdf</v>
      </c>
      <c r="AA2320" t="s">
        <v>13781</v>
      </c>
      <c r="AB2320" t="s">
        <v>17560</v>
      </c>
    </row>
    <row r="2321" spans="1:28" x14ac:dyDescent="0.25">
      <c r="A2321" t="s">
        <v>2325</v>
      </c>
      <c r="B2321">
        <v>0.98876768158843997</v>
      </c>
      <c r="C2321">
        <v>0.89076097794548803</v>
      </c>
      <c r="D2321">
        <v>0.91602938360290698</v>
      </c>
      <c r="E2321">
        <v>0.876858120726135</v>
      </c>
      <c r="F2321">
        <v>0.67936697569497595</v>
      </c>
      <c r="G2321">
        <v>0.37444139628196799</v>
      </c>
      <c r="H2321">
        <v>0.14292326944605099</v>
      </c>
      <c r="I2321">
        <v>6.4169858217948295E-2</v>
      </c>
      <c r="J2321">
        <v>4.3356407553055698E-2</v>
      </c>
      <c r="K2321">
        <v>4.4780767720990301E-2</v>
      </c>
      <c r="L2321">
        <v>963.84763377291495</v>
      </c>
      <c r="M2321">
        <v>17.462107498102299</v>
      </c>
      <c r="N2321">
        <v>55.196523704239297</v>
      </c>
      <c r="O2321">
        <v>54.4878997142442</v>
      </c>
      <c r="P2321">
        <v>-8.0123654098597896E-2</v>
      </c>
      <c r="Q2321">
        <v>0</v>
      </c>
      <c r="R2321">
        <v>0.98989143226151299</v>
      </c>
      <c r="S2321" t="s">
        <v>6153</v>
      </c>
      <c r="T2321" t="s">
        <v>7662</v>
      </c>
      <c r="U2321" t="s">
        <v>7662</v>
      </c>
      <c r="V2321" t="s">
        <v>7662</v>
      </c>
      <c r="W2321">
        <v>16</v>
      </c>
      <c r="X2321" t="s">
        <v>9983</v>
      </c>
      <c r="Y2321">
        <v>0.52250919759534065</v>
      </c>
      <c r="Z2321" t="str">
        <f>HYPERLINK("Melting_Curves/meltCurve_sp_Q96DC8_ECHD3_HUMAN_.pdf", "Melting_Curves/meltCurve_sp_Q96DC8_ECHD3_HUMAN_.pdf")</f>
        <v>Melting_Curves/meltCurve_sp_Q96DC8_ECHD3_HUMAN_.pdf</v>
      </c>
      <c r="AA2321" t="s">
        <v>13782</v>
      </c>
      <c r="AB2321" t="s">
        <v>17561</v>
      </c>
    </row>
    <row r="2322" spans="1:28" x14ac:dyDescent="0.25">
      <c r="A2322" t="s">
        <v>2326</v>
      </c>
      <c r="B2322">
        <v>0.98876768158843997</v>
      </c>
      <c r="C2322">
        <v>0.97578765356369901</v>
      </c>
      <c r="D2322">
        <v>0.721883234709217</v>
      </c>
      <c r="E2322">
        <v>0.51774208019058798</v>
      </c>
      <c r="F2322">
        <v>0.32235462370336698</v>
      </c>
      <c r="G2322">
        <v>0.14159807255033499</v>
      </c>
      <c r="H2322">
        <v>7.9681006845966795E-2</v>
      </c>
      <c r="I2322">
        <v>7.7918580955277594E-2</v>
      </c>
      <c r="J2322">
        <v>8.43897224895125E-2</v>
      </c>
      <c r="K2322">
        <v>7.6374099568489104E-2</v>
      </c>
      <c r="L2322">
        <v>772.636881068609</v>
      </c>
      <c r="M2322">
        <v>15.593461086005</v>
      </c>
      <c r="N2322">
        <v>49.913535648217199</v>
      </c>
      <c r="O2322">
        <v>48.755345410515602</v>
      </c>
      <c r="P2322">
        <v>-7.5658470564264793E-2</v>
      </c>
      <c r="Q2322">
        <v>5.3850909338165498E-2</v>
      </c>
      <c r="R2322">
        <v>0.993191458707813</v>
      </c>
      <c r="S2322" t="s">
        <v>6154</v>
      </c>
      <c r="T2322" t="s">
        <v>7662</v>
      </c>
      <c r="U2322" t="s">
        <v>7662</v>
      </c>
      <c r="V2322" t="s">
        <v>7662</v>
      </c>
      <c r="W2322">
        <v>5</v>
      </c>
      <c r="X2322" t="s">
        <v>9984</v>
      </c>
      <c r="Y2322">
        <v>0.3763285949520403</v>
      </c>
      <c r="Z2322" t="str">
        <f>HYPERLINK("Melting_Curves/meltCurve_sp_Q96DE0_NUD16_HUMAN_.pdf", "Melting_Curves/meltCurve_sp_Q96DE0_NUD16_HUMAN_.pdf")</f>
        <v>Melting_Curves/meltCurve_sp_Q96DE0_NUD16_HUMAN_.pdf</v>
      </c>
      <c r="AA2322" t="s">
        <v>13783</v>
      </c>
      <c r="AB2322" t="s">
        <v>17562</v>
      </c>
    </row>
    <row r="2323" spans="1:28" x14ac:dyDescent="0.25">
      <c r="A2323" t="s">
        <v>2327</v>
      </c>
      <c r="B2323">
        <v>0.98876768158843997</v>
      </c>
      <c r="C2323">
        <v>1.12316533250413</v>
      </c>
      <c r="D2323">
        <v>0.89559840978526295</v>
      </c>
      <c r="E2323">
        <v>0.80026940858812001</v>
      </c>
      <c r="F2323">
        <v>0.81812833139001095</v>
      </c>
      <c r="G2323">
        <v>0.27938321197034199</v>
      </c>
      <c r="H2323">
        <v>0.10729665177610601</v>
      </c>
      <c r="I2323">
        <v>8.1703313880673006E-2</v>
      </c>
      <c r="J2323">
        <v>8.0027850156233704E-2</v>
      </c>
      <c r="K2323">
        <v>7.3395465185640205E-2</v>
      </c>
      <c r="L2323">
        <v>1426.2971381463101</v>
      </c>
      <c r="M2323">
        <v>25.992543157798</v>
      </c>
      <c r="N2323">
        <v>55.134509417523397</v>
      </c>
      <c r="O2323">
        <v>54.551609776366902</v>
      </c>
      <c r="P2323">
        <v>-0.1122200450597</v>
      </c>
      <c r="Q2323">
        <v>5.79277316738901E-2</v>
      </c>
      <c r="R2323">
        <v>0.96972565006171196</v>
      </c>
      <c r="S2323" t="s">
        <v>6155</v>
      </c>
      <c r="T2323" t="s">
        <v>7662</v>
      </c>
      <c r="U2323" t="s">
        <v>7662</v>
      </c>
      <c r="V2323" t="s">
        <v>7662</v>
      </c>
      <c r="W2323">
        <v>21</v>
      </c>
      <c r="X2323" t="s">
        <v>9985</v>
      </c>
      <c r="Y2323">
        <v>0.53312188086598178</v>
      </c>
      <c r="Z2323" t="str">
        <f>HYPERLINK("Melting_Curves/meltCurve_sp_Q96DG6_CMBL_HUMAN_.pdf", "Melting_Curves/meltCurve_sp_Q96DG6_CMBL_HUMAN_.pdf")</f>
        <v>Melting_Curves/meltCurve_sp_Q96DG6_CMBL_HUMAN_.pdf</v>
      </c>
      <c r="AA2323" t="s">
        <v>13784</v>
      </c>
      <c r="AB2323" t="s">
        <v>17563</v>
      </c>
    </row>
    <row r="2324" spans="1:28" x14ac:dyDescent="0.25">
      <c r="A2324" t="s">
        <v>2328</v>
      </c>
      <c r="B2324">
        <v>0.98876768158843997</v>
      </c>
      <c r="C2324">
        <v>1.1437678586789</v>
      </c>
      <c r="D2324">
        <v>0.91638142275474199</v>
      </c>
      <c r="E2324">
        <v>0.82129442751678305</v>
      </c>
      <c r="F2324">
        <v>0.964033946136855</v>
      </c>
      <c r="G2324">
        <v>0.57211743486773603</v>
      </c>
      <c r="H2324">
        <v>0.46762027333628697</v>
      </c>
      <c r="I2324">
        <v>0.49693891925544298</v>
      </c>
      <c r="J2324">
        <v>0.56776719050184798</v>
      </c>
      <c r="K2324">
        <v>0.61192278262296695</v>
      </c>
      <c r="L2324">
        <v>3589.28010287095</v>
      </c>
      <c r="M2324">
        <v>65.407069235447594</v>
      </c>
      <c r="O2324">
        <v>54.824810517044</v>
      </c>
      <c r="P2324">
        <v>-0.13846514137548099</v>
      </c>
      <c r="Q2324">
        <v>0.53574919174822999</v>
      </c>
      <c r="R2324">
        <v>0.85997485372526705</v>
      </c>
      <c r="S2324" t="s">
        <v>6156</v>
      </c>
      <c r="T2324" t="s">
        <v>7662</v>
      </c>
      <c r="U2324" t="s">
        <v>7662</v>
      </c>
      <c r="V2324" t="s">
        <v>7662</v>
      </c>
      <c r="W2324">
        <v>1</v>
      </c>
      <c r="X2324" t="s">
        <v>9986</v>
      </c>
      <c r="Y2324">
        <v>0.76661126556191383</v>
      </c>
      <c r="Z2324" t="str">
        <f>HYPERLINK("Melting_Curves/meltCurve_sp_Q96DR7_ARHGQ_HUMAN_.pdf", "Melting_Curves/meltCurve_sp_Q96DR7_ARHGQ_HUMAN_.pdf")</f>
        <v>Melting_Curves/meltCurve_sp_Q96DR7_ARHGQ_HUMAN_.pdf</v>
      </c>
      <c r="AA2324" t="s">
        <v>13785</v>
      </c>
      <c r="AB2324" t="s">
        <v>17564</v>
      </c>
    </row>
    <row r="2325" spans="1:28" x14ac:dyDescent="0.25">
      <c r="A2325" t="s">
        <v>2329</v>
      </c>
      <c r="B2325">
        <v>0.98876768158843997</v>
      </c>
      <c r="C2325">
        <v>0.93392941754884196</v>
      </c>
      <c r="D2325">
        <v>0.67099747688633404</v>
      </c>
      <c r="E2325">
        <v>0.35603741543580703</v>
      </c>
      <c r="F2325">
        <v>0.223691823058428</v>
      </c>
      <c r="G2325">
        <v>0.13877219484324799</v>
      </c>
      <c r="H2325">
        <v>8.4467838876001802E-2</v>
      </c>
      <c r="I2325">
        <v>4.4038593304333601E-2</v>
      </c>
      <c r="J2325">
        <v>3.7590184038501902E-2</v>
      </c>
      <c r="K2325">
        <v>2.6113161467814699E-2</v>
      </c>
      <c r="L2325">
        <v>815.86682349304897</v>
      </c>
      <c r="M2325">
        <v>16.9644250515992</v>
      </c>
      <c r="N2325">
        <v>48.347375629786598</v>
      </c>
      <c r="O2325">
        <v>47.4394505550544</v>
      </c>
      <c r="P2325">
        <v>-8.5585780207040496E-2</v>
      </c>
      <c r="Q2325">
        <v>4.2728671866248798E-2</v>
      </c>
      <c r="R2325">
        <v>0.99569175508975405</v>
      </c>
      <c r="S2325" t="s">
        <v>6157</v>
      </c>
      <c r="T2325" t="s">
        <v>7662</v>
      </c>
      <c r="U2325" t="s">
        <v>7662</v>
      </c>
      <c r="V2325" t="s">
        <v>7662</v>
      </c>
      <c r="W2325">
        <v>2</v>
      </c>
      <c r="X2325" t="s">
        <v>9987</v>
      </c>
      <c r="Y2325">
        <v>0.32010627428049637</v>
      </c>
      <c r="Z2325" t="str">
        <f>HYPERLINK("Melting_Curves/meltCurve_sp_Q96DX5_ASB9_HUMAN_.pdf", "Melting_Curves/meltCurve_sp_Q96DX5_ASB9_HUMAN_.pdf")</f>
        <v>Melting_Curves/meltCurve_sp_Q96DX5_ASB9_HUMAN_.pdf</v>
      </c>
      <c r="AA2325" t="s">
        <v>13786</v>
      </c>
      <c r="AB2325" t="s">
        <v>17565</v>
      </c>
    </row>
    <row r="2326" spans="1:28" x14ac:dyDescent="0.25">
      <c r="A2326" t="s">
        <v>2330</v>
      </c>
      <c r="B2326">
        <v>0.98876768158843997</v>
      </c>
      <c r="C2326">
        <v>1.1596368824099099</v>
      </c>
      <c r="D2326">
        <v>0.85693084284448795</v>
      </c>
      <c r="E2326">
        <v>0.73108396840252698</v>
      </c>
      <c r="F2326">
        <v>0.65395381383046403</v>
      </c>
      <c r="G2326">
        <v>0.37977182692845401</v>
      </c>
      <c r="H2326">
        <v>0.25829055948980501</v>
      </c>
      <c r="I2326">
        <v>0.27129173938755802</v>
      </c>
      <c r="J2326">
        <v>0.328875284314532</v>
      </c>
      <c r="K2326">
        <v>0.36265035202686602</v>
      </c>
      <c r="L2326">
        <v>972.42976663095396</v>
      </c>
      <c r="M2326">
        <v>18.728197289481798</v>
      </c>
      <c r="N2326">
        <v>54.440131032749001</v>
      </c>
      <c r="O2326">
        <v>51.342182313850202</v>
      </c>
      <c r="P2326">
        <v>-6.4781746978763002E-2</v>
      </c>
      <c r="Q2326">
        <v>0.289649785119237</v>
      </c>
      <c r="R2326">
        <v>0.94027121297648797</v>
      </c>
      <c r="S2326" t="s">
        <v>6158</v>
      </c>
      <c r="T2326" t="s">
        <v>7662</v>
      </c>
      <c r="U2326" t="s">
        <v>7662</v>
      </c>
      <c r="V2326" t="s">
        <v>7662</v>
      </c>
      <c r="W2326">
        <v>4</v>
      </c>
      <c r="X2326" t="s">
        <v>9988</v>
      </c>
      <c r="Y2326">
        <v>0.58302210541282662</v>
      </c>
      <c r="Z2326" t="str">
        <f>HYPERLINK("Melting_Curves/meltCurve_sp_Q96E11_3_RRFM_HUMAN_.pdf", "Melting_Curves/meltCurve_sp_Q96E11_3_RRFM_HUMAN_.pdf")</f>
        <v>Melting_Curves/meltCurve_sp_Q96E11_3_RRFM_HUMAN_.pdf</v>
      </c>
      <c r="AA2326" t="s">
        <v>13787</v>
      </c>
      <c r="AB2326" t="s">
        <v>17566</v>
      </c>
    </row>
    <row r="2327" spans="1:28" x14ac:dyDescent="0.25">
      <c r="A2327" t="s">
        <v>2331</v>
      </c>
      <c r="B2327">
        <v>0.98876768158843997</v>
      </c>
      <c r="C2327">
        <v>1.14571016797352</v>
      </c>
      <c r="D2327">
        <v>0.88918018357956197</v>
      </c>
      <c r="E2327">
        <v>0.785734143989397</v>
      </c>
      <c r="F2327">
        <v>0.86689372752103699</v>
      </c>
      <c r="G2327">
        <v>0.57062774478622302</v>
      </c>
      <c r="H2327">
        <v>0.423600021524213</v>
      </c>
      <c r="I2327">
        <v>0.47417715985437497</v>
      </c>
      <c r="J2327">
        <v>0.54895183446129203</v>
      </c>
      <c r="K2327">
        <v>0.62735413715854904</v>
      </c>
      <c r="L2327">
        <v>1015.05154172624</v>
      </c>
      <c r="M2327">
        <v>19.2701798392361</v>
      </c>
      <c r="O2327">
        <v>52.117309752014897</v>
      </c>
      <c r="P2327">
        <v>-4.5341183243091103E-2</v>
      </c>
      <c r="Q2327">
        <v>0.50950714087640103</v>
      </c>
      <c r="R2327">
        <v>0.83514747956579005</v>
      </c>
      <c r="S2327" t="s">
        <v>6159</v>
      </c>
      <c r="T2327" t="s">
        <v>7662</v>
      </c>
      <c r="U2327" t="s">
        <v>7662</v>
      </c>
      <c r="V2327" t="s">
        <v>7662</v>
      </c>
      <c r="W2327">
        <v>5</v>
      </c>
      <c r="X2327" t="s">
        <v>9989</v>
      </c>
      <c r="Y2327">
        <v>0.72394524852660147</v>
      </c>
      <c r="Z2327" t="str">
        <f>HYPERLINK("Melting_Curves/meltCurve_sp_Q96E39_RMXL1_HUMAN_.pdf", "Melting_Curves/meltCurve_sp_Q96E39_RMXL1_HUMAN_.pdf")</f>
        <v>Melting_Curves/meltCurve_sp_Q96E39_RMXL1_HUMAN_.pdf</v>
      </c>
      <c r="AA2327" t="s">
        <v>13788</v>
      </c>
      <c r="AB2327" t="s">
        <v>17567</v>
      </c>
    </row>
    <row r="2328" spans="1:28" x14ac:dyDescent="0.25">
      <c r="A2328" t="s">
        <v>2332</v>
      </c>
      <c r="B2328">
        <v>0.98876768158843997</v>
      </c>
      <c r="C2328">
        <v>0.97426131984067299</v>
      </c>
      <c r="D2328">
        <v>0.97961093069523797</v>
      </c>
      <c r="E2328">
        <v>0.81597863393564996</v>
      </c>
      <c r="F2328">
        <v>0.86138718526809899</v>
      </c>
      <c r="G2328">
        <v>0.53511058840384296</v>
      </c>
      <c r="H2328">
        <v>0.39077915027459698</v>
      </c>
      <c r="I2328">
        <v>0.39672335855846602</v>
      </c>
      <c r="J2328">
        <v>0.46342414357435302</v>
      </c>
      <c r="K2328">
        <v>0.37079171131674998</v>
      </c>
      <c r="L2328">
        <v>1103.74794065489</v>
      </c>
      <c r="M2328">
        <v>20.2704983775375</v>
      </c>
      <c r="N2328">
        <v>58.547434778629402</v>
      </c>
      <c r="O2328">
        <v>53.929321692057798</v>
      </c>
      <c r="P2328">
        <v>-5.8361676508539601E-2</v>
      </c>
      <c r="Q2328">
        <v>0.37893812468293397</v>
      </c>
      <c r="R2328">
        <v>0.95972752893321001</v>
      </c>
      <c r="S2328" t="s">
        <v>6160</v>
      </c>
      <c r="T2328" t="s">
        <v>7662</v>
      </c>
      <c r="U2328" t="s">
        <v>7662</v>
      </c>
      <c r="V2328" t="s">
        <v>7662</v>
      </c>
      <c r="W2328">
        <v>2</v>
      </c>
      <c r="X2328" t="s">
        <v>9990</v>
      </c>
      <c r="Y2328">
        <v>0.68630172351178043</v>
      </c>
      <c r="Z2328" t="str">
        <f>HYPERLINK("Melting_Curves/meltCurve_sp_Q96EB1_ELP4_HUMAN_.pdf", "Melting_Curves/meltCurve_sp_Q96EB1_ELP4_HUMAN_.pdf")</f>
        <v>Melting_Curves/meltCurve_sp_Q96EB1_ELP4_HUMAN_.pdf</v>
      </c>
      <c r="AA2328" t="s">
        <v>13789</v>
      </c>
      <c r="AB2328" t="s">
        <v>17568</v>
      </c>
    </row>
    <row r="2329" spans="1:28" x14ac:dyDescent="0.25">
      <c r="A2329" t="s">
        <v>2333</v>
      </c>
      <c r="B2329">
        <v>0.98876768158843997</v>
      </c>
      <c r="C2329">
        <v>1.01627132080924</v>
      </c>
      <c r="D2329">
        <v>0.77810746864323299</v>
      </c>
      <c r="E2329">
        <v>0.58678513879868899</v>
      </c>
      <c r="F2329">
        <v>0.44100981706709902</v>
      </c>
      <c r="G2329">
        <v>0.30425656049071298</v>
      </c>
      <c r="H2329">
        <v>0.21821265780108301</v>
      </c>
      <c r="I2329">
        <v>0.261874297239021</v>
      </c>
      <c r="J2329">
        <v>0.34133746744744797</v>
      </c>
      <c r="K2329">
        <v>0.33457943745174201</v>
      </c>
      <c r="L2329">
        <v>930.34050033668302</v>
      </c>
      <c r="M2329">
        <v>19.033587221559198</v>
      </c>
      <c r="N2329">
        <v>51.115724733996103</v>
      </c>
      <c r="O2329">
        <v>48.348938917483501</v>
      </c>
      <c r="P2329">
        <v>-7.0606728197073199E-2</v>
      </c>
      <c r="Q2329">
        <v>0.282610424809351</v>
      </c>
      <c r="R2329">
        <v>0.97373622485108702</v>
      </c>
      <c r="S2329" t="s">
        <v>6161</v>
      </c>
      <c r="T2329" t="s">
        <v>7662</v>
      </c>
      <c r="U2329" t="s">
        <v>7662</v>
      </c>
      <c r="V2329" t="s">
        <v>7662</v>
      </c>
      <c r="W2329">
        <v>2</v>
      </c>
      <c r="X2329" t="s">
        <v>9991</v>
      </c>
      <c r="Y2329">
        <v>0.50605939469259653</v>
      </c>
      <c r="Z2329" t="str">
        <f>HYPERLINK("Melting_Curves/meltCurve_sp_Q96EB6_SIR1_HUMAN_.pdf", "Melting_Curves/meltCurve_sp_Q96EB6_SIR1_HUMAN_.pdf")</f>
        <v>Melting_Curves/meltCurve_sp_Q96EB6_SIR1_HUMAN_.pdf</v>
      </c>
      <c r="AA2329" t="s">
        <v>13790</v>
      </c>
      <c r="AB2329" t="s">
        <v>17569</v>
      </c>
    </row>
    <row r="2330" spans="1:28" x14ac:dyDescent="0.25">
      <c r="A2330" t="s">
        <v>2334</v>
      </c>
      <c r="B2330">
        <v>0.98876768158843997</v>
      </c>
      <c r="C2330">
        <v>0.98610086625943405</v>
      </c>
      <c r="D2330">
        <v>0.95994970817958403</v>
      </c>
      <c r="E2330">
        <v>0.71368156701495</v>
      </c>
      <c r="F2330">
        <v>0.51388948160507497</v>
      </c>
      <c r="G2330">
        <v>0.31714117384092</v>
      </c>
      <c r="H2330">
        <v>0.20412047510776199</v>
      </c>
      <c r="I2330">
        <v>0.205483398163397</v>
      </c>
      <c r="J2330">
        <v>0.22357598092435901</v>
      </c>
      <c r="K2330">
        <v>0.273770353284497</v>
      </c>
      <c r="L2330">
        <v>1107.8317798569601</v>
      </c>
      <c r="M2330">
        <v>21.501056522139201</v>
      </c>
      <c r="N2330">
        <v>52.945424101464297</v>
      </c>
      <c r="O2330">
        <v>51.085039422340202</v>
      </c>
      <c r="P2330">
        <v>-8.2157419917048002E-2</v>
      </c>
      <c r="Q2330">
        <v>0.21921748837303001</v>
      </c>
      <c r="R2330">
        <v>0.99410328298384598</v>
      </c>
      <c r="S2330" t="s">
        <v>6162</v>
      </c>
      <c r="T2330" t="s">
        <v>7662</v>
      </c>
      <c r="U2330" t="s">
        <v>7662</v>
      </c>
      <c r="V2330" t="s">
        <v>7662</v>
      </c>
      <c r="W2330">
        <v>6</v>
      </c>
      <c r="X2330" t="s">
        <v>9992</v>
      </c>
      <c r="Y2330">
        <v>0.52862053456152991</v>
      </c>
      <c r="Z2330" t="str">
        <f>HYPERLINK("Melting_Curves/meltCurve_sp_Q96ED9_2_HOOK2_HUMAN_.pdf", "Melting_Curves/meltCurve_sp_Q96ED9_2_HOOK2_HUMAN_.pdf")</f>
        <v>Melting_Curves/meltCurve_sp_Q96ED9_2_HOOK2_HUMAN_.pdf</v>
      </c>
      <c r="AA2330" t="s">
        <v>13791</v>
      </c>
      <c r="AB2330" t="s">
        <v>17570</v>
      </c>
    </row>
    <row r="2331" spans="1:28" x14ac:dyDescent="0.25">
      <c r="A2331" t="s">
        <v>2335</v>
      </c>
      <c r="B2331">
        <v>0.98876768158843997</v>
      </c>
      <c r="C2331">
        <v>1.1340382798541799</v>
      </c>
      <c r="D2331">
        <v>0.84603511826544797</v>
      </c>
      <c r="E2331">
        <v>0.69499342664394703</v>
      </c>
      <c r="F2331">
        <v>0.78954563029851299</v>
      </c>
      <c r="G2331">
        <v>0.51507655372285599</v>
      </c>
      <c r="H2331">
        <v>0.43204251927727799</v>
      </c>
      <c r="I2331">
        <v>0.50469700033333598</v>
      </c>
      <c r="J2331">
        <v>0.64322893630881695</v>
      </c>
      <c r="K2331">
        <v>0.71230997328593704</v>
      </c>
      <c r="L2331">
        <v>1020.49099721317</v>
      </c>
      <c r="M2331">
        <v>20.852789500593801</v>
      </c>
      <c r="O2331">
        <v>48.494484761707497</v>
      </c>
      <c r="P2331">
        <v>-4.5861374467605798E-2</v>
      </c>
      <c r="Q2331">
        <v>0.57339769951853004</v>
      </c>
      <c r="R2331">
        <v>0.75439156211745395</v>
      </c>
      <c r="S2331" t="s">
        <v>6163</v>
      </c>
      <c r="T2331" t="s">
        <v>7662</v>
      </c>
      <c r="U2331" t="s">
        <v>7662</v>
      </c>
      <c r="V2331" t="s">
        <v>7662</v>
      </c>
      <c r="W2331">
        <v>5</v>
      </c>
      <c r="X2331" t="s">
        <v>9993</v>
      </c>
      <c r="Y2331">
        <v>0.70598509789920472</v>
      </c>
      <c r="Z2331" t="str">
        <f>HYPERLINK("Melting_Curves/meltCurve_sp_Q96EI5_TCAL4_HUMAN_.pdf", "Melting_Curves/meltCurve_sp_Q96EI5_TCAL4_HUMAN_.pdf")</f>
        <v>Melting_Curves/meltCurve_sp_Q96EI5_TCAL4_HUMAN_.pdf</v>
      </c>
      <c r="AA2331" t="s">
        <v>13792</v>
      </c>
      <c r="AB2331" t="s">
        <v>17571</v>
      </c>
    </row>
    <row r="2332" spans="1:28" x14ac:dyDescent="0.25">
      <c r="A2332" t="s">
        <v>2336</v>
      </c>
      <c r="B2332">
        <v>0.98876768158843997</v>
      </c>
      <c r="C2332">
        <v>0.89360909083352702</v>
      </c>
      <c r="D2332">
        <v>0.66090700013360903</v>
      </c>
      <c r="E2332">
        <v>0.25228889320693099</v>
      </c>
      <c r="F2332">
        <v>0.119209789693127</v>
      </c>
      <c r="G2332">
        <v>7.3042044856974506E-2</v>
      </c>
      <c r="H2332">
        <v>4.5552516064484801E-2</v>
      </c>
      <c r="I2332">
        <v>5.0268868004234898E-2</v>
      </c>
      <c r="J2332">
        <v>7.2322749128319402E-2</v>
      </c>
      <c r="K2332">
        <v>2.90783666482381E-2</v>
      </c>
      <c r="L2332">
        <v>1051.37691174219</v>
      </c>
      <c r="M2332">
        <v>22.297155431080999</v>
      </c>
      <c r="N2332">
        <v>47.363282416610303</v>
      </c>
      <c r="O2332">
        <v>46.778595202930099</v>
      </c>
      <c r="P2332">
        <v>-0.113548788937664</v>
      </c>
      <c r="Q2332">
        <v>4.71357804747429E-2</v>
      </c>
      <c r="R2332">
        <v>0.999006558360232</v>
      </c>
      <c r="S2332" t="s">
        <v>6164</v>
      </c>
      <c r="T2332" t="s">
        <v>7662</v>
      </c>
      <c r="U2332" t="s">
        <v>7662</v>
      </c>
      <c r="V2332" t="s">
        <v>7662</v>
      </c>
      <c r="W2332">
        <v>2</v>
      </c>
      <c r="X2332" t="s">
        <v>9994</v>
      </c>
      <c r="Y2332">
        <v>0.28524248193557289</v>
      </c>
      <c r="Z2332" t="str">
        <f>HYPERLINK("Melting_Curves/meltCurve_sp_Q96EK5_KBP_HUMAN_.pdf", "Melting_Curves/meltCurve_sp_Q96EK5_KBP_HUMAN_.pdf")</f>
        <v>Melting_Curves/meltCurve_sp_Q96EK5_KBP_HUMAN_.pdf</v>
      </c>
      <c r="AA2332" t="s">
        <v>13793</v>
      </c>
      <c r="AB2332" t="s">
        <v>17572</v>
      </c>
    </row>
    <row r="2333" spans="1:28" x14ac:dyDescent="0.25">
      <c r="A2333" t="s">
        <v>2337</v>
      </c>
      <c r="B2333">
        <v>0.98876768158843997</v>
      </c>
      <c r="C2333">
        <v>1.03102696586104</v>
      </c>
      <c r="D2333">
        <v>0.87576819979129505</v>
      </c>
      <c r="E2333">
        <v>0.77783909302368204</v>
      </c>
      <c r="F2333">
        <v>0.83827195287579304</v>
      </c>
      <c r="G2333">
        <v>0.50726345095085001</v>
      </c>
      <c r="H2333">
        <v>0.138254042763018</v>
      </c>
      <c r="I2333">
        <v>8.3861720720466298E-2</v>
      </c>
      <c r="J2333">
        <v>7.6292572526081098E-2</v>
      </c>
      <c r="K2333">
        <v>6.0903030335785598E-2</v>
      </c>
      <c r="L2333">
        <v>989.85161976415498</v>
      </c>
      <c r="M2333">
        <v>17.5293676796847</v>
      </c>
      <c r="N2333">
        <v>56.468187408484901</v>
      </c>
      <c r="O2333">
        <v>55.748691462493198</v>
      </c>
      <c r="P2333">
        <v>-7.8613206840811203E-2</v>
      </c>
      <c r="Q2333">
        <v>0</v>
      </c>
      <c r="R2333">
        <v>0.97014739675222506</v>
      </c>
      <c r="S2333" t="s">
        <v>6165</v>
      </c>
      <c r="T2333" t="s">
        <v>7662</v>
      </c>
      <c r="U2333" t="s">
        <v>7662</v>
      </c>
      <c r="V2333" t="s">
        <v>7662</v>
      </c>
      <c r="W2333">
        <v>11</v>
      </c>
      <c r="X2333" t="s">
        <v>9995</v>
      </c>
      <c r="Y2333">
        <v>0.56364733754977892</v>
      </c>
      <c r="Z2333" t="str">
        <f>HYPERLINK("Melting_Curves/meltCurve_sp_Q96EK6_GNA1_HUMAN_.pdf", "Melting_Curves/meltCurve_sp_Q96EK6_GNA1_HUMAN_.pdf")</f>
        <v>Melting_Curves/meltCurve_sp_Q96EK6_GNA1_HUMAN_.pdf</v>
      </c>
      <c r="AA2333" t="s">
        <v>13794</v>
      </c>
      <c r="AB2333" t="s">
        <v>17573</v>
      </c>
    </row>
    <row r="2334" spans="1:28" x14ac:dyDescent="0.25">
      <c r="A2334" t="s">
        <v>2338</v>
      </c>
      <c r="B2334">
        <v>0.98876768158843997</v>
      </c>
      <c r="C2334">
        <v>1.0688683282162701</v>
      </c>
      <c r="D2334">
        <v>0.87424724977802504</v>
      </c>
      <c r="E2334">
        <v>0.60247165213041998</v>
      </c>
      <c r="F2334">
        <v>0.40005354020280098</v>
      </c>
      <c r="G2334">
        <v>0.26780644987966601</v>
      </c>
      <c r="H2334">
        <v>0.181744621234496</v>
      </c>
      <c r="I2334">
        <v>0.17709346008761001</v>
      </c>
      <c r="J2334">
        <v>0.218542765917599</v>
      </c>
      <c r="K2334">
        <v>0.162994312262353</v>
      </c>
      <c r="L2334">
        <v>1040.32949761189</v>
      </c>
      <c r="M2334">
        <v>20.693043451635901</v>
      </c>
      <c r="N2334">
        <v>51.390505475449203</v>
      </c>
      <c r="O2334">
        <v>49.8119096532361</v>
      </c>
      <c r="P2334">
        <v>-8.5059954038054206E-2</v>
      </c>
      <c r="Q2334">
        <v>0.181004330728049</v>
      </c>
      <c r="R2334">
        <v>0.99009326334944603</v>
      </c>
      <c r="S2334" t="s">
        <v>6166</v>
      </c>
      <c r="T2334" t="s">
        <v>7662</v>
      </c>
      <c r="U2334" t="s">
        <v>7662</v>
      </c>
      <c r="V2334" t="s">
        <v>7662</v>
      </c>
      <c r="W2334">
        <v>2</v>
      </c>
      <c r="X2334" t="s">
        <v>9996</v>
      </c>
      <c r="Y2334">
        <v>0.47215642526533802</v>
      </c>
      <c r="Z2334" t="str">
        <f>HYPERLINK("Melting_Curves/meltCurve_sp_Q96EL3_RM53_HUMAN_.pdf", "Melting_Curves/meltCurve_sp_Q96EL3_RM53_HUMAN_.pdf")</f>
        <v>Melting_Curves/meltCurve_sp_Q96EL3_RM53_HUMAN_.pdf</v>
      </c>
      <c r="AA2334" t="s">
        <v>13795</v>
      </c>
      <c r="AB2334" t="s">
        <v>17574</v>
      </c>
    </row>
    <row r="2335" spans="1:28" x14ac:dyDescent="0.25">
      <c r="A2335" t="s">
        <v>2339</v>
      </c>
      <c r="B2335">
        <v>0.98876768158843997</v>
      </c>
      <c r="C2335">
        <v>1.0035505772168101</v>
      </c>
      <c r="D2335">
        <v>0.88314415860723205</v>
      </c>
      <c r="E2335">
        <v>0.67972180316437403</v>
      </c>
      <c r="F2335">
        <v>0.28327399828716798</v>
      </c>
      <c r="G2335">
        <v>9.9544851714365404E-2</v>
      </c>
      <c r="H2335">
        <v>4.17102863854543E-2</v>
      </c>
      <c r="I2335">
        <v>3.8981501874214002E-2</v>
      </c>
      <c r="J2335">
        <v>4.6649692329679401E-2</v>
      </c>
      <c r="K2335">
        <v>4.7181133259091103E-2</v>
      </c>
      <c r="L2335">
        <v>1309.6261732841101</v>
      </c>
      <c r="M2335">
        <v>25.652100871234399</v>
      </c>
      <c r="N2335">
        <v>51.203918439496697</v>
      </c>
      <c r="O2335">
        <v>50.746137243400902</v>
      </c>
      <c r="P2335">
        <v>-0.12178598790605701</v>
      </c>
      <c r="Q2335">
        <v>3.6321685745352203E-2</v>
      </c>
      <c r="R2335">
        <v>0.99624962328913802</v>
      </c>
      <c r="S2335" t="s">
        <v>6167</v>
      </c>
      <c r="T2335" t="s">
        <v>7662</v>
      </c>
      <c r="U2335" t="s">
        <v>7662</v>
      </c>
      <c r="V2335" t="s">
        <v>7662</v>
      </c>
      <c r="W2335">
        <v>3</v>
      </c>
      <c r="X2335" t="s">
        <v>9997</v>
      </c>
      <c r="Y2335">
        <v>0.3996650135617027</v>
      </c>
      <c r="Z2335" t="str">
        <f>HYPERLINK("Melting_Curves/meltCurve_sp_Q96EM0_T3HPD_HUMAN_.pdf", "Melting_Curves/meltCurve_sp_Q96EM0_T3HPD_HUMAN_.pdf")</f>
        <v>Melting_Curves/meltCurve_sp_Q96EM0_T3HPD_HUMAN_.pdf</v>
      </c>
      <c r="AA2335" t="s">
        <v>13796</v>
      </c>
      <c r="AB2335" t="s">
        <v>17575</v>
      </c>
    </row>
    <row r="2336" spans="1:28" x14ac:dyDescent="0.25">
      <c r="A2336" t="s">
        <v>2340</v>
      </c>
      <c r="B2336">
        <v>0.98876768158843997</v>
      </c>
      <c r="C2336">
        <v>0.86437930440191202</v>
      </c>
      <c r="D2336">
        <v>0.99780536942130604</v>
      </c>
      <c r="E2336">
        <v>0.90051073919696301</v>
      </c>
      <c r="F2336">
        <v>0.50951949695642296</v>
      </c>
      <c r="G2336">
        <v>0.35170680117360897</v>
      </c>
      <c r="H2336">
        <v>0.184583952086571</v>
      </c>
      <c r="I2336">
        <v>8.7041274163445703E-2</v>
      </c>
      <c r="J2336">
        <v>6.9465315127781202E-2</v>
      </c>
      <c r="K2336">
        <v>6.4964716249156701E-2</v>
      </c>
      <c r="L2336">
        <v>993.76999180662301</v>
      </c>
      <c r="M2336">
        <v>18.435363811600599</v>
      </c>
      <c r="N2336">
        <v>54.257642173162601</v>
      </c>
      <c r="O2336">
        <v>53.283366890200497</v>
      </c>
      <c r="P2336">
        <v>-8.1625338570981407E-2</v>
      </c>
      <c r="Q2336">
        <v>5.6362005807425897E-2</v>
      </c>
      <c r="R2336">
        <v>0.97523219395879102</v>
      </c>
      <c r="S2336" t="s">
        <v>6168</v>
      </c>
      <c r="T2336" t="s">
        <v>7662</v>
      </c>
      <c r="U2336" t="s">
        <v>7662</v>
      </c>
      <c r="V2336" t="s">
        <v>7662</v>
      </c>
      <c r="W2336">
        <v>11</v>
      </c>
      <c r="X2336" t="s">
        <v>9998</v>
      </c>
      <c r="Y2336">
        <v>0.50835839407982175</v>
      </c>
      <c r="Z2336" t="str">
        <f>HYPERLINK("Melting_Curves/meltCurve_sp_Q96EN8_MOCOS_HUMAN_.pdf", "Melting_Curves/meltCurve_sp_Q96EN8_MOCOS_HUMAN_.pdf")</f>
        <v>Melting_Curves/meltCurve_sp_Q96EN8_MOCOS_HUMAN_.pdf</v>
      </c>
      <c r="AA2336" t="s">
        <v>13797</v>
      </c>
      <c r="AB2336" t="s">
        <v>17576</v>
      </c>
    </row>
    <row r="2337" spans="1:28" x14ac:dyDescent="0.25">
      <c r="A2337" t="s">
        <v>2341</v>
      </c>
      <c r="B2337">
        <v>0.98876768158843997</v>
      </c>
      <c r="C2337">
        <v>1.01167607950077</v>
      </c>
      <c r="D2337">
        <v>0.76070955713183697</v>
      </c>
      <c r="E2337">
        <v>0.71458168479837703</v>
      </c>
      <c r="F2337">
        <v>0.413074048288121</v>
      </c>
      <c r="G2337">
        <v>0.20150871085210401</v>
      </c>
      <c r="H2337">
        <v>0.102688270044875</v>
      </c>
      <c r="I2337">
        <v>6.9720321262196197E-2</v>
      </c>
      <c r="J2337">
        <v>6.6721215990099697E-2</v>
      </c>
      <c r="K2337">
        <v>4.1383647297443898E-2</v>
      </c>
      <c r="L2337">
        <v>758.89405657856503</v>
      </c>
      <c r="M2337">
        <v>14.636332455118</v>
      </c>
      <c r="N2337">
        <v>51.956182742027003</v>
      </c>
      <c r="O2337">
        <v>50.910949273016897</v>
      </c>
      <c r="P2337">
        <v>-7.0821233170940495E-2</v>
      </c>
      <c r="Q2337">
        <v>1.47326016294389E-2</v>
      </c>
      <c r="R2337">
        <v>0.98470323583727704</v>
      </c>
      <c r="S2337" t="s">
        <v>6169</v>
      </c>
      <c r="T2337" t="s">
        <v>7662</v>
      </c>
      <c r="U2337" t="s">
        <v>7662</v>
      </c>
      <c r="V2337" t="s">
        <v>7662</v>
      </c>
      <c r="W2337">
        <v>4</v>
      </c>
      <c r="X2337" t="s">
        <v>9999</v>
      </c>
      <c r="Y2337">
        <v>0.4269052510459147</v>
      </c>
      <c r="Z2337" t="str">
        <f>HYPERLINK("Melting_Curves/meltCurve_sp_Q96EP0_RNF31_HUMAN_.pdf", "Melting_Curves/meltCurve_sp_Q96EP0_RNF31_HUMAN_.pdf")</f>
        <v>Melting_Curves/meltCurve_sp_Q96EP0_RNF31_HUMAN_.pdf</v>
      </c>
      <c r="AA2337" t="s">
        <v>13798</v>
      </c>
      <c r="AB2337" t="s">
        <v>17577</v>
      </c>
    </row>
    <row r="2338" spans="1:28" x14ac:dyDescent="0.25">
      <c r="A2338" t="s">
        <v>2342</v>
      </c>
      <c r="B2338">
        <v>0.98876768158843997</v>
      </c>
      <c r="C2338">
        <v>0.99503621522616303</v>
      </c>
      <c r="D2338">
        <v>0.83212051680719101</v>
      </c>
      <c r="E2338">
        <v>0.72832308795829803</v>
      </c>
      <c r="F2338">
        <v>0.77612780267286097</v>
      </c>
      <c r="G2338">
        <v>0.59094886165055605</v>
      </c>
      <c r="H2338">
        <v>0.43763649143141697</v>
      </c>
      <c r="I2338">
        <v>0.36543669064320899</v>
      </c>
      <c r="J2338">
        <v>0.35005423249991102</v>
      </c>
      <c r="K2338">
        <v>0.28968438323906098</v>
      </c>
      <c r="L2338">
        <v>433.43785312839202</v>
      </c>
      <c r="M2338">
        <v>7.4509974426837697</v>
      </c>
      <c r="N2338">
        <v>59.603047362395699</v>
      </c>
      <c r="O2338">
        <v>54.423141798085801</v>
      </c>
      <c r="P2338">
        <v>-3.1469726988821702E-2</v>
      </c>
      <c r="Q2338">
        <v>8.1915070030030804E-2</v>
      </c>
      <c r="R2338">
        <v>0.97189711313423699</v>
      </c>
      <c r="S2338" t="s">
        <v>6170</v>
      </c>
      <c r="T2338" t="s">
        <v>7662</v>
      </c>
      <c r="U2338" t="s">
        <v>7662</v>
      </c>
      <c r="V2338" t="s">
        <v>7662</v>
      </c>
      <c r="W2338">
        <v>6</v>
      </c>
      <c r="X2338" t="s">
        <v>10000</v>
      </c>
      <c r="Y2338">
        <v>0.63738614826620543</v>
      </c>
      <c r="Z2338" t="str">
        <f>HYPERLINK("Melting_Curves/meltCurve_sp_Q96EP5_2_DAZP1_HUMAN_.pdf", "Melting_Curves/meltCurve_sp_Q96EP5_2_DAZP1_HUMAN_.pdf")</f>
        <v>Melting_Curves/meltCurve_sp_Q96EP5_2_DAZP1_HUMAN_.pdf</v>
      </c>
      <c r="AA2338" t="s">
        <v>13799</v>
      </c>
      <c r="AB2338" t="s">
        <v>17578</v>
      </c>
    </row>
    <row r="2339" spans="1:28" x14ac:dyDescent="0.25">
      <c r="A2339" t="s">
        <v>2343</v>
      </c>
      <c r="B2339">
        <v>0.98876768158843997</v>
      </c>
      <c r="C2339">
        <v>1.0803057304197601</v>
      </c>
      <c r="D2339">
        <v>0.87144966166951898</v>
      </c>
      <c r="E2339">
        <v>0.73812293542765195</v>
      </c>
      <c r="F2339">
        <v>0.81860727891681095</v>
      </c>
      <c r="G2339">
        <v>0.59327326913922096</v>
      </c>
      <c r="H2339">
        <v>0.47315444191040101</v>
      </c>
      <c r="I2339">
        <v>0.48733744529005801</v>
      </c>
      <c r="J2339">
        <v>0.76357401835323302</v>
      </c>
      <c r="K2339">
        <v>0.70964839463466001</v>
      </c>
      <c r="L2339">
        <v>939.35080245742199</v>
      </c>
      <c r="M2339">
        <v>19.033250245617701</v>
      </c>
      <c r="O2339">
        <v>48.818016760705802</v>
      </c>
      <c r="P2339">
        <v>-3.7891174968673301E-2</v>
      </c>
      <c r="Q2339">
        <v>0.61126992608970199</v>
      </c>
      <c r="R2339">
        <v>0.71244580402703395</v>
      </c>
      <c r="S2339" t="s">
        <v>6171</v>
      </c>
      <c r="T2339" t="s">
        <v>7662</v>
      </c>
      <c r="U2339" t="s">
        <v>7662</v>
      </c>
      <c r="V2339" t="s">
        <v>7662</v>
      </c>
      <c r="W2339">
        <v>6</v>
      </c>
      <c r="X2339" t="s">
        <v>10001</v>
      </c>
      <c r="Y2339">
        <v>0.7384587066793713</v>
      </c>
      <c r="Z2339" t="str">
        <f>HYPERLINK("Melting_Curves/meltCurve_sp_Q96EV2_RBM33_HUMAN_.pdf", "Melting_Curves/meltCurve_sp_Q96EV2_RBM33_HUMAN_.pdf")</f>
        <v>Melting_Curves/meltCurve_sp_Q96EV2_RBM33_HUMAN_.pdf</v>
      </c>
      <c r="AA2339" t="s">
        <v>13800</v>
      </c>
      <c r="AB2339" t="s">
        <v>17579</v>
      </c>
    </row>
    <row r="2340" spans="1:28" x14ac:dyDescent="0.25">
      <c r="A2340" t="s">
        <v>2344</v>
      </c>
      <c r="B2340">
        <v>0.98876768158843997</v>
      </c>
      <c r="C2340">
        <v>1.13962349594551</v>
      </c>
      <c r="D2340">
        <v>1.0441587406905399</v>
      </c>
      <c r="E2340">
        <v>0.78261236974478698</v>
      </c>
      <c r="F2340">
        <v>0.505516778704037</v>
      </c>
      <c r="G2340">
        <v>0.34008904637209397</v>
      </c>
      <c r="H2340">
        <v>0.222654291103416</v>
      </c>
      <c r="I2340">
        <v>0.16759083165713501</v>
      </c>
      <c r="J2340">
        <v>0.19557137001011499</v>
      </c>
      <c r="K2340">
        <v>0.18988874494402599</v>
      </c>
      <c r="L2340">
        <v>1280.0202073524299</v>
      </c>
      <c r="M2340">
        <v>24.497473222746599</v>
      </c>
      <c r="N2340">
        <v>53.313729171996698</v>
      </c>
      <c r="O2340">
        <v>51.906674660879901</v>
      </c>
      <c r="P2340">
        <v>-9.5199350312985501E-2</v>
      </c>
      <c r="Q2340">
        <v>0.19315618695568601</v>
      </c>
      <c r="R2340">
        <v>0.97786367626042803</v>
      </c>
      <c r="S2340" t="s">
        <v>6172</v>
      </c>
      <c r="T2340" t="s">
        <v>7662</v>
      </c>
      <c r="U2340" t="s">
        <v>7662</v>
      </c>
      <c r="V2340" t="s">
        <v>7662</v>
      </c>
      <c r="W2340">
        <v>1</v>
      </c>
      <c r="X2340" t="s">
        <v>10002</v>
      </c>
      <c r="Y2340">
        <v>0.53032233145510888</v>
      </c>
      <c r="Z2340" t="str">
        <f>HYPERLINK("Melting_Curves/meltCurve_sp_Q96EV8_DTBP1_HUMAN_.pdf", "Melting_Curves/meltCurve_sp_Q96EV8_DTBP1_HUMAN_.pdf")</f>
        <v>Melting_Curves/meltCurve_sp_Q96EV8_DTBP1_HUMAN_.pdf</v>
      </c>
      <c r="AA2340" t="s">
        <v>13801</v>
      </c>
      <c r="AB2340" t="s">
        <v>17580</v>
      </c>
    </row>
    <row r="2341" spans="1:28" x14ac:dyDescent="0.25">
      <c r="A2341" t="s">
        <v>2345</v>
      </c>
      <c r="B2341">
        <v>0.98876768158843997</v>
      </c>
      <c r="C2341">
        <v>0.91699718349895498</v>
      </c>
      <c r="D2341">
        <v>0.91056475711891605</v>
      </c>
      <c r="E2341">
        <v>0.44192433405617898</v>
      </c>
      <c r="F2341">
        <v>0.18160910806533501</v>
      </c>
      <c r="G2341">
        <v>0.107246490712312</v>
      </c>
      <c r="H2341">
        <v>7.2162199554421103E-2</v>
      </c>
      <c r="I2341">
        <v>5.7052029764468701E-2</v>
      </c>
      <c r="J2341">
        <v>8.41046479678038E-2</v>
      </c>
      <c r="K2341">
        <v>5.3034381410885199E-2</v>
      </c>
      <c r="L2341">
        <v>1370.1545709637801</v>
      </c>
      <c r="M2341">
        <v>27.7832565877695</v>
      </c>
      <c r="N2341">
        <v>49.576454353429803</v>
      </c>
      <c r="O2341">
        <v>49.062487325951999</v>
      </c>
      <c r="P2341">
        <v>-0.13195325571396599</v>
      </c>
      <c r="Q2341">
        <v>6.7942886435697097E-2</v>
      </c>
      <c r="R2341">
        <v>0.995697988199996</v>
      </c>
      <c r="S2341" t="s">
        <v>6173</v>
      </c>
      <c r="T2341" t="s">
        <v>7662</v>
      </c>
      <c r="U2341" t="s">
        <v>7662</v>
      </c>
      <c r="V2341" t="s">
        <v>7662</v>
      </c>
      <c r="W2341">
        <v>4</v>
      </c>
      <c r="X2341" t="s">
        <v>10003</v>
      </c>
      <c r="Y2341">
        <v>0.36404395335091272</v>
      </c>
      <c r="Z2341" t="str">
        <f>HYPERLINK("Melting_Curves/meltCurve_sp_Q96EY7_PTCD3_HUMAN_.pdf", "Melting_Curves/meltCurve_sp_Q96EY7_PTCD3_HUMAN_.pdf")</f>
        <v>Melting_Curves/meltCurve_sp_Q96EY7_PTCD3_HUMAN_.pdf</v>
      </c>
      <c r="AA2341" t="s">
        <v>13802</v>
      </c>
      <c r="AB2341" t="s">
        <v>17581</v>
      </c>
    </row>
    <row r="2342" spans="1:28" x14ac:dyDescent="0.25">
      <c r="A2342" t="s">
        <v>2346</v>
      </c>
      <c r="B2342">
        <v>0.98876768158843997</v>
      </c>
      <c r="C2342">
        <v>0.96112145542127603</v>
      </c>
      <c r="D2342">
        <v>0.90095801866948599</v>
      </c>
      <c r="E2342">
        <v>0.80065488663722695</v>
      </c>
      <c r="F2342">
        <v>0.68955073319137405</v>
      </c>
      <c r="G2342">
        <v>0.46271074856928202</v>
      </c>
      <c r="H2342">
        <v>0.27153898116951602</v>
      </c>
      <c r="I2342">
        <v>0.201757816463218</v>
      </c>
      <c r="J2342">
        <v>0.172748797848711</v>
      </c>
      <c r="K2342">
        <v>0.142711072096531</v>
      </c>
      <c r="L2342">
        <v>673.42093774839498</v>
      </c>
      <c r="M2342">
        <v>12.1265166941341</v>
      </c>
      <c r="N2342">
        <v>56.109905032079602</v>
      </c>
      <c r="O2342">
        <v>54.0874571557273</v>
      </c>
      <c r="P2342">
        <v>-5.2777146016013299E-2</v>
      </c>
      <c r="Q2342">
        <v>5.8618032818416897E-2</v>
      </c>
      <c r="R2342">
        <v>0.99734239365447097</v>
      </c>
      <c r="S2342" t="s">
        <v>6174</v>
      </c>
      <c r="T2342" t="s">
        <v>7662</v>
      </c>
      <c r="U2342" t="s">
        <v>7662</v>
      </c>
      <c r="V2342" t="s">
        <v>7662</v>
      </c>
      <c r="W2342">
        <v>9</v>
      </c>
      <c r="X2342" t="s">
        <v>10004</v>
      </c>
      <c r="Y2342">
        <v>0.56650350316551912</v>
      </c>
      <c r="Z2342" t="str">
        <f>HYPERLINK("Melting_Curves/meltCurve_sp_Q96EY8_MMAB_HUMAN_.pdf", "Melting_Curves/meltCurve_sp_Q96EY8_MMAB_HUMAN_.pdf")</f>
        <v>Melting_Curves/meltCurve_sp_Q96EY8_MMAB_HUMAN_.pdf</v>
      </c>
      <c r="AA2342" t="s">
        <v>13803</v>
      </c>
      <c r="AB2342" t="s">
        <v>17582</v>
      </c>
    </row>
    <row r="2343" spans="1:28" x14ac:dyDescent="0.25">
      <c r="A2343" t="s">
        <v>2347</v>
      </c>
      <c r="B2343">
        <v>0.98876768158843997</v>
      </c>
      <c r="C2343">
        <v>1.1734084435727301</v>
      </c>
      <c r="D2343">
        <v>0.83254820653992401</v>
      </c>
      <c r="E2343">
        <v>0.61392380210338104</v>
      </c>
      <c r="F2343">
        <v>0.13552707583051801</v>
      </c>
      <c r="G2343">
        <v>7.33055981714517E-2</v>
      </c>
      <c r="H2343">
        <v>3.6118232680191098E-2</v>
      </c>
      <c r="I2343">
        <v>3.2508005656616601E-2</v>
      </c>
      <c r="J2343">
        <v>3.2487147160772799E-2</v>
      </c>
      <c r="K2343">
        <v>2.8676026216607999E-2</v>
      </c>
      <c r="L2343">
        <v>1622.2664728644399</v>
      </c>
      <c r="M2343">
        <v>32.229993827540298</v>
      </c>
      <c r="N2343">
        <v>50.428748444189601</v>
      </c>
      <c r="O2343">
        <v>50.141459606340298</v>
      </c>
      <c r="P2343">
        <v>-0.155978189353806</v>
      </c>
      <c r="Q2343">
        <v>2.9359033785428701E-2</v>
      </c>
      <c r="R2343">
        <v>0.97242030120816803</v>
      </c>
      <c r="S2343" t="s">
        <v>6175</v>
      </c>
      <c r="T2343" t="s">
        <v>7662</v>
      </c>
      <c r="U2343" t="s">
        <v>7662</v>
      </c>
      <c r="V2343" t="s">
        <v>7662</v>
      </c>
      <c r="W2343">
        <v>12</v>
      </c>
      <c r="X2343" t="s">
        <v>10005</v>
      </c>
      <c r="Y2343">
        <v>0.36893777769821651</v>
      </c>
      <c r="Z2343" t="str">
        <f>HYPERLINK("Melting_Curves/meltCurve_sp_Q96F10_SAT2_HUMAN_.pdf", "Melting_Curves/meltCurve_sp_Q96F10_SAT2_HUMAN_.pdf")</f>
        <v>Melting_Curves/meltCurve_sp_Q96F10_SAT2_HUMAN_.pdf</v>
      </c>
      <c r="AA2343" t="s">
        <v>13804</v>
      </c>
      <c r="AB2343" t="s">
        <v>17583</v>
      </c>
    </row>
    <row r="2344" spans="1:28" x14ac:dyDescent="0.25">
      <c r="A2344" t="s">
        <v>2348</v>
      </c>
      <c r="B2344">
        <v>0.98876768158843997</v>
      </c>
      <c r="C2344">
        <v>0.93262367455421802</v>
      </c>
      <c r="D2344">
        <v>0.84710583582552001</v>
      </c>
      <c r="E2344">
        <v>0.73515746312500196</v>
      </c>
      <c r="F2344">
        <v>0.80693984983368305</v>
      </c>
      <c r="G2344">
        <v>0.62087381842988099</v>
      </c>
      <c r="H2344">
        <v>0.49210957598258498</v>
      </c>
      <c r="I2344">
        <v>0.51605386579827595</v>
      </c>
      <c r="J2344">
        <v>0.64193515662930201</v>
      </c>
      <c r="K2344">
        <v>0.79459037553138401</v>
      </c>
      <c r="L2344">
        <v>678.05638082706298</v>
      </c>
      <c r="M2344">
        <v>14.112255082507501</v>
      </c>
      <c r="O2344">
        <v>47.113428915778897</v>
      </c>
      <c r="P2344">
        <v>-2.8971135321684601E-2</v>
      </c>
      <c r="Q2344">
        <v>0.61317180559687301</v>
      </c>
      <c r="R2344">
        <v>0.694897724555398</v>
      </c>
      <c r="S2344" t="s">
        <v>6176</v>
      </c>
      <c r="T2344" t="s">
        <v>7662</v>
      </c>
      <c r="U2344" t="s">
        <v>7662</v>
      </c>
      <c r="V2344" t="s">
        <v>7662</v>
      </c>
      <c r="W2344">
        <v>3</v>
      </c>
      <c r="X2344" t="s">
        <v>10006</v>
      </c>
      <c r="Y2344">
        <v>0.72812356904636955</v>
      </c>
      <c r="Z2344" t="str">
        <f>HYPERLINK("Melting_Curves/meltCurve_sp_Q96F24_2_NRBF2_HUMAN_.pdf", "Melting_Curves/meltCurve_sp_Q96F24_2_NRBF2_HUMAN_.pdf")</f>
        <v>Melting_Curves/meltCurve_sp_Q96F24_2_NRBF2_HUMAN_.pdf</v>
      </c>
      <c r="AA2344" t="s">
        <v>13805</v>
      </c>
      <c r="AB2344" t="s">
        <v>17584</v>
      </c>
    </row>
    <row r="2345" spans="1:28" x14ac:dyDescent="0.25">
      <c r="A2345" t="s">
        <v>2349</v>
      </c>
      <c r="B2345">
        <v>0.98876768158843997</v>
      </c>
      <c r="C2345">
        <v>0.79144504138926997</v>
      </c>
      <c r="D2345">
        <v>0.99406442099030601</v>
      </c>
      <c r="E2345">
        <v>0.63573896491559001</v>
      </c>
      <c r="F2345">
        <v>0.44637107319935698</v>
      </c>
      <c r="G2345">
        <v>0.28729978121934502</v>
      </c>
      <c r="H2345">
        <v>0.190779122086355</v>
      </c>
      <c r="I2345">
        <v>0.14532320540281901</v>
      </c>
      <c r="J2345">
        <v>0.122168918214266</v>
      </c>
      <c r="K2345">
        <v>0.10366535529231299</v>
      </c>
      <c r="L2345">
        <v>752.96869151577005</v>
      </c>
      <c r="M2345">
        <v>14.561905093287701</v>
      </c>
      <c r="N2345">
        <v>52.4349135179786</v>
      </c>
      <c r="O2345">
        <v>50.762330741852097</v>
      </c>
      <c r="P2345">
        <v>-6.5169554973035407E-2</v>
      </c>
      <c r="Q2345">
        <v>9.1387530881191295E-2</v>
      </c>
      <c r="R2345">
        <v>0.96231515155109804</v>
      </c>
      <c r="S2345" t="s">
        <v>6177</v>
      </c>
      <c r="T2345" t="s">
        <v>7662</v>
      </c>
      <c r="U2345" t="s">
        <v>7662</v>
      </c>
      <c r="V2345" t="s">
        <v>7662</v>
      </c>
      <c r="W2345">
        <v>4</v>
      </c>
      <c r="X2345" t="s">
        <v>10007</v>
      </c>
      <c r="Y2345">
        <v>0.46747446633482681</v>
      </c>
      <c r="Z2345" t="str">
        <f>HYPERLINK("Melting_Curves/meltCurve_sp_Q96FJ2_DYL2_HUMAN_.pdf", "Melting_Curves/meltCurve_sp_Q96FJ2_DYL2_HUMAN_.pdf")</f>
        <v>Melting_Curves/meltCurve_sp_Q96FJ2_DYL2_HUMAN_.pdf</v>
      </c>
      <c r="AA2345" t="s">
        <v>13806</v>
      </c>
      <c r="AB2345" t="s">
        <v>17585</v>
      </c>
    </row>
    <row r="2346" spans="1:28" x14ac:dyDescent="0.25">
      <c r="A2346" t="s">
        <v>2350</v>
      </c>
      <c r="B2346">
        <v>0.98876768158843997</v>
      </c>
      <c r="C2346">
        <v>1.0260547402353799</v>
      </c>
      <c r="D2346">
        <v>0.84955205118517096</v>
      </c>
      <c r="E2346">
        <v>0.760399272393953</v>
      </c>
      <c r="F2346">
        <v>0.47804582293155601</v>
      </c>
      <c r="G2346">
        <v>0.170494422986227</v>
      </c>
      <c r="H2346">
        <v>9.2237311683014203E-2</v>
      </c>
      <c r="I2346">
        <v>5.12239771196836E-2</v>
      </c>
      <c r="J2346">
        <v>5.7794560667842998E-2</v>
      </c>
      <c r="K2346">
        <v>4.4734835195087197E-2</v>
      </c>
      <c r="L2346">
        <v>1006.01494050269</v>
      </c>
      <c r="M2346">
        <v>19.176736285552401</v>
      </c>
      <c r="N2346">
        <v>52.623228932997698</v>
      </c>
      <c r="O2346">
        <v>51.899696636735001</v>
      </c>
      <c r="P2346">
        <v>-8.9713021752818506E-2</v>
      </c>
      <c r="Q2346">
        <v>2.8844197508528201E-2</v>
      </c>
      <c r="R2346">
        <v>0.992304494949655</v>
      </c>
      <c r="S2346" t="s">
        <v>6178</v>
      </c>
      <c r="T2346" t="s">
        <v>7662</v>
      </c>
      <c r="U2346" t="s">
        <v>7662</v>
      </c>
      <c r="V2346" t="s">
        <v>7662</v>
      </c>
      <c r="W2346">
        <v>10</v>
      </c>
      <c r="X2346" t="s">
        <v>10008</v>
      </c>
      <c r="Y2346">
        <v>0.4466270108321414</v>
      </c>
      <c r="Z2346" t="str">
        <f>HYPERLINK("Melting_Curves/meltCurve_sp_Q96FV2_SCRN2_HUMAN_.pdf", "Melting_Curves/meltCurve_sp_Q96FV2_SCRN2_HUMAN_.pdf")</f>
        <v>Melting_Curves/meltCurve_sp_Q96FV2_SCRN2_HUMAN_.pdf</v>
      </c>
      <c r="AA2346" t="s">
        <v>13807</v>
      </c>
      <c r="AB2346" t="s">
        <v>17586</v>
      </c>
    </row>
    <row r="2347" spans="1:28" x14ac:dyDescent="0.25">
      <c r="A2347" t="s">
        <v>2351</v>
      </c>
      <c r="B2347">
        <v>0.98876768158843997</v>
      </c>
      <c r="C2347">
        <v>0.97793817386458504</v>
      </c>
      <c r="D2347">
        <v>0.87943137958135997</v>
      </c>
      <c r="E2347">
        <v>0.84371063864082496</v>
      </c>
      <c r="F2347">
        <v>0.83794644600141799</v>
      </c>
      <c r="G2347">
        <v>0.57426483893061198</v>
      </c>
      <c r="H2347">
        <v>0.41986812007704</v>
      </c>
      <c r="I2347">
        <v>0.41836041381241801</v>
      </c>
      <c r="J2347">
        <v>0.38935375799056798</v>
      </c>
      <c r="K2347">
        <v>0.301902542966975</v>
      </c>
      <c r="L2347">
        <v>633.440849713229</v>
      </c>
      <c r="M2347">
        <v>11.209244275901501</v>
      </c>
      <c r="N2347">
        <v>60.007890829280001</v>
      </c>
      <c r="O2347">
        <v>54.801530379447897</v>
      </c>
      <c r="P2347">
        <v>-3.8883806922893303E-2</v>
      </c>
      <c r="Q2347">
        <v>0.23983325887559301</v>
      </c>
      <c r="R2347">
        <v>0.97399976448511605</v>
      </c>
      <c r="S2347" t="s">
        <v>6179</v>
      </c>
      <c r="T2347" t="s">
        <v>7662</v>
      </c>
      <c r="U2347" t="s">
        <v>7662</v>
      </c>
      <c r="V2347" t="s">
        <v>7662</v>
      </c>
      <c r="W2347">
        <v>27</v>
      </c>
      <c r="X2347" t="s">
        <v>10009</v>
      </c>
      <c r="Y2347">
        <v>0.67246144817106024</v>
      </c>
      <c r="Z2347" t="str">
        <f>HYPERLINK("Melting_Curves/meltCurve_sp_Q96G03_PGM2_HUMAN_.pdf", "Melting_Curves/meltCurve_sp_Q96G03_PGM2_HUMAN_.pdf")</f>
        <v>Melting_Curves/meltCurve_sp_Q96G03_PGM2_HUMAN_.pdf</v>
      </c>
      <c r="AA2347" t="s">
        <v>13808</v>
      </c>
      <c r="AB2347" t="s">
        <v>17587</v>
      </c>
    </row>
    <row r="2348" spans="1:28" x14ac:dyDescent="0.25">
      <c r="A2348" t="s">
        <v>2352</v>
      </c>
      <c r="B2348">
        <v>0.98876768158843997</v>
      </c>
      <c r="C2348">
        <v>0.88043135339551004</v>
      </c>
      <c r="D2348">
        <v>0.86227037721545796</v>
      </c>
      <c r="E2348">
        <v>0.79621302147714801</v>
      </c>
      <c r="F2348">
        <v>0.605117808889724</v>
      </c>
      <c r="G2348">
        <v>0.319710213468829</v>
      </c>
      <c r="H2348">
        <v>0.10460565181483</v>
      </c>
      <c r="I2348">
        <v>8.57842581025995E-2</v>
      </c>
      <c r="J2348">
        <v>0.100701681058325</v>
      </c>
      <c r="K2348">
        <v>0.10376037955792</v>
      </c>
      <c r="L2348">
        <v>818.62285161418299</v>
      </c>
      <c r="M2348">
        <v>15.225818751999</v>
      </c>
      <c r="N2348">
        <v>54.0081842626822</v>
      </c>
      <c r="O2348">
        <v>52.863576223842699</v>
      </c>
      <c r="P2348">
        <v>-6.96305515649355E-2</v>
      </c>
      <c r="Q2348">
        <v>3.3071555217890597E-2</v>
      </c>
      <c r="R2348">
        <v>0.98133319018092502</v>
      </c>
      <c r="S2348" t="s">
        <v>6180</v>
      </c>
      <c r="T2348" t="s">
        <v>7662</v>
      </c>
      <c r="U2348" t="s">
        <v>7662</v>
      </c>
      <c r="V2348" t="s">
        <v>7662</v>
      </c>
      <c r="W2348">
        <v>4</v>
      </c>
      <c r="X2348" t="s">
        <v>10010</v>
      </c>
      <c r="Y2348">
        <v>0.49644600224762142</v>
      </c>
      <c r="Z2348" t="str">
        <f>HYPERLINK("Melting_Curves/meltCurve_sp_Q96G46_DUS3L_HUMAN_.pdf", "Melting_Curves/meltCurve_sp_Q96G46_DUS3L_HUMAN_.pdf")</f>
        <v>Melting_Curves/meltCurve_sp_Q96G46_DUS3L_HUMAN_.pdf</v>
      </c>
      <c r="AA2348" t="s">
        <v>13809</v>
      </c>
      <c r="AB2348" t="s">
        <v>17588</v>
      </c>
    </row>
    <row r="2349" spans="1:28" x14ac:dyDescent="0.25">
      <c r="A2349" t="s">
        <v>2353</v>
      </c>
      <c r="B2349">
        <v>0.98876768158843997</v>
      </c>
      <c r="C2349">
        <v>0.84174076745330195</v>
      </c>
      <c r="D2349">
        <v>0.79098957545433701</v>
      </c>
      <c r="E2349">
        <v>0.72840706247646103</v>
      </c>
      <c r="F2349">
        <v>0.71415678048868902</v>
      </c>
      <c r="G2349">
        <v>0.48616892051402</v>
      </c>
      <c r="H2349">
        <v>0.27611593029779702</v>
      </c>
      <c r="I2349">
        <v>0.149574272835545</v>
      </c>
      <c r="J2349">
        <v>4.1798550995833801E-2</v>
      </c>
      <c r="K2349">
        <v>2.6925015366451598E-2</v>
      </c>
      <c r="L2349">
        <v>603.95487456144099</v>
      </c>
      <c r="M2349">
        <v>10.9180958804018</v>
      </c>
      <c r="N2349">
        <v>55.3168685398877</v>
      </c>
      <c r="O2349">
        <v>53.558224516564501</v>
      </c>
      <c r="P2349">
        <v>-5.0981371797059298E-2</v>
      </c>
      <c r="Q2349">
        <v>0</v>
      </c>
      <c r="R2349">
        <v>0.95265751111535302</v>
      </c>
      <c r="S2349" t="s">
        <v>6181</v>
      </c>
      <c r="T2349" t="s">
        <v>7662</v>
      </c>
      <c r="U2349" t="s">
        <v>7662</v>
      </c>
      <c r="V2349" t="s">
        <v>7662</v>
      </c>
      <c r="W2349">
        <v>7</v>
      </c>
      <c r="X2349" t="s">
        <v>10011</v>
      </c>
      <c r="Y2349">
        <v>0.53422112163585012</v>
      </c>
      <c r="Z2349" t="str">
        <f>HYPERLINK("Melting_Curves/meltCurve_sp_Q96GA7_SDSL_HUMAN_.pdf", "Melting_Curves/meltCurve_sp_Q96GA7_SDSL_HUMAN_.pdf")</f>
        <v>Melting_Curves/meltCurve_sp_Q96GA7_SDSL_HUMAN_.pdf</v>
      </c>
      <c r="AA2349" t="s">
        <v>13810</v>
      </c>
      <c r="AB2349" t="s">
        <v>17589</v>
      </c>
    </row>
    <row r="2350" spans="1:28" x14ac:dyDescent="0.25">
      <c r="A2350" t="s">
        <v>2354</v>
      </c>
      <c r="B2350">
        <v>0.98876768158843997</v>
      </c>
      <c r="C2350">
        <v>1.04335365358183</v>
      </c>
      <c r="D2350">
        <v>0.87267375660153101</v>
      </c>
      <c r="E2350">
        <v>0.83167051485305499</v>
      </c>
      <c r="F2350">
        <v>0.90420702813356102</v>
      </c>
      <c r="G2350">
        <v>0.67335644799383998</v>
      </c>
      <c r="H2350">
        <v>0.55292174145862705</v>
      </c>
      <c r="I2350">
        <v>0.55857395645400998</v>
      </c>
      <c r="J2350">
        <v>0.65838169433427596</v>
      </c>
      <c r="K2350">
        <v>0.49341389271587399</v>
      </c>
      <c r="L2350">
        <v>624.26015340893605</v>
      </c>
      <c r="M2350">
        <v>11.373573147094801</v>
      </c>
      <c r="O2350">
        <v>53.272275840025102</v>
      </c>
      <c r="P2350">
        <v>-2.6902574590771802E-2</v>
      </c>
      <c r="Q2350">
        <v>0.49611740114331798</v>
      </c>
      <c r="R2350">
        <v>0.880294546357695</v>
      </c>
      <c r="S2350" t="s">
        <v>6182</v>
      </c>
      <c r="T2350" t="s">
        <v>7662</v>
      </c>
      <c r="U2350" t="s">
        <v>7662</v>
      </c>
      <c r="V2350" t="s">
        <v>7662</v>
      </c>
      <c r="W2350">
        <v>12</v>
      </c>
      <c r="X2350" t="s">
        <v>10012</v>
      </c>
      <c r="Y2350">
        <v>0.75857851906380103</v>
      </c>
      <c r="Z2350" t="str">
        <f>HYPERLINK("Melting_Curves/meltCurve_sp_Q96GD0_PLPP_HUMAN_.pdf", "Melting_Curves/meltCurve_sp_Q96GD0_PLPP_HUMAN_.pdf")</f>
        <v>Melting_Curves/meltCurve_sp_Q96GD0_PLPP_HUMAN_.pdf</v>
      </c>
      <c r="AA2350" t="s">
        <v>13811</v>
      </c>
      <c r="AB2350" t="s">
        <v>17590</v>
      </c>
    </row>
    <row r="2351" spans="1:28" x14ac:dyDescent="0.25">
      <c r="A2351" t="s">
        <v>2355</v>
      </c>
      <c r="B2351">
        <v>0.98876768158843997</v>
      </c>
      <c r="C2351">
        <v>1.1892512721967501</v>
      </c>
      <c r="D2351">
        <v>0.87199586435143295</v>
      </c>
      <c r="E2351">
        <v>0.71232870980579099</v>
      </c>
      <c r="F2351">
        <v>0.82852210649401803</v>
      </c>
      <c r="G2351">
        <v>0.54664262360933902</v>
      </c>
      <c r="H2351">
        <v>0.324880970786599</v>
      </c>
      <c r="I2351">
        <v>0.34770206660214897</v>
      </c>
      <c r="J2351">
        <v>0.32590398158783701</v>
      </c>
      <c r="K2351">
        <v>0.38234783923006499</v>
      </c>
      <c r="L2351">
        <v>780.98793452549398</v>
      </c>
      <c r="M2351">
        <v>14.4097569522757</v>
      </c>
      <c r="N2351">
        <v>57.743522231077201</v>
      </c>
      <c r="O2351">
        <v>53.186808300391299</v>
      </c>
      <c r="P2351">
        <v>-4.7853558938659502E-2</v>
      </c>
      <c r="Q2351">
        <v>0.29356845556157901</v>
      </c>
      <c r="R2351">
        <v>0.89546607046651505</v>
      </c>
      <c r="S2351" t="s">
        <v>6183</v>
      </c>
      <c r="T2351" t="s">
        <v>7662</v>
      </c>
      <c r="U2351" t="s">
        <v>7662</v>
      </c>
      <c r="V2351" t="s">
        <v>7662</v>
      </c>
      <c r="W2351">
        <v>5</v>
      </c>
      <c r="X2351" t="s">
        <v>10013</v>
      </c>
      <c r="Y2351">
        <v>0.64294170359345792</v>
      </c>
      <c r="Z2351" t="str">
        <f>HYPERLINK("Melting_Curves/meltCurve_sp_Q96GE6_CALL4_HUMAN_.pdf", "Melting_Curves/meltCurve_sp_Q96GE6_CALL4_HUMAN_.pdf")</f>
        <v>Melting_Curves/meltCurve_sp_Q96GE6_CALL4_HUMAN_.pdf</v>
      </c>
      <c r="AA2351" t="s">
        <v>13812</v>
      </c>
      <c r="AB2351" t="s">
        <v>17591</v>
      </c>
    </row>
    <row r="2352" spans="1:28" x14ac:dyDescent="0.25">
      <c r="A2352" t="s">
        <v>2356</v>
      </c>
      <c r="B2352">
        <v>0.98876768158843997</v>
      </c>
      <c r="C2352">
        <v>1.2920257627298799</v>
      </c>
      <c r="D2352">
        <v>0.83932103003203495</v>
      </c>
      <c r="E2352">
        <v>0.84066530183921295</v>
      </c>
      <c r="F2352">
        <v>1.7115482049328901</v>
      </c>
      <c r="G2352">
        <v>0.96267479321133498</v>
      </c>
      <c r="H2352">
        <v>0.752846939779798</v>
      </c>
      <c r="I2352">
        <v>0.89878374512030901</v>
      </c>
      <c r="J2352">
        <v>1.38832637129139</v>
      </c>
      <c r="K2352">
        <v>1.33074929588613</v>
      </c>
      <c r="L2352">
        <v>15000</v>
      </c>
      <c r="M2352">
        <v>228.52119264796499</v>
      </c>
      <c r="O2352">
        <v>65.634412276858697</v>
      </c>
      <c r="P2352">
        <v>0.31419978140874899</v>
      </c>
      <c r="Q2352">
        <v>1.3609698276234301</v>
      </c>
      <c r="R2352">
        <v>0.17946527807361101</v>
      </c>
      <c r="S2352" t="s">
        <v>6184</v>
      </c>
      <c r="T2352" t="s">
        <v>7662</v>
      </c>
      <c r="U2352" t="s">
        <v>7662</v>
      </c>
      <c r="V2352" t="s">
        <v>7662</v>
      </c>
      <c r="W2352">
        <v>3</v>
      </c>
      <c r="X2352" t="s">
        <v>10014</v>
      </c>
      <c r="Y2352">
        <v>1.052418084387629</v>
      </c>
      <c r="Z2352" t="str">
        <f>HYPERLINK("Melting_Curves/meltCurve_sp_Q96GF1_RN185_HUMAN_.pdf", "Melting_Curves/meltCurve_sp_Q96GF1_RN185_HUMAN_.pdf")</f>
        <v>Melting_Curves/meltCurve_sp_Q96GF1_RN185_HUMAN_.pdf</v>
      </c>
      <c r="AA2352" t="s">
        <v>13813</v>
      </c>
      <c r="AB2352" t="s">
        <v>17592</v>
      </c>
    </row>
    <row r="2353" spans="1:28" x14ac:dyDescent="0.25">
      <c r="A2353" t="s">
        <v>2357</v>
      </c>
      <c r="B2353">
        <v>0.98876768158843997</v>
      </c>
      <c r="C2353">
        <v>1.03832348823515</v>
      </c>
      <c r="D2353">
        <v>0.89429608734796895</v>
      </c>
      <c r="E2353">
        <v>0.74861016490848298</v>
      </c>
      <c r="F2353">
        <v>0.75824565882227701</v>
      </c>
      <c r="G2353">
        <v>0.20562504886580599</v>
      </c>
      <c r="H2353">
        <v>6.8309814099597202E-2</v>
      </c>
      <c r="I2353">
        <v>5.27702215171649E-2</v>
      </c>
      <c r="J2353">
        <v>6.8936844947149398E-2</v>
      </c>
      <c r="K2353">
        <v>4.3656233279117697E-2</v>
      </c>
      <c r="L2353">
        <v>1188.3514214637501</v>
      </c>
      <c r="M2353">
        <v>21.915469420370702</v>
      </c>
      <c r="N2353">
        <v>54.329051941457898</v>
      </c>
      <c r="O2353">
        <v>53.778893106661997</v>
      </c>
      <c r="P2353">
        <v>-9.9772718194559698E-2</v>
      </c>
      <c r="Q2353">
        <v>2.06836235014481E-2</v>
      </c>
      <c r="R2353">
        <v>0.972551338127706</v>
      </c>
      <c r="S2353" t="s">
        <v>6185</v>
      </c>
      <c r="T2353" t="s">
        <v>7662</v>
      </c>
      <c r="U2353" t="s">
        <v>7662</v>
      </c>
      <c r="V2353" t="s">
        <v>7662</v>
      </c>
      <c r="W2353">
        <v>7</v>
      </c>
      <c r="X2353" t="s">
        <v>10015</v>
      </c>
      <c r="Y2353">
        <v>0.49643627509967808</v>
      </c>
      <c r="Z2353" t="str">
        <f>HYPERLINK("Melting_Curves/meltCurve_sp_Q96GG9_DCNL1_HUMAN_.pdf", "Melting_Curves/meltCurve_sp_Q96GG9_DCNL1_HUMAN_.pdf")</f>
        <v>Melting_Curves/meltCurve_sp_Q96GG9_DCNL1_HUMAN_.pdf</v>
      </c>
      <c r="AA2353" t="s">
        <v>13814</v>
      </c>
      <c r="AB2353" t="s">
        <v>17593</v>
      </c>
    </row>
    <row r="2354" spans="1:28" x14ac:dyDescent="0.25">
      <c r="A2354" t="s">
        <v>2358</v>
      </c>
      <c r="B2354">
        <v>0.98876768158843997</v>
      </c>
      <c r="C2354">
        <v>0.94350544293852001</v>
      </c>
      <c r="D2354">
        <v>0.80813820315898</v>
      </c>
      <c r="E2354">
        <v>0.63314672434410402</v>
      </c>
      <c r="F2354">
        <v>0.39528498993314198</v>
      </c>
      <c r="G2354">
        <v>0.17193955585849199</v>
      </c>
      <c r="H2354">
        <v>0.10731449555733601</v>
      </c>
      <c r="I2354">
        <v>0.10229529704632</v>
      </c>
      <c r="J2354">
        <v>0.103891439528888</v>
      </c>
      <c r="K2354">
        <v>0.10526214069977601</v>
      </c>
      <c r="L2354">
        <v>808.09587762773799</v>
      </c>
      <c r="M2354">
        <v>15.9090089357389</v>
      </c>
      <c r="N2354">
        <v>51.277909886915303</v>
      </c>
      <c r="O2354">
        <v>50.012609479160297</v>
      </c>
      <c r="P2354">
        <v>-7.3996891186462493E-2</v>
      </c>
      <c r="Q2354">
        <v>6.9588606369164904E-2</v>
      </c>
      <c r="R2354">
        <v>0.99493059845909304</v>
      </c>
      <c r="S2354" t="s">
        <v>6186</v>
      </c>
      <c r="T2354" t="s">
        <v>7662</v>
      </c>
      <c r="U2354" t="s">
        <v>7662</v>
      </c>
      <c r="V2354" t="s">
        <v>7662</v>
      </c>
      <c r="W2354">
        <v>15</v>
      </c>
      <c r="X2354" t="s">
        <v>10016</v>
      </c>
      <c r="Y2354">
        <v>0.42394945578083509</v>
      </c>
      <c r="Z2354" t="str">
        <f>HYPERLINK("Melting_Curves/meltCurve_sp_Q96GK7_FAH2A_HUMAN_.pdf", "Melting_Curves/meltCurve_sp_Q96GK7_FAH2A_HUMAN_.pdf")</f>
        <v>Melting_Curves/meltCurve_sp_Q96GK7_FAH2A_HUMAN_.pdf</v>
      </c>
      <c r="AA2354" t="s">
        <v>13815</v>
      </c>
      <c r="AB2354" t="s">
        <v>17594</v>
      </c>
    </row>
    <row r="2355" spans="1:28" x14ac:dyDescent="0.25">
      <c r="A2355" t="s">
        <v>2359</v>
      </c>
      <c r="B2355">
        <v>0.98876768158843997</v>
      </c>
      <c r="C2355">
        <v>0.87424278859359295</v>
      </c>
      <c r="D2355">
        <v>1.2192589292701299</v>
      </c>
      <c r="E2355">
        <v>0.80606961472595096</v>
      </c>
      <c r="F2355">
        <v>0.39998446298115697</v>
      </c>
      <c r="G2355">
        <v>0.24506372244841701</v>
      </c>
      <c r="H2355">
        <v>0.20455327359495001</v>
      </c>
      <c r="I2355">
        <v>0.17832711480414701</v>
      </c>
      <c r="J2355">
        <v>0.32653074206170102</v>
      </c>
      <c r="K2355">
        <v>0.218163971871742</v>
      </c>
      <c r="L2355">
        <v>2283.9141154623499</v>
      </c>
      <c r="M2355">
        <v>44.470527672749498</v>
      </c>
      <c r="N2355">
        <v>52.096560590799101</v>
      </c>
      <c r="O2355">
        <v>51.254398115074103</v>
      </c>
      <c r="P2355">
        <v>-0.16618857232749701</v>
      </c>
      <c r="Q2355">
        <v>0.23384010774032701</v>
      </c>
      <c r="R2355">
        <v>0.94109652049597803</v>
      </c>
      <c r="S2355" t="s">
        <v>6187</v>
      </c>
      <c r="T2355" t="s">
        <v>7662</v>
      </c>
      <c r="U2355" t="s">
        <v>7662</v>
      </c>
      <c r="V2355" t="s">
        <v>7662</v>
      </c>
      <c r="W2355">
        <v>2</v>
      </c>
      <c r="X2355" t="s">
        <v>10017</v>
      </c>
      <c r="Y2355">
        <v>0.52610343228046463</v>
      </c>
      <c r="Z2355" t="str">
        <f>HYPERLINK("Melting_Curves/meltCurve_sp_Q96GS4_CQ059_HUMAN_.pdf", "Melting_Curves/meltCurve_sp_Q96GS4_CQ059_HUMAN_.pdf")</f>
        <v>Melting_Curves/meltCurve_sp_Q96GS4_CQ059_HUMAN_.pdf</v>
      </c>
      <c r="AA2355" t="s">
        <v>13816</v>
      </c>
      <c r="AB2355" t="s">
        <v>17595</v>
      </c>
    </row>
    <row r="2356" spans="1:28" x14ac:dyDescent="0.25">
      <c r="A2356" t="s">
        <v>2360</v>
      </c>
      <c r="B2356">
        <v>0.98876768158843997</v>
      </c>
      <c r="C2356">
        <v>1.03104420189879</v>
      </c>
      <c r="D2356">
        <v>0.85144158484529497</v>
      </c>
      <c r="E2356">
        <v>0.83036254018251598</v>
      </c>
      <c r="F2356">
        <v>0.75098533543897095</v>
      </c>
      <c r="G2356">
        <v>0.44176437349623299</v>
      </c>
      <c r="H2356">
        <v>0.12008050881492401</v>
      </c>
      <c r="I2356">
        <v>5.6881788283813003E-2</v>
      </c>
      <c r="J2356">
        <v>4.9810919143087599E-2</v>
      </c>
      <c r="K2356">
        <v>4.8101990083337397E-2</v>
      </c>
      <c r="L2356">
        <v>983.14587908782698</v>
      </c>
      <c r="M2356">
        <v>17.6552635953487</v>
      </c>
      <c r="N2356">
        <v>55.685719444348599</v>
      </c>
      <c r="O2356">
        <v>54.986040113746299</v>
      </c>
      <c r="P2356">
        <v>-8.0275849141844199E-2</v>
      </c>
      <c r="Q2356">
        <v>0</v>
      </c>
      <c r="R2356">
        <v>0.982105699545891</v>
      </c>
      <c r="S2356" t="s">
        <v>6188</v>
      </c>
      <c r="T2356" t="s">
        <v>7662</v>
      </c>
      <c r="U2356" t="s">
        <v>7662</v>
      </c>
      <c r="V2356" t="s">
        <v>7662</v>
      </c>
      <c r="W2356">
        <v>9</v>
      </c>
      <c r="X2356" t="s">
        <v>10018</v>
      </c>
      <c r="Y2356">
        <v>0.53820561271458445</v>
      </c>
      <c r="Z2356" t="str">
        <f>HYPERLINK("Melting_Curves/meltCurve_sp_Q96GW9_SYMM_HUMAN_.pdf", "Melting_Curves/meltCurve_sp_Q96GW9_SYMM_HUMAN_.pdf")</f>
        <v>Melting_Curves/meltCurve_sp_Q96GW9_SYMM_HUMAN_.pdf</v>
      </c>
      <c r="AA2356" t="s">
        <v>13817</v>
      </c>
      <c r="AB2356" t="s">
        <v>17596</v>
      </c>
    </row>
    <row r="2357" spans="1:28" x14ac:dyDescent="0.25">
      <c r="A2357" t="s">
        <v>2361</v>
      </c>
      <c r="B2357">
        <v>0.98876768158843997</v>
      </c>
      <c r="C2357">
        <v>1.0611203263934601</v>
      </c>
      <c r="D2357">
        <v>0.89988240562411304</v>
      </c>
      <c r="E2357">
        <v>0.71365752780130898</v>
      </c>
      <c r="F2357">
        <v>0.67349082810481797</v>
      </c>
      <c r="G2357">
        <v>0.33395989113844698</v>
      </c>
      <c r="H2357">
        <v>0.22756256975015901</v>
      </c>
      <c r="I2357">
        <v>0.19131681997556399</v>
      </c>
      <c r="J2357">
        <v>0.24467203284543501</v>
      </c>
      <c r="K2357">
        <v>0.234655817955053</v>
      </c>
      <c r="L2357">
        <v>897.805206571383</v>
      </c>
      <c r="M2357">
        <v>17.0028462428083</v>
      </c>
      <c r="N2357">
        <v>54.318534785703697</v>
      </c>
      <c r="O2357">
        <v>52.089040139622497</v>
      </c>
      <c r="P2357">
        <v>-6.6198021493515904E-2</v>
      </c>
      <c r="Q2357">
        <v>0.18884665286044999</v>
      </c>
      <c r="R2357">
        <v>0.97627126011672605</v>
      </c>
      <c r="S2357" t="s">
        <v>6189</v>
      </c>
      <c r="T2357" t="s">
        <v>7662</v>
      </c>
      <c r="U2357" t="s">
        <v>7662</v>
      </c>
      <c r="V2357" t="s">
        <v>7662</v>
      </c>
      <c r="W2357">
        <v>2</v>
      </c>
      <c r="X2357" t="s">
        <v>10019</v>
      </c>
      <c r="Y2357">
        <v>0.54962253101228464</v>
      </c>
      <c r="Z2357" t="str">
        <f>HYPERLINK("Melting_Curves/meltCurve_sp_Q96GX2_A7L3B_HUMAN_.pdf", "Melting_Curves/meltCurve_sp_Q96GX2_A7L3B_HUMAN_.pdf")</f>
        <v>Melting_Curves/meltCurve_sp_Q96GX2_A7L3B_HUMAN_.pdf</v>
      </c>
      <c r="AA2357" t="s">
        <v>13818</v>
      </c>
      <c r="AB2357" t="s">
        <v>17597</v>
      </c>
    </row>
    <row r="2358" spans="1:28" x14ac:dyDescent="0.25">
      <c r="A2358" t="s">
        <v>2362</v>
      </c>
      <c r="B2358">
        <v>0.98876768158843997</v>
      </c>
      <c r="C2358">
        <v>0.79224142981254397</v>
      </c>
      <c r="D2358">
        <v>0.96537360408790396</v>
      </c>
      <c r="E2358">
        <v>0.76339560327997003</v>
      </c>
      <c r="F2358">
        <v>0.57435077854504502</v>
      </c>
      <c r="G2358">
        <v>0.35026283812415698</v>
      </c>
      <c r="H2358">
        <v>0.293333676042699</v>
      </c>
      <c r="I2358">
        <v>0.32675799166908598</v>
      </c>
      <c r="J2358">
        <v>0.37291060568131001</v>
      </c>
      <c r="K2358">
        <v>0.46869139591560199</v>
      </c>
      <c r="L2358">
        <v>1270.73757235222</v>
      </c>
      <c r="M2358">
        <v>24.859218763852699</v>
      </c>
      <c r="N2358">
        <v>53.788485454809802</v>
      </c>
      <c r="O2358">
        <v>50.790016143017901</v>
      </c>
      <c r="P2358">
        <v>-7.8984854136896196E-2</v>
      </c>
      <c r="Q2358">
        <v>0.35451119635997602</v>
      </c>
      <c r="R2358">
        <v>0.90126705332343005</v>
      </c>
      <c r="S2358" t="s">
        <v>6190</v>
      </c>
      <c r="T2358" t="s">
        <v>7662</v>
      </c>
      <c r="U2358" t="s">
        <v>7662</v>
      </c>
      <c r="V2358" t="s">
        <v>7662</v>
      </c>
      <c r="W2358">
        <v>6</v>
      </c>
      <c r="X2358" t="s">
        <v>10020</v>
      </c>
      <c r="Y2358">
        <v>0.59961933605148199</v>
      </c>
      <c r="Z2358" t="str">
        <f>HYPERLINK("Melting_Curves/meltCurve_sp_Q96GX9_MTNB_HUMAN_.pdf", "Melting_Curves/meltCurve_sp_Q96GX9_MTNB_HUMAN_.pdf")</f>
        <v>Melting_Curves/meltCurve_sp_Q96GX9_MTNB_HUMAN_.pdf</v>
      </c>
      <c r="AA2358" t="s">
        <v>13819</v>
      </c>
      <c r="AB2358" t="s">
        <v>17598</v>
      </c>
    </row>
    <row r="2359" spans="1:28" x14ac:dyDescent="0.25">
      <c r="A2359" t="s">
        <v>2363</v>
      </c>
      <c r="B2359">
        <v>0.98876768158843997</v>
      </c>
      <c r="C2359">
        <v>0.96543730352616497</v>
      </c>
      <c r="D2359">
        <v>0.97090795842308497</v>
      </c>
      <c r="E2359">
        <v>0.89900737847179901</v>
      </c>
      <c r="F2359">
        <v>0.43258398915160101</v>
      </c>
      <c r="G2359">
        <v>0.13223014056433599</v>
      </c>
      <c r="H2359">
        <v>5.7864256982607699E-2</v>
      </c>
      <c r="I2359">
        <v>4.8184234845597501E-2</v>
      </c>
      <c r="J2359">
        <v>8.07785512047519E-2</v>
      </c>
      <c r="K2359">
        <v>4.8184633138991503E-2</v>
      </c>
      <c r="L2359">
        <v>2072.39195161107</v>
      </c>
      <c r="M2359">
        <v>39.484138889336599</v>
      </c>
      <c r="N2359">
        <v>52.667695010654697</v>
      </c>
      <c r="O2359">
        <v>52.3525948203716</v>
      </c>
      <c r="P2359">
        <v>-0.176587029214088</v>
      </c>
      <c r="Q2359">
        <v>6.3444691887110896E-2</v>
      </c>
      <c r="R2359">
        <v>0.99769241805880904</v>
      </c>
      <c r="S2359" t="s">
        <v>6191</v>
      </c>
      <c r="T2359" t="s">
        <v>7662</v>
      </c>
      <c r="U2359" t="s">
        <v>7662</v>
      </c>
      <c r="V2359" t="s">
        <v>7662</v>
      </c>
      <c r="W2359">
        <v>8</v>
      </c>
      <c r="X2359" t="s">
        <v>10021</v>
      </c>
      <c r="Y2359">
        <v>0.45674577985058229</v>
      </c>
      <c r="Z2359" t="str">
        <f>HYPERLINK("Melting_Curves/meltCurve_sp_Q96H20_SNF8_HUMAN_.pdf", "Melting_Curves/meltCurve_sp_Q96H20_SNF8_HUMAN_.pdf")</f>
        <v>Melting_Curves/meltCurve_sp_Q96H20_SNF8_HUMAN_.pdf</v>
      </c>
      <c r="AA2359" t="s">
        <v>13820</v>
      </c>
      <c r="AB2359" t="s">
        <v>17599</v>
      </c>
    </row>
    <row r="2360" spans="1:28" x14ac:dyDescent="0.25">
      <c r="A2360" t="s">
        <v>2364</v>
      </c>
      <c r="B2360">
        <v>0.98876768158843997</v>
      </c>
      <c r="C2360">
        <v>1.1061935470392199</v>
      </c>
      <c r="D2360">
        <v>0.86250809967606701</v>
      </c>
      <c r="E2360">
        <v>0.73209422486192</v>
      </c>
      <c r="F2360">
        <v>0.87072358864191701</v>
      </c>
      <c r="G2360">
        <v>0.61679851394059104</v>
      </c>
      <c r="H2360">
        <v>0.45322432372539301</v>
      </c>
      <c r="I2360">
        <v>0.50225632880540905</v>
      </c>
      <c r="J2360">
        <v>0.55357837084053296</v>
      </c>
      <c r="K2360">
        <v>0.59792093966691495</v>
      </c>
      <c r="L2360">
        <v>742.42153204953104</v>
      </c>
      <c r="M2360">
        <v>14.254091976486601</v>
      </c>
      <c r="O2360">
        <v>51.091826158245503</v>
      </c>
      <c r="P2360">
        <v>-3.4152441987115797E-2</v>
      </c>
      <c r="Q2360">
        <v>0.51040152527789395</v>
      </c>
      <c r="R2360">
        <v>0.83469364985627204</v>
      </c>
      <c r="S2360" t="s">
        <v>6192</v>
      </c>
      <c r="T2360" t="s">
        <v>7662</v>
      </c>
      <c r="U2360" t="s">
        <v>7662</v>
      </c>
      <c r="V2360" t="s">
        <v>7662</v>
      </c>
      <c r="W2360">
        <v>26</v>
      </c>
      <c r="X2360" t="s">
        <v>10022</v>
      </c>
      <c r="Y2360">
        <v>0.71939958259660641</v>
      </c>
      <c r="Z2360" t="str">
        <f>HYPERLINK("Melting_Curves/meltCurve_sp_Q96HC4_PDLI5_HUMAN_.pdf", "Melting_Curves/meltCurve_sp_Q96HC4_PDLI5_HUMAN_.pdf")</f>
        <v>Melting_Curves/meltCurve_sp_Q96HC4_PDLI5_HUMAN_.pdf</v>
      </c>
      <c r="AA2360" t="s">
        <v>13821</v>
      </c>
      <c r="AB2360" t="s">
        <v>17600</v>
      </c>
    </row>
    <row r="2361" spans="1:28" x14ac:dyDescent="0.25">
      <c r="A2361" t="s">
        <v>2365</v>
      </c>
      <c r="B2361">
        <v>0.98876768158843997</v>
      </c>
      <c r="C2361">
        <v>0.93381897823112203</v>
      </c>
      <c r="D2361">
        <v>0.82956705366128503</v>
      </c>
      <c r="E2361">
        <v>0.50161418948224601</v>
      </c>
      <c r="F2361">
        <v>0.17665848759923999</v>
      </c>
      <c r="G2361">
        <v>0.111005193256416</v>
      </c>
      <c r="H2361">
        <v>6.2528829869818295E-2</v>
      </c>
      <c r="I2361">
        <v>5.3723977786152503E-2</v>
      </c>
      <c r="J2361">
        <v>5.2919129298671798E-2</v>
      </c>
      <c r="K2361">
        <v>4.8797389149879897E-2</v>
      </c>
      <c r="L2361">
        <v>1068.2404234549001</v>
      </c>
      <c r="M2361">
        <v>21.615250981349799</v>
      </c>
      <c r="N2361">
        <v>49.640873817114702</v>
      </c>
      <c r="O2361">
        <v>49.0034957474873</v>
      </c>
      <c r="P2361">
        <v>-0.10523554265593101</v>
      </c>
      <c r="Q2361">
        <v>4.5713025576032497E-2</v>
      </c>
      <c r="R2361">
        <v>0.99634011533436495</v>
      </c>
      <c r="S2361" t="s">
        <v>6193</v>
      </c>
      <c r="T2361" t="s">
        <v>7662</v>
      </c>
      <c r="U2361" t="s">
        <v>7662</v>
      </c>
      <c r="V2361" t="s">
        <v>7662</v>
      </c>
      <c r="W2361">
        <v>8</v>
      </c>
      <c r="X2361" t="s">
        <v>10023</v>
      </c>
      <c r="Y2361">
        <v>0.35677940149530218</v>
      </c>
      <c r="Z2361" t="str">
        <f>HYPERLINK("Melting_Curves/meltCurve_sp_Q96HD9_ACY3_HUMAN_.pdf", "Melting_Curves/meltCurve_sp_Q96HD9_ACY3_HUMAN_.pdf")</f>
        <v>Melting_Curves/meltCurve_sp_Q96HD9_ACY3_HUMAN_.pdf</v>
      </c>
      <c r="AA2361" t="s">
        <v>13822</v>
      </c>
      <c r="AB2361" t="s">
        <v>17601</v>
      </c>
    </row>
    <row r="2362" spans="1:28" x14ac:dyDescent="0.25">
      <c r="A2362" t="s">
        <v>2366</v>
      </c>
      <c r="B2362">
        <v>0.98876768158843997</v>
      </c>
      <c r="C2362">
        <v>1.0293428238314899</v>
      </c>
      <c r="D2362">
        <v>0.87118189117567602</v>
      </c>
      <c r="E2362">
        <v>0.76676665282514</v>
      </c>
      <c r="F2362">
        <v>0.38014738170967</v>
      </c>
      <c r="G2362">
        <v>0.128857699602449</v>
      </c>
      <c r="H2362">
        <v>7.23935730741984E-2</v>
      </c>
      <c r="I2362">
        <v>5.7779910947113801E-2</v>
      </c>
      <c r="J2362">
        <v>5.6026920020721703E-2</v>
      </c>
      <c r="K2362">
        <v>5.2308317671062199E-2</v>
      </c>
      <c r="L2362">
        <v>1305.51223423274</v>
      </c>
      <c r="M2362">
        <v>25.1858972221385</v>
      </c>
      <c r="N2362">
        <v>52.046743562976097</v>
      </c>
      <c r="O2362">
        <v>51.511588109461002</v>
      </c>
      <c r="P2362">
        <v>-0.11628484132266401</v>
      </c>
      <c r="Q2362">
        <v>4.8683872940132301E-2</v>
      </c>
      <c r="R2362">
        <v>0.99299343484503599</v>
      </c>
      <c r="S2362" t="s">
        <v>6194</v>
      </c>
      <c r="T2362" t="s">
        <v>7662</v>
      </c>
      <c r="U2362" t="s">
        <v>7662</v>
      </c>
      <c r="V2362" t="s">
        <v>7662</v>
      </c>
      <c r="W2362">
        <v>13</v>
      </c>
      <c r="X2362" t="s">
        <v>10024</v>
      </c>
      <c r="Y2362">
        <v>0.43252674641093741</v>
      </c>
      <c r="Z2362" t="str">
        <f>HYPERLINK("Melting_Curves/meltCurve_sp_Q96HE7_ERO1A_HUMAN_.pdf", "Melting_Curves/meltCurve_sp_Q96HE7_ERO1A_HUMAN_.pdf")</f>
        <v>Melting_Curves/meltCurve_sp_Q96HE7_ERO1A_HUMAN_.pdf</v>
      </c>
      <c r="AA2362" t="s">
        <v>13823</v>
      </c>
      <c r="AB2362" t="s">
        <v>17602</v>
      </c>
    </row>
    <row r="2363" spans="1:28" x14ac:dyDescent="0.25">
      <c r="A2363" t="s">
        <v>2367</v>
      </c>
      <c r="B2363">
        <v>0.98876768158843997</v>
      </c>
      <c r="C2363">
        <v>0.94827128945907702</v>
      </c>
      <c r="D2363">
        <v>0.945698907430229</v>
      </c>
      <c r="E2363">
        <v>0.71415667868436405</v>
      </c>
      <c r="F2363">
        <v>0.61926664616946703</v>
      </c>
      <c r="G2363">
        <v>0.40215013628248197</v>
      </c>
      <c r="H2363">
        <v>0.31826961869096598</v>
      </c>
      <c r="I2363">
        <v>0.31450898233570301</v>
      </c>
      <c r="J2363">
        <v>0.38894385020720901</v>
      </c>
      <c r="K2363">
        <v>0.46420381242479403</v>
      </c>
      <c r="L2363">
        <v>1036.7225607329599</v>
      </c>
      <c r="M2363">
        <v>20.3407735707802</v>
      </c>
      <c r="N2363">
        <v>54.431882968485702</v>
      </c>
      <c r="O2363">
        <v>50.482758522430899</v>
      </c>
      <c r="P2363">
        <v>-6.4168962204930999E-2</v>
      </c>
      <c r="Q2363">
        <v>0.362988324482588</v>
      </c>
      <c r="R2363">
        <v>0.96348385750060095</v>
      </c>
      <c r="S2363" t="s">
        <v>6195</v>
      </c>
      <c r="T2363" t="s">
        <v>7662</v>
      </c>
      <c r="U2363" t="s">
        <v>7662</v>
      </c>
      <c r="V2363" t="s">
        <v>7662</v>
      </c>
      <c r="W2363">
        <v>10</v>
      </c>
      <c r="X2363" t="s">
        <v>10025</v>
      </c>
      <c r="Y2363">
        <v>0.60444060558113744</v>
      </c>
      <c r="Z2363" t="str">
        <f>HYPERLINK("Melting_Curves/meltCurve_sp_Q96HJ9_2_CG055_HUMAN_.pdf", "Melting_Curves/meltCurve_sp_Q96HJ9_2_CG055_HUMAN_.pdf")</f>
        <v>Melting_Curves/meltCurve_sp_Q96HJ9_2_CG055_HUMAN_.pdf</v>
      </c>
      <c r="AA2363" t="s">
        <v>13824</v>
      </c>
      <c r="AB2363" t="s">
        <v>17603</v>
      </c>
    </row>
    <row r="2364" spans="1:28" x14ac:dyDescent="0.25">
      <c r="A2364" t="s">
        <v>2368</v>
      </c>
      <c r="B2364">
        <v>0.98876768158843997</v>
      </c>
      <c r="C2364">
        <v>0.94566827267362397</v>
      </c>
      <c r="D2364">
        <v>0.92415506143039905</v>
      </c>
      <c r="E2364">
        <v>0.791027125969885</v>
      </c>
      <c r="F2364">
        <v>0.77421154853687502</v>
      </c>
      <c r="G2364">
        <v>0.624379574816461</v>
      </c>
      <c r="H2364">
        <v>0.317071577790697</v>
      </c>
      <c r="I2364">
        <v>0.109391591973809</v>
      </c>
      <c r="J2364">
        <v>2.6801414921067801E-2</v>
      </c>
      <c r="K2364">
        <v>4.4501555277981601E-2</v>
      </c>
      <c r="L2364">
        <v>874.91272867352802</v>
      </c>
      <c r="M2364">
        <v>15.235155904331499</v>
      </c>
      <c r="N2364">
        <v>57.427225279380799</v>
      </c>
      <c r="O2364">
        <v>56.465086153238502</v>
      </c>
      <c r="P2364">
        <v>-6.7460288681820801E-2</v>
      </c>
      <c r="Q2364">
        <v>0</v>
      </c>
      <c r="R2364">
        <v>0.97219090136740705</v>
      </c>
      <c r="S2364" t="s">
        <v>6196</v>
      </c>
      <c r="T2364" t="s">
        <v>7662</v>
      </c>
      <c r="U2364" t="s">
        <v>7662</v>
      </c>
      <c r="V2364" t="s">
        <v>7662</v>
      </c>
      <c r="W2364">
        <v>5</v>
      </c>
      <c r="X2364" t="s">
        <v>10026</v>
      </c>
      <c r="Y2364">
        <v>0.59566730976240412</v>
      </c>
      <c r="Z2364" t="str">
        <f>HYPERLINK("Melting_Curves/meltCurve_sp_Q96HJ9_CG055_HUMAN_.pdf", "Melting_Curves/meltCurve_sp_Q96HJ9_CG055_HUMAN_.pdf")</f>
        <v>Melting_Curves/meltCurve_sp_Q96HJ9_CG055_HUMAN_.pdf</v>
      </c>
      <c r="AA2364" t="s">
        <v>13824</v>
      </c>
      <c r="AB2364" t="s">
        <v>17604</v>
      </c>
    </row>
    <row r="2365" spans="1:28" x14ac:dyDescent="0.25">
      <c r="A2365" t="s">
        <v>2369</v>
      </c>
      <c r="B2365">
        <v>0.98876768158843997</v>
      </c>
      <c r="C2365">
        <v>0.96803669497483802</v>
      </c>
      <c r="D2365">
        <v>0.94340566595946496</v>
      </c>
      <c r="E2365">
        <v>0.82033380339234896</v>
      </c>
      <c r="F2365">
        <v>0.51938974601016696</v>
      </c>
      <c r="G2365">
        <v>0.22897636607049299</v>
      </c>
      <c r="H2365">
        <v>7.2880604126927401E-2</v>
      </c>
      <c r="I2365">
        <v>5.6177538163538002E-2</v>
      </c>
      <c r="J2365">
        <v>7.6825832779460104E-2</v>
      </c>
      <c r="K2365">
        <v>6.1282009836433199E-2</v>
      </c>
      <c r="L2365">
        <v>1186.74300011373</v>
      </c>
      <c r="M2365">
        <v>22.375546863492701</v>
      </c>
      <c r="N2365">
        <v>53.283096731970602</v>
      </c>
      <c r="O2365">
        <v>52.619317789139899</v>
      </c>
      <c r="P2365">
        <v>-0.10110180977012601</v>
      </c>
      <c r="Q2365">
        <v>4.8998044081041803E-2</v>
      </c>
      <c r="R2365">
        <v>0.99793149486978605</v>
      </c>
      <c r="S2365" t="s">
        <v>6197</v>
      </c>
      <c r="T2365" t="s">
        <v>7662</v>
      </c>
      <c r="U2365" t="s">
        <v>7662</v>
      </c>
      <c r="V2365" t="s">
        <v>7662</v>
      </c>
      <c r="W2365">
        <v>9</v>
      </c>
      <c r="X2365" t="s">
        <v>10027</v>
      </c>
      <c r="Y2365">
        <v>0.47302777383350131</v>
      </c>
      <c r="Z2365" t="str">
        <f>HYPERLINK("Melting_Curves/meltCurve_sp_Q96HN2_4_SAHH3_HUMAN_.pdf", "Melting_Curves/meltCurve_sp_Q96HN2_4_SAHH3_HUMAN_.pdf")</f>
        <v>Melting_Curves/meltCurve_sp_Q96HN2_4_SAHH3_HUMAN_.pdf</v>
      </c>
      <c r="AA2365" t="s">
        <v>13825</v>
      </c>
      <c r="AB2365" t="s">
        <v>17605</v>
      </c>
    </row>
    <row r="2366" spans="1:28" x14ac:dyDescent="0.25">
      <c r="A2366" t="s">
        <v>2370</v>
      </c>
      <c r="B2366">
        <v>0.98876768158843997</v>
      </c>
      <c r="C2366">
        <v>1.05954735143888</v>
      </c>
      <c r="D2366">
        <v>0.75705662129388995</v>
      </c>
      <c r="E2366">
        <v>0.47326199167680399</v>
      </c>
      <c r="F2366">
        <v>0.13841026782732099</v>
      </c>
      <c r="G2366">
        <v>8.8149762012173796E-2</v>
      </c>
      <c r="H2366">
        <v>6.2310562678649602E-2</v>
      </c>
      <c r="I2366">
        <v>5.1958628475274701E-2</v>
      </c>
      <c r="J2366">
        <v>6.0480318229579298E-2</v>
      </c>
      <c r="K2366">
        <v>6.0189354496844497E-2</v>
      </c>
      <c r="L2366">
        <v>1130.1893397536601</v>
      </c>
      <c r="M2366">
        <v>23.072668331489801</v>
      </c>
      <c r="N2366">
        <v>49.210046584181001</v>
      </c>
      <c r="O2366">
        <v>48.620387226035497</v>
      </c>
      <c r="P2366">
        <v>-0.112671319736372</v>
      </c>
      <c r="Q2366">
        <v>5.0301101422828197E-2</v>
      </c>
      <c r="R2366">
        <v>0.98704016787258397</v>
      </c>
      <c r="S2366" t="s">
        <v>6198</v>
      </c>
      <c r="T2366" t="s">
        <v>7662</v>
      </c>
      <c r="U2366" t="s">
        <v>7662</v>
      </c>
      <c r="V2366" t="s">
        <v>7662</v>
      </c>
      <c r="W2366">
        <v>6</v>
      </c>
      <c r="X2366" t="s">
        <v>10028</v>
      </c>
      <c r="Y2366">
        <v>0.34462878018149812</v>
      </c>
      <c r="Z2366" t="str">
        <f>HYPERLINK("Melting_Curves/meltCurve_sp_Q96HP4_OXND1_HUMAN_.pdf", "Melting_Curves/meltCurve_sp_Q96HP4_OXND1_HUMAN_.pdf")</f>
        <v>Melting_Curves/meltCurve_sp_Q96HP4_OXND1_HUMAN_.pdf</v>
      </c>
      <c r="AA2366" t="s">
        <v>13826</v>
      </c>
      <c r="AB2366" t="s">
        <v>17606</v>
      </c>
    </row>
    <row r="2367" spans="1:28" x14ac:dyDescent="0.25">
      <c r="A2367" t="s">
        <v>2371</v>
      </c>
      <c r="B2367">
        <v>0.98876768158843997</v>
      </c>
      <c r="C2367">
        <v>1.07648390079446</v>
      </c>
      <c r="D2367">
        <v>1.04034134855775</v>
      </c>
      <c r="E2367">
        <v>0.934010793318792</v>
      </c>
      <c r="F2367">
        <v>0.65071478194175503</v>
      </c>
      <c r="G2367">
        <v>0.53218581881775895</v>
      </c>
      <c r="H2367">
        <v>0.43895704546425501</v>
      </c>
      <c r="I2367">
        <v>0.42798115564789402</v>
      </c>
      <c r="J2367">
        <v>0.48119867656112097</v>
      </c>
      <c r="K2367">
        <v>0.39358824864119901</v>
      </c>
      <c r="L2367">
        <v>1823.5293875274299</v>
      </c>
      <c r="M2367">
        <v>34.7534549671104</v>
      </c>
      <c r="N2367">
        <v>56.006189324135597</v>
      </c>
      <c r="O2367">
        <v>52.297631287034797</v>
      </c>
      <c r="P2367">
        <v>-9.2325989698518698E-2</v>
      </c>
      <c r="Q2367">
        <v>0.44426670796925699</v>
      </c>
      <c r="R2367">
        <v>0.97715190321074297</v>
      </c>
      <c r="S2367" t="s">
        <v>6199</v>
      </c>
      <c r="T2367" t="s">
        <v>7662</v>
      </c>
      <c r="U2367" t="s">
        <v>7662</v>
      </c>
      <c r="V2367" t="s">
        <v>7662</v>
      </c>
      <c r="W2367">
        <v>2</v>
      </c>
      <c r="X2367" t="s">
        <v>10029</v>
      </c>
      <c r="Y2367">
        <v>0.67794480050046124</v>
      </c>
      <c r="Z2367" t="str">
        <f>HYPERLINK("Melting_Curves/meltCurve_sp_Q96HQ2_2_C2AIL_HUMAN_.pdf", "Melting_Curves/meltCurve_sp_Q96HQ2_2_C2AIL_HUMAN_.pdf")</f>
        <v>Melting_Curves/meltCurve_sp_Q96HQ2_2_C2AIL_HUMAN_.pdf</v>
      </c>
      <c r="AA2367" t="s">
        <v>13827</v>
      </c>
      <c r="AB2367" t="s">
        <v>17607</v>
      </c>
    </row>
    <row r="2368" spans="1:28" x14ac:dyDescent="0.25">
      <c r="A2368" t="s">
        <v>2372</v>
      </c>
      <c r="B2368">
        <v>0.98876768158843997</v>
      </c>
      <c r="C2368">
        <v>1.08786082820104</v>
      </c>
      <c r="D2368">
        <v>1.1534133156215101</v>
      </c>
      <c r="E2368">
        <v>0.83147828408069802</v>
      </c>
      <c r="F2368">
        <v>0.50419321274027895</v>
      </c>
      <c r="G2368">
        <v>0.30193930463468299</v>
      </c>
      <c r="H2368">
        <v>0.24437952707587399</v>
      </c>
      <c r="I2368">
        <v>0.26331965965765097</v>
      </c>
      <c r="J2368">
        <v>0.28015217336568798</v>
      </c>
      <c r="K2368">
        <v>0.40894722671502598</v>
      </c>
      <c r="L2368">
        <v>2048.4204751366001</v>
      </c>
      <c r="M2368">
        <v>39.629486483187797</v>
      </c>
      <c r="N2368">
        <v>52.895637468579402</v>
      </c>
      <c r="O2368">
        <v>51.558210812548303</v>
      </c>
      <c r="P2368">
        <v>-0.13499508376111999</v>
      </c>
      <c r="Q2368">
        <v>0.29748375786096398</v>
      </c>
      <c r="R2368">
        <v>0.95850257355248902</v>
      </c>
      <c r="S2368" t="s">
        <v>6200</v>
      </c>
      <c r="T2368" t="s">
        <v>7662</v>
      </c>
      <c r="U2368" t="s">
        <v>7662</v>
      </c>
      <c r="V2368" t="s">
        <v>7662</v>
      </c>
      <c r="W2368">
        <v>5</v>
      </c>
      <c r="X2368" t="s">
        <v>10030</v>
      </c>
      <c r="Y2368">
        <v>0.57377117913161502</v>
      </c>
      <c r="Z2368" t="str">
        <f>HYPERLINK("Melting_Curves/meltCurve_sp_Q96HR9_REEP6_HUMAN_.pdf", "Melting_Curves/meltCurve_sp_Q96HR9_REEP6_HUMAN_.pdf")</f>
        <v>Melting_Curves/meltCurve_sp_Q96HR9_REEP6_HUMAN_.pdf</v>
      </c>
      <c r="AA2368" t="s">
        <v>13828</v>
      </c>
      <c r="AB2368" t="s">
        <v>17608</v>
      </c>
    </row>
    <row r="2369" spans="1:28" x14ac:dyDescent="0.25">
      <c r="A2369" t="s">
        <v>2373</v>
      </c>
      <c r="B2369">
        <v>0.98876768158843997</v>
      </c>
      <c r="C2369">
        <v>0.86389278109747503</v>
      </c>
      <c r="D2369">
        <v>0.95989693169468504</v>
      </c>
      <c r="E2369">
        <v>0.807116928977055</v>
      </c>
      <c r="F2369">
        <v>0.47625601395092398</v>
      </c>
      <c r="G2369">
        <v>0.38560006337514002</v>
      </c>
      <c r="H2369">
        <v>0.302605015683023</v>
      </c>
      <c r="I2369">
        <v>0.25089071286665399</v>
      </c>
      <c r="J2369">
        <v>0.33736441410132401</v>
      </c>
      <c r="K2369">
        <v>0.13244451138108099</v>
      </c>
      <c r="L2369">
        <v>951.94995299157404</v>
      </c>
      <c r="M2369">
        <v>18.315285811755899</v>
      </c>
      <c r="N2369">
        <v>53.808334306950599</v>
      </c>
      <c r="O2369">
        <v>51.367976812448603</v>
      </c>
      <c r="P2369">
        <v>-6.8456849977438103E-2</v>
      </c>
      <c r="Q2369">
        <v>0.232045210461747</v>
      </c>
      <c r="R2369">
        <v>0.95151475504794802</v>
      </c>
      <c r="S2369" t="s">
        <v>6201</v>
      </c>
      <c r="T2369" t="s">
        <v>7662</v>
      </c>
      <c r="U2369" t="s">
        <v>7662</v>
      </c>
      <c r="V2369" t="s">
        <v>7662</v>
      </c>
      <c r="W2369">
        <v>4</v>
      </c>
      <c r="X2369" t="s">
        <v>10031</v>
      </c>
      <c r="Y2369">
        <v>0.5510137547614159</v>
      </c>
      <c r="Z2369" t="str">
        <f>HYPERLINK("Melting_Curves/meltCurve_sp_Q96HS1_PGAM5_HUMAN_.pdf", "Melting_Curves/meltCurve_sp_Q96HS1_PGAM5_HUMAN_.pdf")</f>
        <v>Melting_Curves/meltCurve_sp_Q96HS1_PGAM5_HUMAN_.pdf</v>
      </c>
      <c r="AA2369" t="s">
        <v>13829</v>
      </c>
      <c r="AB2369" t="s">
        <v>17609</v>
      </c>
    </row>
    <row r="2370" spans="1:28" x14ac:dyDescent="0.25">
      <c r="A2370" t="s">
        <v>2374</v>
      </c>
      <c r="B2370">
        <v>0.98876768158843997</v>
      </c>
      <c r="C2370">
        <v>1.01950850663091</v>
      </c>
      <c r="D2370">
        <v>0.97433567563979095</v>
      </c>
      <c r="E2370">
        <v>0.95816512682474697</v>
      </c>
      <c r="F2370">
        <v>0.69816701987975904</v>
      </c>
      <c r="G2370">
        <v>0.37980162088501201</v>
      </c>
      <c r="H2370">
        <v>0.20940095568285799</v>
      </c>
      <c r="I2370">
        <v>0.25749353448016499</v>
      </c>
      <c r="J2370">
        <v>0.286747279313676</v>
      </c>
      <c r="K2370">
        <v>0.35008032510399001</v>
      </c>
      <c r="L2370">
        <v>1908.4169987718701</v>
      </c>
      <c r="M2370">
        <v>35.628484581092799</v>
      </c>
      <c r="N2370">
        <v>54.815572669059399</v>
      </c>
      <c r="O2370">
        <v>53.396452552596998</v>
      </c>
      <c r="P2370">
        <v>-0.12038931793254599</v>
      </c>
      <c r="Q2370">
        <v>0.27829189156662698</v>
      </c>
      <c r="R2370">
        <v>0.98728422029787199</v>
      </c>
      <c r="S2370" t="s">
        <v>6202</v>
      </c>
      <c r="T2370" t="s">
        <v>7662</v>
      </c>
      <c r="U2370" t="s">
        <v>7662</v>
      </c>
      <c r="V2370" t="s">
        <v>7662</v>
      </c>
      <c r="W2370">
        <v>3</v>
      </c>
      <c r="X2370" t="s">
        <v>10032</v>
      </c>
      <c r="Y2370">
        <v>0.60797033446353987</v>
      </c>
      <c r="Z2370" t="str">
        <f>HYPERLINK("Melting_Curves/meltCurve_sp_Q96HY6_2_DDRGK_HUMAN_.pdf", "Melting_Curves/meltCurve_sp_Q96HY6_2_DDRGK_HUMAN_.pdf")</f>
        <v>Melting_Curves/meltCurve_sp_Q96HY6_2_DDRGK_HUMAN_.pdf</v>
      </c>
      <c r="AA2370" t="s">
        <v>13830</v>
      </c>
      <c r="AB2370" t="s">
        <v>17610</v>
      </c>
    </row>
    <row r="2371" spans="1:28" x14ac:dyDescent="0.25">
      <c r="A2371" t="s">
        <v>2375</v>
      </c>
      <c r="B2371">
        <v>0.98876768158843997</v>
      </c>
      <c r="C2371">
        <v>0.77366162487989498</v>
      </c>
      <c r="D2371">
        <v>0.49482724367391501</v>
      </c>
      <c r="E2371">
        <v>0.29602674898175002</v>
      </c>
      <c r="F2371">
        <v>0.14547926793064</v>
      </c>
      <c r="G2371">
        <v>7.2471691660734597E-2</v>
      </c>
      <c r="H2371">
        <v>3.9478987081353403E-2</v>
      </c>
      <c r="I2371">
        <v>2.9966058711371299E-2</v>
      </c>
      <c r="J2371">
        <v>2.6637385347092899E-2</v>
      </c>
      <c r="K2371">
        <v>2.39139277413675E-2</v>
      </c>
      <c r="L2371">
        <v>727.22305805436599</v>
      </c>
      <c r="M2371">
        <v>15.7026707193781</v>
      </c>
      <c r="N2371">
        <v>46.4500645350833</v>
      </c>
      <c r="O2371">
        <v>45.580473382051501</v>
      </c>
      <c r="P2371">
        <v>-8.4170334495877006E-2</v>
      </c>
      <c r="Q2371">
        <v>2.2790486644668501E-2</v>
      </c>
      <c r="R2371">
        <v>0.99300735783851901</v>
      </c>
      <c r="S2371" t="s">
        <v>6203</v>
      </c>
      <c r="T2371" t="s">
        <v>7662</v>
      </c>
      <c r="U2371" t="s">
        <v>7662</v>
      </c>
      <c r="V2371" t="s">
        <v>7662</v>
      </c>
      <c r="W2371">
        <v>16</v>
      </c>
      <c r="X2371" t="s">
        <v>10033</v>
      </c>
      <c r="Y2371">
        <v>0.25367032129901679</v>
      </c>
      <c r="Z2371" t="str">
        <f>HYPERLINK("Melting_Curves/meltCurve_sp_Q96HY7_DHTK1_HUMAN_.pdf", "Melting_Curves/meltCurve_sp_Q96HY7_DHTK1_HUMAN_.pdf")</f>
        <v>Melting_Curves/meltCurve_sp_Q96HY7_DHTK1_HUMAN_.pdf</v>
      </c>
      <c r="AA2371" t="s">
        <v>13831</v>
      </c>
      <c r="AB2371" t="s">
        <v>17611</v>
      </c>
    </row>
    <row r="2372" spans="1:28" x14ac:dyDescent="0.25">
      <c r="A2372" t="s">
        <v>2376</v>
      </c>
      <c r="B2372">
        <v>0.98876768158843997</v>
      </c>
      <c r="C2372">
        <v>0.961711310149579</v>
      </c>
      <c r="D2372">
        <v>0.93082399260133697</v>
      </c>
      <c r="E2372">
        <v>0.90338080780310703</v>
      </c>
      <c r="F2372">
        <v>0.78048346648427103</v>
      </c>
      <c r="G2372">
        <v>0.47929871889069797</v>
      </c>
      <c r="H2372">
        <v>0.18771870497492801</v>
      </c>
      <c r="I2372">
        <v>0.115912220526251</v>
      </c>
      <c r="J2372">
        <v>8.4251179637460094E-2</v>
      </c>
      <c r="K2372">
        <v>6.8294121562468293E-2</v>
      </c>
      <c r="L2372">
        <v>1059.7704077870301</v>
      </c>
      <c r="M2372">
        <v>18.822927974596698</v>
      </c>
      <c r="N2372">
        <v>56.500065520818502</v>
      </c>
      <c r="O2372">
        <v>55.678170100993697</v>
      </c>
      <c r="P2372">
        <v>-8.1822948264252099E-2</v>
      </c>
      <c r="Q2372">
        <v>3.1911801469436597E-2</v>
      </c>
      <c r="R2372">
        <v>0.99581288140230995</v>
      </c>
      <c r="S2372" t="s">
        <v>6204</v>
      </c>
      <c r="T2372" t="s">
        <v>7662</v>
      </c>
      <c r="U2372" t="s">
        <v>7662</v>
      </c>
      <c r="V2372" t="s">
        <v>7662</v>
      </c>
      <c r="W2372">
        <v>16</v>
      </c>
      <c r="X2372" t="s">
        <v>10034</v>
      </c>
      <c r="Y2372">
        <v>0.57125848603295815</v>
      </c>
      <c r="Z2372" t="str">
        <f>HYPERLINK("Melting_Curves/meltCurve_sp_Q96I15_SCLY_HUMAN_.pdf", "Melting_Curves/meltCurve_sp_Q96I15_SCLY_HUMAN_.pdf")</f>
        <v>Melting_Curves/meltCurve_sp_Q96I15_SCLY_HUMAN_.pdf</v>
      </c>
      <c r="AA2372" t="s">
        <v>13832</v>
      </c>
      <c r="AB2372" t="s">
        <v>17612</v>
      </c>
    </row>
    <row r="2373" spans="1:28" x14ac:dyDescent="0.25">
      <c r="A2373" t="s">
        <v>2377</v>
      </c>
      <c r="B2373">
        <v>0.98876768158843997</v>
      </c>
      <c r="C2373">
        <v>0.99149427636609899</v>
      </c>
      <c r="D2373">
        <v>0.92541171281133106</v>
      </c>
      <c r="E2373">
        <v>0.67454895235975199</v>
      </c>
      <c r="F2373">
        <v>0.80915231246586605</v>
      </c>
      <c r="G2373">
        <v>0.56026330693741999</v>
      </c>
      <c r="H2373">
        <v>0.42537655051809198</v>
      </c>
      <c r="I2373">
        <v>0.46531479056486302</v>
      </c>
      <c r="J2373">
        <v>0.756547446750646</v>
      </c>
      <c r="K2373">
        <v>0.48917975362847099</v>
      </c>
      <c r="L2373">
        <v>810.47698362821995</v>
      </c>
      <c r="M2373">
        <v>16.171420008020299</v>
      </c>
      <c r="O2373">
        <v>49.370269055457698</v>
      </c>
      <c r="P2373">
        <v>-3.8430016445019803E-2</v>
      </c>
      <c r="Q2373">
        <v>0.53073816642725802</v>
      </c>
      <c r="R2373">
        <v>0.75917888307478198</v>
      </c>
      <c r="S2373" t="s">
        <v>6205</v>
      </c>
      <c r="T2373" t="s">
        <v>7662</v>
      </c>
      <c r="U2373" t="s">
        <v>7662</v>
      </c>
      <c r="V2373" t="s">
        <v>7662</v>
      </c>
      <c r="W2373">
        <v>1</v>
      </c>
      <c r="X2373" t="s">
        <v>10035</v>
      </c>
      <c r="Y2373">
        <v>0.69874791258124225</v>
      </c>
      <c r="Z2373" t="str">
        <f>HYPERLINK("Melting_Curves/meltCurve_sp_Q96I23_PREY_HUMAN_.pdf", "Melting_Curves/meltCurve_sp_Q96I23_PREY_HUMAN_.pdf")</f>
        <v>Melting_Curves/meltCurve_sp_Q96I23_PREY_HUMAN_.pdf</v>
      </c>
      <c r="AA2373" t="s">
        <v>13833</v>
      </c>
      <c r="AB2373" t="s">
        <v>17613</v>
      </c>
    </row>
    <row r="2374" spans="1:28" x14ac:dyDescent="0.25">
      <c r="A2374" t="s">
        <v>2378</v>
      </c>
      <c r="B2374">
        <v>0.98876768158843997</v>
      </c>
      <c r="C2374">
        <v>0.98895143140752595</v>
      </c>
      <c r="D2374">
        <v>0.91404578387313995</v>
      </c>
      <c r="E2374">
        <v>0.64232516133750295</v>
      </c>
      <c r="F2374">
        <v>0.61256394161924699</v>
      </c>
      <c r="G2374">
        <v>0.383890531959867</v>
      </c>
      <c r="H2374">
        <v>0.25870551469423902</v>
      </c>
      <c r="I2374">
        <v>0.24742563356120401</v>
      </c>
      <c r="J2374">
        <v>0.27776682666666802</v>
      </c>
      <c r="K2374">
        <v>0.24513602531523301</v>
      </c>
      <c r="L2374">
        <v>760.52264302982906</v>
      </c>
      <c r="M2374">
        <v>14.6801059884392</v>
      </c>
      <c r="N2374">
        <v>53.952174019695697</v>
      </c>
      <c r="O2374">
        <v>50.873491358509803</v>
      </c>
      <c r="P2374">
        <v>-5.6193924538495699E-2</v>
      </c>
      <c r="Q2374">
        <v>0.22113178667807301</v>
      </c>
      <c r="R2374">
        <v>0.98567888467483</v>
      </c>
      <c r="S2374" t="s">
        <v>6206</v>
      </c>
      <c r="T2374" t="s">
        <v>7662</v>
      </c>
      <c r="U2374" t="s">
        <v>7662</v>
      </c>
      <c r="V2374" t="s">
        <v>7662</v>
      </c>
      <c r="W2374">
        <v>12</v>
      </c>
      <c r="X2374" t="s">
        <v>10036</v>
      </c>
      <c r="Y2374">
        <v>0.54577313763702429</v>
      </c>
      <c r="Z2374" t="str">
        <f>HYPERLINK("Melting_Curves/meltCurve_sp_Q96I24_FUBP3_HUMAN_.pdf", "Melting_Curves/meltCurve_sp_Q96I24_FUBP3_HUMAN_.pdf")</f>
        <v>Melting_Curves/meltCurve_sp_Q96I24_FUBP3_HUMAN_.pdf</v>
      </c>
      <c r="AA2374" t="s">
        <v>13834</v>
      </c>
      <c r="AB2374" t="s">
        <v>17614</v>
      </c>
    </row>
    <row r="2375" spans="1:28" x14ac:dyDescent="0.25">
      <c r="A2375" t="s">
        <v>2379</v>
      </c>
      <c r="B2375">
        <v>0.98876768158843997</v>
      </c>
      <c r="C2375">
        <v>1.0201297778721301</v>
      </c>
      <c r="D2375">
        <v>0.88920933526200396</v>
      </c>
      <c r="E2375">
        <v>0.78826620329493102</v>
      </c>
      <c r="F2375">
        <v>0.57842804153722904</v>
      </c>
      <c r="G2375">
        <v>0.44323690953092398</v>
      </c>
      <c r="H2375">
        <v>0.33181033992296599</v>
      </c>
      <c r="I2375">
        <v>0.38306160886472101</v>
      </c>
      <c r="J2375">
        <v>0.43682300789671702</v>
      </c>
      <c r="K2375">
        <v>0.46870232266189898</v>
      </c>
      <c r="L2375">
        <v>1151.9217381742501</v>
      </c>
      <c r="M2375">
        <v>22.612308316825999</v>
      </c>
      <c r="N2375">
        <v>54.842707116679001</v>
      </c>
      <c r="O2375">
        <v>50.548841786461601</v>
      </c>
      <c r="P2375">
        <v>-6.7115475510220707E-2</v>
      </c>
      <c r="Q2375">
        <v>0.39987694951549102</v>
      </c>
      <c r="R2375">
        <v>0.97036900960766204</v>
      </c>
      <c r="S2375" t="s">
        <v>6207</v>
      </c>
      <c r="T2375" t="s">
        <v>7662</v>
      </c>
      <c r="U2375" t="s">
        <v>7662</v>
      </c>
      <c r="V2375" t="s">
        <v>7662</v>
      </c>
      <c r="W2375">
        <v>6</v>
      </c>
      <c r="X2375" t="s">
        <v>10037</v>
      </c>
      <c r="Y2375">
        <v>0.62535886348340219</v>
      </c>
      <c r="Z2375" t="str">
        <f>HYPERLINK("Melting_Curves/meltCurve_sp_Q96I25_SPF45_HUMAN_.pdf", "Melting_Curves/meltCurve_sp_Q96I25_SPF45_HUMAN_.pdf")</f>
        <v>Melting_Curves/meltCurve_sp_Q96I25_SPF45_HUMAN_.pdf</v>
      </c>
      <c r="AA2375" t="s">
        <v>13835</v>
      </c>
      <c r="AB2375" t="s">
        <v>17615</v>
      </c>
    </row>
    <row r="2376" spans="1:28" x14ac:dyDescent="0.25">
      <c r="A2376" t="s">
        <v>2380</v>
      </c>
      <c r="B2376">
        <v>0.98876768158843997</v>
      </c>
      <c r="C2376">
        <v>1.1128726168467</v>
      </c>
      <c r="D2376">
        <v>0.76925053019285405</v>
      </c>
      <c r="E2376">
        <v>0.529134775227176</v>
      </c>
      <c r="F2376">
        <v>0.38919133286957203</v>
      </c>
      <c r="G2376">
        <v>0.251916175631756</v>
      </c>
      <c r="H2376">
        <v>0.14485731495145601</v>
      </c>
      <c r="I2376">
        <v>8.7931004116495001E-2</v>
      </c>
      <c r="J2376">
        <v>5.8521709110931998E-2</v>
      </c>
      <c r="K2376">
        <v>4.8370268993605199E-2</v>
      </c>
      <c r="L2376">
        <v>760.31407058542698</v>
      </c>
      <c r="M2376">
        <v>15.014252330138101</v>
      </c>
      <c r="N2376">
        <v>51.040219248343</v>
      </c>
      <c r="O2376">
        <v>49.766639756371397</v>
      </c>
      <c r="P2376">
        <v>-7.1236989777897705E-2</v>
      </c>
      <c r="Q2376">
        <v>5.5598981060505398E-2</v>
      </c>
      <c r="R2376">
        <v>0.97251947264232996</v>
      </c>
      <c r="S2376" t="s">
        <v>6208</v>
      </c>
      <c r="T2376" t="s">
        <v>7662</v>
      </c>
      <c r="U2376" t="s">
        <v>7662</v>
      </c>
      <c r="V2376" t="s">
        <v>7662</v>
      </c>
      <c r="W2376">
        <v>3</v>
      </c>
      <c r="X2376" t="s">
        <v>10038</v>
      </c>
      <c r="Y2376">
        <v>0.41256383175351402</v>
      </c>
      <c r="Z2376" t="str">
        <f>HYPERLINK("Melting_Curves/meltCurve_sp_Q96I51_WBS16_HUMAN_.pdf", "Melting_Curves/meltCurve_sp_Q96I51_WBS16_HUMAN_.pdf")</f>
        <v>Melting_Curves/meltCurve_sp_Q96I51_WBS16_HUMAN_.pdf</v>
      </c>
      <c r="AA2376" t="s">
        <v>13836</v>
      </c>
      <c r="AB2376" t="s">
        <v>17616</v>
      </c>
    </row>
    <row r="2377" spans="1:28" x14ac:dyDescent="0.25">
      <c r="A2377" t="s">
        <v>2381</v>
      </c>
      <c r="B2377">
        <v>0.98876768158843997</v>
      </c>
      <c r="C2377">
        <v>0.79910537688794403</v>
      </c>
      <c r="D2377">
        <v>0.66712918679345501</v>
      </c>
      <c r="E2377">
        <v>0.23199272711639801</v>
      </c>
      <c r="F2377">
        <v>0.13069890237699699</v>
      </c>
      <c r="G2377">
        <v>6.9404553796858406E-2</v>
      </c>
      <c r="H2377">
        <v>4.2288557037473903E-2</v>
      </c>
      <c r="I2377">
        <v>3.7498008529169201E-2</v>
      </c>
      <c r="J2377">
        <v>3.9197706189763898E-2</v>
      </c>
      <c r="K2377">
        <v>3.86605274531047E-2</v>
      </c>
      <c r="L2377">
        <v>894.98582823559104</v>
      </c>
      <c r="M2377">
        <v>19.0492491589177</v>
      </c>
      <c r="N2377">
        <v>47.144829842333003</v>
      </c>
      <c r="O2377">
        <v>46.474156929678401</v>
      </c>
      <c r="P2377">
        <v>-9.9227971542682897E-2</v>
      </c>
      <c r="Q2377">
        <v>3.1698450410628597E-2</v>
      </c>
      <c r="R2377">
        <v>0.99276749027918798</v>
      </c>
      <c r="S2377" t="s">
        <v>6209</v>
      </c>
      <c r="T2377" t="s">
        <v>7662</v>
      </c>
      <c r="U2377" t="s">
        <v>7662</v>
      </c>
      <c r="V2377" t="s">
        <v>7662</v>
      </c>
      <c r="W2377">
        <v>8</v>
      </c>
      <c r="X2377" t="s">
        <v>10039</v>
      </c>
      <c r="Y2377">
        <v>0.272872589144663</v>
      </c>
      <c r="Z2377" t="str">
        <f>HYPERLINK("Melting_Curves/meltCurve_sp_Q96I59_SYNM_HUMAN_.pdf", "Melting_Curves/meltCurve_sp_Q96I59_SYNM_HUMAN_.pdf")</f>
        <v>Melting_Curves/meltCurve_sp_Q96I59_SYNM_HUMAN_.pdf</v>
      </c>
      <c r="AA2377" t="s">
        <v>13837</v>
      </c>
      <c r="AB2377" t="s">
        <v>17617</v>
      </c>
    </row>
    <row r="2378" spans="1:28" x14ac:dyDescent="0.25">
      <c r="A2378" t="s">
        <v>2382</v>
      </c>
      <c r="B2378">
        <v>0.98876768158843997</v>
      </c>
      <c r="C2378">
        <v>0.76405471140461001</v>
      </c>
      <c r="D2378">
        <v>0.88884869510653497</v>
      </c>
      <c r="E2378">
        <v>0.65659011114237997</v>
      </c>
      <c r="F2378">
        <v>0.15710883424102601</v>
      </c>
      <c r="G2378">
        <v>6.99423870128658E-2</v>
      </c>
      <c r="H2378">
        <v>3.7778501740175101E-2</v>
      </c>
      <c r="I2378">
        <v>3.4994426748005902E-2</v>
      </c>
      <c r="J2378">
        <v>3.6509564579282401E-2</v>
      </c>
      <c r="K2378">
        <v>3.3110319557749603E-2</v>
      </c>
      <c r="L2378">
        <v>1849.94645287913</v>
      </c>
      <c r="M2378">
        <v>36.535208612256</v>
      </c>
      <c r="N2378">
        <v>50.733958708795797</v>
      </c>
      <c r="O2378">
        <v>50.483643278772298</v>
      </c>
      <c r="P2378">
        <v>-0.17468246566160001</v>
      </c>
      <c r="Q2378">
        <v>3.4511542181014397E-2</v>
      </c>
      <c r="R2378">
        <v>0.95562774994605404</v>
      </c>
      <c r="S2378" t="s">
        <v>6210</v>
      </c>
      <c r="T2378" t="s">
        <v>7662</v>
      </c>
      <c r="U2378" t="s">
        <v>7662</v>
      </c>
      <c r="V2378" t="s">
        <v>7662</v>
      </c>
      <c r="W2378">
        <v>28</v>
      </c>
      <c r="X2378" t="s">
        <v>10040</v>
      </c>
      <c r="Y2378">
        <v>0.38082176902157272</v>
      </c>
      <c r="Z2378" t="str">
        <f>HYPERLINK("Melting_Curves/meltCurve_sp_Q96I99_SUCB2_HUMAN_.pdf", "Melting_Curves/meltCurve_sp_Q96I99_SUCB2_HUMAN_.pdf")</f>
        <v>Melting_Curves/meltCurve_sp_Q96I99_SUCB2_HUMAN_.pdf</v>
      </c>
      <c r="AA2378" t="s">
        <v>13838</v>
      </c>
      <c r="AB2378" t="s">
        <v>17618</v>
      </c>
    </row>
    <row r="2379" spans="1:28" x14ac:dyDescent="0.25">
      <c r="A2379" t="s">
        <v>2383</v>
      </c>
      <c r="B2379">
        <v>0.98876768158843997</v>
      </c>
      <c r="C2379">
        <v>0.909906492048141</v>
      </c>
      <c r="D2379">
        <v>0.81959821814791001</v>
      </c>
      <c r="E2379">
        <v>0.65416932549046902</v>
      </c>
      <c r="F2379">
        <v>0.62353610329470499</v>
      </c>
      <c r="G2379">
        <v>0.33879651334261901</v>
      </c>
      <c r="H2379">
        <v>0.27815183462469301</v>
      </c>
      <c r="I2379">
        <v>0.35577731318386502</v>
      </c>
      <c r="J2379">
        <v>0.41729049915973399</v>
      </c>
      <c r="K2379">
        <v>0.39538938223769599</v>
      </c>
      <c r="L2379">
        <v>716.110870556848</v>
      </c>
      <c r="M2379">
        <v>14.427329090752201</v>
      </c>
      <c r="N2379">
        <v>53.807158206576197</v>
      </c>
      <c r="O2379">
        <v>48.711333848902399</v>
      </c>
      <c r="P2379">
        <v>-4.9126269514072098E-2</v>
      </c>
      <c r="Q2379">
        <v>0.33661332810678701</v>
      </c>
      <c r="R2379">
        <v>0.94159136571484903</v>
      </c>
      <c r="S2379" t="s">
        <v>6211</v>
      </c>
      <c r="T2379" t="s">
        <v>7662</v>
      </c>
      <c r="U2379" t="s">
        <v>7662</v>
      </c>
      <c r="V2379" t="s">
        <v>7662</v>
      </c>
      <c r="W2379">
        <v>1</v>
      </c>
      <c r="X2379" t="s">
        <v>10041</v>
      </c>
      <c r="Y2379">
        <v>0.56685628607646044</v>
      </c>
      <c r="Z2379" t="str">
        <f>HYPERLINK("Melting_Curves/meltCurve_sp_Q96IF1_AJUBA_HUMAN_.pdf", "Melting_Curves/meltCurve_sp_Q96IF1_AJUBA_HUMAN_.pdf")</f>
        <v>Melting_Curves/meltCurve_sp_Q96IF1_AJUBA_HUMAN_.pdf</v>
      </c>
      <c r="AA2379" t="s">
        <v>13839</v>
      </c>
      <c r="AB2379" t="s">
        <v>17619</v>
      </c>
    </row>
    <row r="2380" spans="1:28" x14ac:dyDescent="0.25">
      <c r="A2380" t="s">
        <v>2384</v>
      </c>
      <c r="B2380">
        <v>0.98876768158843997</v>
      </c>
      <c r="C2380">
        <v>0.919179222542021</v>
      </c>
      <c r="D2380">
        <v>0.77439869221396396</v>
      </c>
      <c r="E2380">
        <v>0.48651780181772902</v>
      </c>
      <c r="F2380">
        <v>0.189977878188897</v>
      </c>
      <c r="G2380">
        <v>8.3553724791785203E-2</v>
      </c>
      <c r="H2380">
        <v>5.50670858774438E-2</v>
      </c>
      <c r="I2380">
        <v>3.47484428079795E-2</v>
      </c>
      <c r="J2380">
        <v>7.2455378264973794E-2</v>
      </c>
      <c r="K2380">
        <v>4.8853526775696703E-2</v>
      </c>
      <c r="L2380">
        <v>932.79347042420397</v>
      </c>
      <c r="M2380">
        <v>18.985774194973899</v>
      </c>
      <c r="N2380">
        <v>49.322781403150103</v>
      </c>
      <c r="O2380">
        <v>48.595848610293203</v>
      </c>
      <c r="P2380">
        <v>-9.4203368485856101E-2</v>
      </c>
      <c r="Q2380">
        <v>3.5549591539117499E-2</v>
      </c>
      <c r="R2380">
        <v>0.99555560005264399</v>
      </c>
      <c r="S2380" t="s">
        <v>6212</v>
      </c>
      <c r="T2380" t="s">
        <v>7662</v>
      </c>
      <c r="U2380" t="s">
        <v>7662</v>
      </c>
      <c r="V2380" t="s">
        <v>7662</v>
      </c>
      <c r="W2380">
        <v>11</v>
      </c>
      <c r="X2380" t="s">
        <v>10042</v>
      </c>
      <c r="Y2380">
        <v>0.34408665662657378</v>
      </c>
      <c r="Z2380" t="str">
        <f>HYPERLINK("Melting_Curves/meltCurve_sp_Q96IJ6_GMPPA_HUMAN_.pdf", "Melting_Curves/meltCurve_sp_Q96IJ6_GMPPA_HUMAN_.pdf")</f>
        <v>Melting_Curves/meltCurve_sp_Q96IJ6_GMPPA_HUMAN_.pdf</v>
      </c>
      <c r="AA2380" t="s">
        <v>13840</v>
      </c>
      <c r="AB2380" t="s">
        <v>17620</v>
      </c>
    </row>
    <row r="2381" spans="1:28" x14ac:dyDescent="0.25">
      <c r="A2381" t="s">
        <v>2385</v>
      </c>
      <c r="B2381">
        <v>0.98876768158843997</v>
      </c>
      <c r="C2381">
        <v>1.11753627726802</v>
      </c>
      <c r="D2381">
        <v>0.82779604461088896</v>
      </c>
      <c r="E2381">
        <v>0.72701782001907</v>
      </c>
      <c r="F2381">
        <v>0.79413000681346302</v>
      </c>
      <c r="G2381">
        <v>0.38186721010375102</v>
      </c>
      <c r="H2381">
        <v>0.145480305890337</v>
      </c>
      <c r="I2381">
        <v>0.12115713378316401</v>
      </c>
      <c r="J2381">
        <v>0.110920697849456</v>
      </c>
      <c r="K2381">
        <v>9.0148915926924394E-2</v>
      </c>
      <c r="L2381">
        <v>812.12344387040901</v>
      </c>
      <c r="M2381">
        <v>14.712282115156301</v>
      </c>
      <c r="N2381">
        <v>55.350624913439098</v>
      </c>
      <c r="O2381">
        <v>54.210621242833803</v>
      </c>
      <c r="P2381">
        <v>-6.6526755775295807E-2</v>
      </c>
      <c r="Q2381">
        <v>1.9577375194678899E-2</v>
      </c>
      <c r="R2381">
        <v>0.95334883719822205</v>
      </c>
      <c r="S2381" t="s">
        <v>6213</v>
      </c>
      <c r="T2381" t="s">
        <v>7662</v>
      </c>
      <c r="U2381" t="s">
        <v>7662</v>
      </c>
      <c r="V2381" t="s">
        <v>7662</v>
      </c>
      <c r="W2381">
        <v>8</v>
      </c>
      <c r="X2381" t="s">
        <v>10043</v>
      </c>
      <c r="Y2381">
        <v>0.53533269585582721</v>
      </c>
      <c r="Z2381" t="str">
        <f>HYPERLINK("Melting_Curves/meltCurve_sp_Q96IU4_ABHEB_HUMAN_.pdf", "Melting_Curves/meltCurve_sp_Q96IU4_ABHEB_HUMAN_.pdf")</f>
        <v>Melting_Curves/meltCurve_sp_Q96IU4_ABHEB_HUMAN_.pdf</v>
      </c>
      <c r="AA2381" t="s">
        <v>13841</v>
      </c>
      <c r="AB2381" t="s">
        <v>17621</v>
      </c>
    </row>
    <row r="2382" spans="1:28" x14ac:dyDescent="0.25">
      <c r="A2382" t="s">
        <v>2386</v>
      </c>
      <c r="B2382">
        <v>0.98876768158843997</v>
      </c>
      <c r="C2382">
        <v>0.94209024813126996</v>
      </c>
      <c r="D2382">
        <v>0.85493960671331504</v>
      </c>
      <c r="E2382">
        <v>0.73661654479421501</v>
      </c>
      <c r="F2382">
        <v>0.65352601170239599</v>
      </c>
      <c r="G2382">
        <v>0.41720553281294298</v>
      </c>
      <c r="H2382">
        <v>0.31566558935987199</v>
      </c>
      <c r="I2382">
        <v>0.27340074920492102</v>
      </c>
      <c r="J2382">
        <v>0.45119037362667203</v>
      </c>
      <c r="K2382">
        <v>0.286300595325855</v>
      </c>
      <c r="L2382">
        <v>701.91270459579198</v>
      </c>
      <c r="M2382">
        <v>13.5389538206773</v>
      </c>
      <c r="N2382">
        <v>55.354485485774603</v>
      </c>
      <c r="O2382">
        <v>50.752109171512103</v>
      </c>
      <c r="P2382">
        <v>-4.7482944099815801E-2</v>
      </c>
      <c r="Q2382">
        <v>0.28812928005706201</v>
      </c>
      <c r="R2382">
        <v>0.95457516747249604</v>
      </c>
      <c r="S2382" t="s">
        <v>6214</v>
      </c>
      <c r="T2382" t="s">
        <v>7662</v>
      </c>
      <c r="U2382" t="s">
        <v>7662</v>
      </c>
      <c r="V2382" t="s">
        <v>7662</v>
      </c>
      <c r="W2382">
        <v>3</v>
      </c>
      <c r="X2382" t="s">
        <v>10044</v>
      </c>
      <c r="Y2382">
        <v>0.58782385044491614</v>
      </c>
      <c r="Z2382" t="str">
        <f>HYPERLINK("Melting_Curves/meltCurve_sp_Q96IV0_3_NGLY1_HUMAN_.pdf", "Melting_Curves/meltCurve_sp_Q96IV0_3_NGLY1_HUMAN_.pdf")</f>
        <v>Melting_Curves/meltCurve_sp_Q96IV0_3_NGLY1_HUMAN_.pdf</v>
      </c>
      <c r="AA2382" t="s">
        <v>13842</v>
      </c>
      <c r="AB2382" t="s">
        <v>17622</v>
      </c>
    </row>
    <row r="2383" spans="1:28" x14ac:dyDescent="0.25">
      <c r="A2383" t="s">
        <v>2387</v>
      </c>
      <c r="B2383">
        <v>0.98876768158843997</v>
      </c>
      <c r="C2383">
        <v>1.11469627646261</v>
      </c>
      <c r="D2383">
        <v>0.87761899619167905</v>
      </c>
      <c r="E2383">
        <v>0.74459882561171398</v>
      </c>
      <c r="F2383">
        <v>0.72802280747521897</v>
      </c>
      <c r="G2383">
        <v>0.65100809424364303</v>
      </c>
      <c r="H2383">
        <v>0.518481588123201</v>
      </c>
      <c r="I2383">
        <v>0.655276223488229</v>
      </c>
      <c r="J2383">
        <v>0.75378148025321301</v>
      </c>
      <c r="K2383">
        <v>0.84432266754539298</v>
      </c>
      <c r="L2383">
        <v>11517.301572087201</v>
      </c>
      <c r="M2383">
        <v>250</v>
      </c>
      <c r="O2383">
        <v>46.066277198259399</v>
      </c>
      <c r="P2383">
        <v>-0.40789622456535801</v>
      </c>
      <c r="Q2383">
        <v>0.69935595498723802</v>
      </c>
      <c r="R2383">
        <v>0.71843956205278803</v>
      </c>
      <c r="S2383" t="s">
        <v>6215</v>
      </c>
      <c r="T2383" t="s">
        <v>7662</v>
      </c>
      <c r="U2383" t="s">
        <v>7662</v>
      </c>
      <c r="V2383" t="s">
        <v>7662</v>
      </c>
      <c r="W2383">
        <v>7</v>
      </c>
      <c r="X2383" t="s">
        <v>10045</v>
      </c>
      <c r="Y2383">
        <v>0.76020261989891125</v>
      </c>
      <c r="Z2383" t="str">
        <f>HYPERLINK("Melting_Curves/meltCurve_sp_Q96IZ0_PAWR_HUMAN_.pdf", "Melting_Curves/meltCurve_sp_Q96IZ0_PAWR_HUMAN_.pdf")</f>
        <v>Melting_Curves/meltCurve_sp_Q96IZ0_PAWR_HUMAN_.pdf</v>
      </c>
      <c r="AA2383" t="s">
        <v>13843</v>
      </c>
      <c r="AB2383" t="s">
        <v>17623</v>
      </c>
    </row>
    <row r="2384" spans="1:28" x14ac:dyDescent="0.25">
      <c r="A2384" t="s">
        <v>2388</v>
      </c>
      <c r="B2384">
        <v>0.98876768158843997</v>
      </c>
      <c r="C2384">
        <v>1.0821848925587301</v>
      </c>
      <c r="D2384">
        <v>0.87497712358728497</v>
      </c>
      <c r="E2384">
        <v>0.69447481223076402</v>
      </c>
      <c r="F2384">
        <v>0.64670952029251105</v>
      </c>
      <c r="G2384">
        <v>0.38982113206326202</v>
      </c>
      <c r="H2384">
        <v>0.22616984705422299</v>
      </c>
      <c r="I2384">
        <v>0.155745543208686</v>
      </c>
      <c r="J2384">
        <v>0.11442193338065899</v>
      </c>
      <c r="K2384">
        <v>7.0833596346273398E-2</v>
      </c>
      <c r="L2384">
        <v>650.38194081906897</v>
      </c>
      <c r="M2384">
        <v>11.8750058639937</v>
      </c>
      <c r="N2384">
        <v>54.819997814048598</v>
      </c>
      <c r="O2384">
        <v>53.285088068617902</v>
      </c>
      <c r="P2384">
        <v>-5.5422224060464098E-2</v>
      </c>
      <c r="Q2384">
        <v>5.4954351280502396E-3</v>
      </c>
      <c r="R2384">
        <v>0.98380678114604903</v>
      </c>
      <c r="S2384" t="s">
        <v>6216</v>
      </c>
      <c r="T2384" t="s">
        <v>7662</v>
      </c>
      <c r="U2384" t="s">
        <v>7662</v>
      </c>
      <c r="V2384" t="s">
        <v>7662</v>
      </c>
      <c r="W2384">
        <v>6</v>
      </c>
      <c r="X2384" t="s">
        <v>10046</v>
      </c>
      <c r="Y2384">
        <v>0.5192430165282006</v>
      </c>
      <c r="Z2384" t="str">
        <f>HYPERLINK("Melting_Curves/meltCurve_sp_Q96J02_2_ITCH_HUMAN_.pdf", "Melting_Curves/meltCurve_sp_Q96J02_2_ITCH_HUMAN_.pdf")</f>
        <v>Melting_Curves/meltCurve_sp_Q96J02_2_ITCH_HUMAN_.pdf</v>
      </c>
      <c r="AA2384" t="s">
        <v>13844</v>
      </c>
      <c r="AB2384" t="s">
        <v>17624</v>
      </c>
    </row>
    <row r="2385" spans="1:28" x14ac:dyDescent="0.25">
      <c r="A2385" t="s">
        <v>2389</v>
      </c>
      <c r="B2385">
        <v>0.98876768158843997</v>
      </c>
      <c r="C2385">
        <v>0.86013560139355405</v>
      </c>
      <c r="D2385">
        <v>0.85477343095706504</v>
      </c>
      <c r="E2385">
        <v>0.36444267274791098</v>
      </c>
      <c r="F2385">
        <v>0.25461693392721102</v>
      </c>
      <c r="G2385">
        <v>0.139207320409723</v>
      </c>
      <c r="H2385">
        <v>9.5290439022092305E-2</v>
      </c>
      <c r="I2385">
        <v>8.4929619229122802E-2</v>
      </c>
      <c r="J2385">
        <v>0.10345554435458899</v>
      </c>
      <c r="K2385">
        <v>0.127145922601477</v>
      </c>
      <c r="L2385">
        <v>1067.2440795905</v>
      </c>
      <c r="M2385">
        <v>21.9978997846287</v>
      </c>
      <c r="N2385">
        <v>49.021809445010597</v>
      </c>
      <c r="O2385">
        <v>48.120149208758697</v>
      </c>
      <c r="P2385">
        <v>-0.10267959082050999</v>
      </c>
      <c r="Q2385">
        <v>0.10157876002072901</v>
      </c>
      <c r="R2385">
        <v>0.98616372737896996</v>
      </c>
      <c r="S2385" t="s">
        <v>6217</v>
      </c>
      <c r="T2385" t="s">
        <v>7662</v>
      </c>
      <c r="U2385" t="s">
        <v>7662</v>
      </c>
      <c r="V2385" t="s">
        <v>7662</v>
      </c>
      <c r="W2385">
        <v>4</v>
      </c>
      <c r="X2385" t="s">
        <v>10047</v>
      </c>
      <c r="Y2385">
        <v>0.36698082749197791</v>
      </c>
      <c r="Z2385" t="str">
        <f>HYPERLINK("Melting_Curves/meltCurve_sp_Q96JB2_COG3_HUMAN_.pdf", "Melting_Curves/meltCurve_sp_Q96JB2_COG3_HUMAN_.pdf")</f>
        <v>Melting_Curves/meltCurve_sp_Q96JB2_COG3_HUMAN_.pdf</v>
      </c>
      <c r="AA2385" t="s">
        <v>13845</v>
      </c>
      <c r="AB2385" t="s">
        <v>17625</v>
      </c>
    </row>
    <row r="2386" spans="1:28" x14ac:dyDescent="0.25">
      <c r="A2386" t="s">
        <v>2390</v>
      </c>
      <c r="B2386">
        <v>0.98876768158843997</v>
      </c>
      <c r="C2386">
        <v>0.92203890748216899</v>
      </c>
      <c r="D2386">
        <v>0.89088959427293801</v>
      </c>
      <c r="E2386">
        <v>0.52903773294068401</v>
      </c>
      <c r="F2386">
        <v>0.16410701932902799</v>
      </c>
      <c r="G2386">
        <v>8.8888844528160593E-2</v>
      </c>
      <c r="H2386">
        <v>5.7273011717262401E-2</v>
      </c>
      <c r="I2386">
        <v>5.6724606175384197E-2</v>
      </c>
      <c r="J2386">
        <v>5.5738327278661799E-2</v>
      </c>
      <c r="K2386">
        <v>4.69122251524106E-2</v>
      </c>
      <c r="L2386">
        <v>1345.6159490758801</v>
      </c>
      <c r="M2386">
        <v>27.020037217518801</v>
      </c>
      <c r="N2386">
        <v>49.9908157270172</v>
      </c>
      <c r="O2386">
        <v>49.530301241299803</v>
      </c>
      <c r="P2386">
        <v>-0.12972255939206601</v>
      </c>
      <c r="Q2386">
        <v>4.8834474333941703E-2</v>
      </c>
      <c r="R2386">
        <v>0.995057502006092</v>
      </c>
      <c r="S2386" t="s">
        <v>6218</v>
      </c>
      <c r="T2386" t="s">
        <v>7662</v>
      </c>
      <c r="U2386" t="s">
        <v>7662</v>
      </c>
      <c r="V2386" t="s">
        <v>7662</v>
      </c>
      <c r="W2386">
        <v>8</v>
      </c>
      <c r="X2386" t="s">
        <v>10048</v>
      </c>
      <c r="Y2386">
        <v>0.36681983915579303</v>
      </c>
      <c r="Z2386" t="str">
        <f>HYPERLINK("Melting_Curves/meltCurve_sp_Q96JB5_2_CK5P3_HUMAN_.pdf", "Melting_Curves/meltCurve_sp_Q96JB5_2_CK5P3_HUMAN_.pdf")</f>
        <v>Melting_Curves/meltCurve_sp_Q96JB5_2_CK5P3_HUMAN_.pdf</v>
      </c>
      <c r="AA2386" t="s">
        <v>13846</v>
      </c>
      <c r="AB2386" t="s">
        <v>17626</v>
      </c>
    </row>
    <row r="2387" spans="1:28" x14ac:dyDescent="0.25">
      <c r="A2387" t="s">
        <v>2391</v>
      </c>
      <c r="B2387">
        <v>0.98876768158843997</v>
      </c>
      <c r="C2387">
        <v>0.91247526214789798</v>
      </c>
      <c r="D2387">
        <v>0.91345795895003101</v>
      </c>
      <c r="E2387">
        <v>0.63945143354184697</v>
      </c>
      <c r="F2387">
        <v>0.31714567891597301</v>
      </c>
      <c r="G2387">
        <v>0.127263191928776</v>
      </c>
      <c r="H2387">
        <v>8.8236500943629795E-2</v>
      </c>
      <c r="I2387">
        <v>8.0641283096215696E-2</v>
      </c>
      <c r="J2387">
        <v>8.8036426991647806E-2</v>
      </c>
      <c r="K2387">
        <v>9.6114804376196503E-2</v>
      </c>
      <c r="L2387">
        <v>1190.80195661941</v>
      </c>
      <c r="M2387">
        <v>23.461871379840399</v>
      </c>
      <c r="N2387">
        <v>51.120281065169003</v>
      </c>
      <c r="O2387">
        <v>50.390360414036103</v>
      </c>
      <c r="P2387">
        <v>-0.107414329174657</v>
      </c>
      <c r="Q2387">
        <v>7.7217143339911795E-2</v>
      </c>
      <c r="R2387">
        <v>0.99496733705329299</v>
      </c>
      <c r="S2387" t="s">
        <v>6219</v>
      </c>
      <c r="T2387" t="s">
        <v>7662</v>
      </c>
      <c r="U2387" t="s">
        <v>7662</v>
      </c>
      <c r="V2387" t="s">
        <v>7662</v>
      </c>
      <c r="W2387">
        <v>6</v>
      </c>
      <c r="X2387" t="s">
        <v>10049</v>
      </c>
      <c r="Y2387">
        <v>0.41744926118265452</v>
      </c>
      <c r="Z2387" t="str">
        <f>HYPERLINK("Melting_Curves/meltCurve_sp_Q96JE7_SC16B_HUMAN_.pdf", "Melting_Curves/meltCurve_sp_Q96JE7_SC16B_HUMAN_.pdf")</f>
        <v>Melting_Curves/meltCurve_sp_Q96JE7_SC16B_HUMAN_.pdf</v>
      </c>
      <c r="AA2387" t="s">
        <v>13847</v>
      </c>
      <c r="AB2387" t="s">
        <v>17627</v>
      </c>
    </row>
    <row r="2388" spans="1:28" x14ac:dyDescent="0.25">
      <c r="A2388" t="s">
        <v>2392</v>
      </c>
      <c r="B2388">
        <v>0.98876768158843997</v>
      </c>
      <c r="C2388">
        <v>0.95395154468057397</v>
      </c>
      <c r="D2388">
        <v>0.95486983654201096</v>
      </c>
      <c r="E2388">
        <v>0.69949660207539899</v>
      </c>
      <c r="F2388">
        <v>0.17699333216290999</v>
      </c>
      <c r="G2388">
        <v>9.7396005952555306E-2</v>
      </c>
      <c r="H2388">
        <v>6.8448275592589494E-2</v>
      </c>
      <c r="I2388">
        <v>4.5126481433835103E-2</v>
      </c>
      <c r="J2388">
        <v>0.106368684662945</v>
      </c>
      <c r="K2388">
        <v>8.6401084872342299E-2</v>
      </c>
      <c r="L2388">
        <v>2449.3063602258799</v>
      </c>
      <c r="M2388">
        <v>48.278140672732597</v>
      </c>
      <c r="N2388">
        <v>50.914446889372599</v>
      </c>
      <c r="O2388">
        <v>50.646411433409099</v>
      </c>
      <c r="P2388">
        <v>-0.21949784633934</v>
      </c>
      <c r="Q2388">
        <v>7.8939758180577996E-2</v>
      </c>
      <c r="R2388">
        <v>0.99624530606065698</v>
      </c>
      <c r="S2388" t="s">
        <v>6220</v>
      </c>
      <c r="T2388" t="s">
        <v>7662</v>
      </c>
      <c r="U2388" t="s">
        <v>7662</v>
      </c>
      <c r="V2388" t="s">
        <v>7662</v>
      </c>
      <c r="W2388">
        <v>3</v>
      </c>
      <c r="X2388" t="s">
        <v>10050</v>
      </c>
      <c r="Y2388">
        <v>0.41068339196169268</v>
      </c>
      <c r="Z2388" t="str">
        <f>HYPERLINK("Melting_Curves/meltCurve_sp_Q96JG6_3_CC132_HUMAN_.pdf", "Melting_Curves/meltCurve_sp_Q96JG6_3_CC132_HUMAN_.pdf")</f>
        <v>Melting_Curves/meltCurve_sp_Q96JG6_3_CC132_HUMAN_.pdf</v>
      </c>
      <c r="AA2388" t="s">
        <v>13848</v>
      </c>
      <c r="AB2388" t="s">
        <v>17628</v>
      </c>
    </row>
    <row r="2389" spans="1:28" x14ac:dyDescent="0.25">
      <c r="A2389" t="s">
        <v>2393</v>
      </c>
      <c r="B2389">
        <v>0.98876768158843997</v>
      </c>
      <c r="C2389">
        <v>1.30216715081017</v>
      </c>
      <c r="D2389">
        <v>0.77409620766967802</v>
      </c>
      <c r="E2389">
        <v>0.65728268142235802</v>
      </c>
      <c r="F2389">
        <v>1.1492577289518999</v>
      </c>
      <c r="G2389">
        <v>0.66017257705418697</v>
      </c>
      <c r="H2389">
        <v>0.49373391972087499</v>
      </c>
      <c r="I2389">
        <v>0.57604333487008996</v>
      </c>
      <c r="J2389">
        <v>0.81078855593201804</v>
      </c>
      <c r="K2389">
        <v>0.84876773701957298</v>
      </c>
      <c r="L2389">
        <v>774.07512338957201</v>
      </c>
      <c r="M2389">
        <v>15.4269347764297</v>
      </c>
      <c r="O2389">
        <v>49.356380614189803</v>
      </c>
      <c r="P2389">
        <v>-2.3784181560927799E-2</v>
      </c>
      <c r="Q2389">
        <v>0.69565038630820797</v>
      </c>
      <c r="R2389">
        <v>0.31301303507508099</v>
      </c>
      <c r="S2389" t="s">
        <v>6221</v>
      </c>
      <c r="T2389" t="s">
        <v>7662</v>
      </c>
      <c r="U2389" t="s">
        <v>7662</v>
      </c>
      <c r="V2389" t="s">
        <v>7662</v>
      </c>
      <c r="W2389">
        <v>3</v>
      </c>
      <c r="X2389" t="s">
        <v>10051</v>
      </c>
      <c r="Y2389">
        <v>0.80576278848701122</v>
      </c>
      <c r="Z2389" t="str">
        <f>HYPERLINK("Melting_Curves/meltCurve_sp_Q96JH7_VCIP1_HUMAN_.pdf", "Melting_Curves/meltCurve_sp_Q96JH7_VCIP1_HUMAN_.pdf")</f>
        <v>Melting_Curves/meltCurve_sp_Q96JH7_VCIP1_HUMAN_.pdf</v>
      </c>
      <c r="AA2389" t="s">
        <v>13849</v>
      </c>
      <c r="AB2389" t="s">
        <v>17629</v>
      </c>
    </row>
    <row r="2390" spans="1:28" x14ac:dyDescent="0.25">
      <c r="A2390" t="s">
        <v>2394</v>
      </c>
      <c r="B2390">
        <v>0.98876768158843997</v>
      </c>
      <c r="C2390">
        <v>0.99997507659090501</v>
      </c>
      <c r="D2390">
        <v>0.92063159311056697</v>
      </c>
      <c r="E2390">
        <v>0.54977858162762205</v>
      </c>
      <c r="F2390">
        <v>0.398533397110585</v>
      </c>
      <c r="G2390">
        <v>0.29332675713659701</v>
      </c>
      <c r="H2390">
        <v>0.208381512683944</v>
      </c>
      <c r="I2390">
        <v>0.18988088009992701</v>
      </c>
      <c r="J2390">
        <v>0.44238753307154999</v>
      </c>
      <c r="K2390">
        <v>0.30738348945952998</v>
      </c>
      <c r="L2390">
        <v>1409.24510370187</v>
      </c>
      <c r="M2390">
        <v>28.647734738417601</v>
      </c>
      <c r="N2390">
        <v>50.715520328247898</v>
      </c>
      <c r="O2390">
        <v>48.954350513455999</v>
      </c>
      <c r="P2390">
        <v>-0.10408896066259</v>
      </c>
      <c r="Q2390">
        <v>0.28852040836942899</v>
      </c>
      <c r="R2390">
        <v>0.95492923846542599</v>
      </c>
      <c r="S2390" t="s">
        <v>6222</v>
      </c>
      <c r="T2390" t="s">
        <v>7662</v>
      </c>
      <c r="U2390" t="s">
        <v>7662</v>
      </c>
      <c r="V2390" t="s">
        <v>7662</v>
      </c>
      <c r="W2390">
        <v>2</v>
      </c>
      <c r="X2390" t="s">
        <v>10052</v>
      </c>
      <c r="Y2390">
        <v>0.51129792455848244</v>
      </c>
      <c r="Z2390" t="str">
        <f>HYPERLINK("Melting_Curves/meltCurve_sp_Q96JM3_CHAP1_HUMAN_.pdf", "Melting_Curves/meltCurve_sp_Q96JM3_CHAP1_HUMAN_.pdf")</f>
        <v>Melting_Curves/meltCurve_sp_Q96JM3_CHAP1_HUMAN_.pdf</v>
      </c>
      <c r="AA2390" t="s">
        <v>13850</v>
      </c>
      <c r="AB2390" t="s">
        <v>17630</v>
      </c>
    </row>
    <row r="2391" spans="1:28" x14ac:dyDescent="0.25">
      <c r="A2391" t="s">
        <v>2395</v>
      </c>
      <c r="B2391">
        <v>0.98876768158843997</v>
      </c>
      <c r="C2391">
        <v>1.13320750644812</v>
      </c>
      <c r="D2391">
        <v>0.90220488492489304</v>
      </c>
      <c r="E2391">
        <v>0.88295132822114097</v>
      </c>
      <c r="F2391">
        <v>1.00943381414286</v>
      </c>
      <c r="G2391">
        <v>0.73308214484781997</v>
      </c>
      <c r="H2391">
        <v>0.52850562740166096</v>
      </c>
      <c r="I2391">
        <v>0.73102102104225897</v>
      </c>
      <c r="J2391">
        <v>0.87467494394976197</v>
      </c>
      <c r="K2391">
        <v>1.25588799774575</v>
      </c>
      <c r="L2391">
        <v>1125.8651981568501</v>
      </c>
      <c r="M2391">
        <v>23.026561586786801</v>
      </c>
      <c r="O2391">
        <v>48.529921689202602</v>
      </c>
      <c r="P2391">
        <v>-1.8410833985057402E-2</v>
      </c>
      <c r="Q2391">
        <v>0.84479498670133202</v>
      </c>
      <c r="R2391">
        <v>0.13539554017490699</v>
      </c>
      <c r="S2391" t="s">
        <v>6223</v>
      </c>
      <c r="T2391" t="s">
        <v>7662</v>
      </c>
      <c r="U2391" t="s">
        <v>7662</v>
      </c>
      <c r="V2391" t="s">
        <v>7662</v>
      </c>
      <c r="W2391">
        <v>1</v>
      </c>
      <c r="X2391" t="s">
        <v>10053</v>
      </c>
      <c r="Y2391">
        <v>0.89243808760298959</v>
      </c>
      <c r="Z2391" t="str">
        <f>HYPERLINK("Melting_Curves/meltCurve_sp_Q96JP5_2_ZFP91_HUMAN_.pdf", "Melting_Curves/meltCurve_sp_Q96JP5_2_ZFP91_HUMAN_.pdf")</f>
        <v>Melting_Curves/meltCurve_sp_Q96JP5_2_ZFP91_HUMAN_.pdf</v>
      </c>
      <c r="AA2391" t="s">
        <v>13851</v>
      </c>
      <c r="AB2391" t="s">
        <v>17631</v>
      </c>
    </row>
    <row r="2392" spans="1:28" x14ac:dyDescent="0.25">
      <c r="A2392" t="s">
        <v>2396</v>
      </c>
      <c r="B2392">
        <v>0.98876768158843997</v>
      </c>
      <c r="C2392">
        <v>1.03448349913954</v>
      </c>
      <c r="D2392">
        <v>0.87612010043545996</v>
      </c>
      <c r="E2392">
        <v>0.68497944452934301</v>
      </c>
      <c r="F2392">
        <v>0.76465261913020099</v>
      </c>
      <c r="G2392">
        <v>0.54375686230342102</v>
      </c>
      <c r="H2392">
        <v>0.26690059341955003</v>
      </c>
      <c r="I2392">
        <v>0.20396316778997001</v>
      </c>
      <c r="J2392">
        <v>0.22292033259550201</v>
      </c>
      <c r="K2392">
        <v>0.225705866865341</v>
      </c>
      <c r="L2392">
        <v>613.64232088547794</v>
      </c>
      <c r="M2392">
        <v>11.0401730502159</v>
      </c>
      <c r="N2392">
        <v>56.612030918108502</v>
      </c>
      <c r="O2392">
        <v>53.852454221753</v>
      </c>
      <c r="P2392">
        <v>-4.6606726286202098E-2</v>
      </c>
      <c r="Q2392">
        <v>9.0937436520480502E-2</v>
      </c>
      <c r="R2392">
        <v>0.95669907229784701</v>
      </c>
      <c r="S2392" t="s">
        <v>6224</v>
      </c>
      <c r="T2392" t="s">
        <v>7662</v>
      </c>
      <c r="U2392" t="s">
        <v>7662</v>
      </c>
      <c r="V2392" t="s">
        <v>7662</v>
      </c>
      <c r="W2392">
        <v>14</v>
      </c>
      <c r="X2392" t="s">
        <v>10054</v>
      </c>
      <c r="Y2392">
        <v>0.58361521142259309</v>
      </c>
      <c r="Z2392" t="str">
        <f>HYPERLINK("Melting_Curves/meltCurve_sp_Q96JQ2_CLMN_HUMAN_.pdf", "Melting_Curves/meltCurve_sp_Q96JQ2_CLMN_HUMAN_.pdf")</f>
        <v>Melting_Curves/meltCurve_sp_Q96JQ2_CLMN_HUMAN_.pdf</v>
      </c>
      <c r="AA2392" t="s">
        <v>13852</v>
      </c>
      <c r="AB2392" t="s">
        <v>17632</v>
      </c>
    </row>
    <row r="2393" spans="1:28" x14ac:dyDescent="0.25">
      <c r="A2393" t="s">
        <v>2397</v>
      </c>
      <c r="B2393">
        <v>0.98876768158843997</v>
      </c>
      <c r="C2393">
        <v>1.0660260557019201</v>
      </c>
      <c r="D2393">
        <v>0.86373159992996196</v>
      </c>
      <c r="E2393">
        <v>0.68263688660780497</v>
      </c>
      <c r="F2393">
        <v>0.81184548633200404</v>
      </c>
      <c r="G2393">
        <v>0.59550132200009698</v>
      </c>
      <c r="H2393">
        <v>0.45999431992344397</v>
      </c>
      <c r="I2393">
        <v>0.51773885560650801</v>
      </c>
      <c r="J2393">
        <v>0.70166237569844003</v>
      </c>
      <c r="K2393">
        <v>0.75479272113787699</v>
      </c>
      <c r="L2393">
        <v>1024.6961340083601</v>
      </c>
      <c r="M2393">
        <v>21.2880414454212</v>
      </c>
      <c r="O2393">
        <v>47.716107926325897</v>
      </c>
      <c r="P2393">
        <v>-4.2424527470406197E-2</v>
      </c>
      <c r="Q2393">
        <v>0.619639622966765</v>
      </c>
      <c r="R2393">
        <v>0.71498565173168505</v>
      </c>
      <c r="S2393" t="s">
        <v>6225</v>
      </c>
      <c r="T2393" t="s">
        <v>7662</v>
      </c>
      <c r="U2393" t="s">
        <v>7662</v>
      </c>
      <c r="V2393" t="s">
        <v>7662</v>
      </c>
      <c r="W2393">
        <v>14</v>
      </c>
      <c r="X2393" t="s">
        <v>10055</v>
      </c>
      <c r="Y2393">
        <v>0.72750328997418456</v>
      </c>
      <c r="Z2393" t="str">
        <f>HYPERLINK("Melting_Curves/meltCurve_sp_Q96JY6_PDLI2_HUMAN_.pdf", "Melting_Curves/meltCurve_sp_Q96JY6_PDLI2_HUMAN_.pdf")</f>
        <v>Melting_Curves/meltCurve_sp_Q96JY6_PDLI2_HUMAN_.pdf</v>
      </c>
      <c r="AA2393" t="s">
        <v>13853</v>
      </c>
      <c r="AB2393" t="s">
        <v>17633</v>
      </c>
    </row>
    <row r="2394" spans="1:28" x14ac:dyDescent="0.25">
      <c r="A2394" t="s">
        <v>2398</v>
      </c>
      <c r="B2394">
        <v>0.98876768158843997</v>
      </c>
      <c r="C2394">
        <v>1.0266147912508601</v>
      </c>
      <c r="D2394">
        <v>0.84301109478879199</v>
      </c>
      <c r="E2394">
        <v>0.69213309966463699</v>
      </c>
      <c r="F2394">
        <v>0.761860599716086</v>
      </c>
      <c r="G2394">
        <v>0.56568546100920603</v>
      </c>
      <c r="H2394">
        <v>0.43069275762779202</v>
      </c>
      <c r="I2394">
        <v>0.47436375724375202</v>
      </c>
      <c r="J2394">
        <v>0.56394399843517495</v>
      </c>
      <c r="K2394">
        <v>0.63868390285149401</v>
      </c>
      <c r="L2394">
        <v>780.56143602153395</v>
      </c>
      <c r="M2394">
        <v>15.808075580371</v>
      </c>
      <c r="O2394">
        <v>48.607477652724597</v>
      </c>
      <c r="P2394">
        <v>-3.8421204737228203E-2</v>
      </c>
      <c r="Q2394">
        <v>0.52748097189185505</v>
      </c>
      <c r="R2394">
        <v>0.86060735165920299</v>
      </c>
      <c r="S2394" t="s">
        <v>6226</v>
      </c>
      <c r="T2394" t="s">
        <v>7662</v>
      </c>
      <c r="U2394" t="s">
        <v>7662</v>
      </c>
      <c r="V2394" t="s">
        <v>7662</v>
      </c>
      <c r="W2394">
        <v>4</v>
      </c>
      <c r="X2394" t="s">
        <v>10056</v>
      </c>
      <c r="Y2394">
        <v>0.68561533869538327</v>
      </c>
      <c r="Z2394" t="str">
        <f>HYPERLINK("Melting_Curves/meltCurve_sp_Q96KC8_DNJC1_HUMAN_.pdf", "Melting_Curves/meltCurve_sp_Q96KC8_DNJC1_HUMAN_.pdf")</f>
        <v>Melting_Curves/meltCurve_sp_Q96KC8_DNJC1_HUMAN_.pdf</v>
      </c>
      <c r="AA2394" t="s">
        <v>13854</v>
      </c>
      <c r="AB2394" t="s">
        <v>17634</v>
      </c>
    </row>
    <row r="2395" spans="1:28" x14ac:dyDescent="0.25">
      <c r="A2395" t="s">
        <v>2399</v>
      </c>
      <c r="B2395">
        <v>0.98876768158843997</v>
      </c>
      <c r="C2395">
        <v>0.98493399232474499</v>
      </c>
      <c r="D2395">
        <v>0.97259688065093397</v>
      </c>
      <c r="E2395">
        <v>0.75284301042921398</v>
      </c>
      <c r="F2395">
        <v>0.53697567866198603</v>
      </c>
      <c r="G2395">
        <v>0.151368910094836</v>
      </c>
      <c r="H2395">
        <v>0.101666394523131</v>
      </c>
      <c r="I2395">
        <v>9.1288722178239606E-2</v>
      </c>
      <c r="J2395">
        <v>0.131690608033041</v>
      </c>
      <c r="K2395">
        <v>0.114000432918754</v>
      </c>
      <c r="L2395">
        <v>1304.17618594186</v>
      </c>
      <c r="M2395">
        <v>24.877175869977101</v>
      </c>
      <c r="N2395">
        <v>52.8628406647926</v>
      </c>
      <c r="O2395">
        <v>52.089374024629599</v>
      </c>
      <c r="P2395">
        <v>-0.10827309195769</v>
      </c>
      <c r="Q2395">
        <v>9.3176763327265405E-2</v>
      </c>
      <c r="R2395">
        <v>0.99404460672455697</v>
      </c>
      <c r="S2395" t="s">
        <v>6227</v>
      </c>
      <c r="T2395" t="s">
        <v>7662</v>
      </c>
      <c r="U2395" t="s">
        <v>7662</v>
      </c>
      <c r="V2395" t="s">
        <v>7662</v>
      </c>
      <c r="W2395">
        <v>10</v>
      </c>
      <c r="X2395" t="s">
        <v>10057</v>
      </c>
      <c r="Y2395">
        <v>0.47713031245608339</v>
      </c>
      <c r="Z2395" t="str">
        <f>HYPERLINK("Melting_Curves/meltCurve_sp_Q96KG9_3_NTKL_HUMAN_.pdf", "Melting_Curves/meltCurve_sp_Q96KG9_3_NTKL_HUMAN_.pdf")</f>
        <v>Melting_Curves/meltCurve_sp_Q96KG9_3_NTKL_HUMAN_.pdf</v>
      </c>
      <c r="AA2395" t="s">
        <v>13855</v>
      </c>
      <c r="AB2395" t="s">
        <v>17635</v>
      </c>
    </row>
    <row r="2396" spans="1:28" x14ac:dyDescent="0.25">
      <c r="A2396" t="s">
        <v>2400</v>
      </c>
      <c r="B2396">
        <v>0.98876768158843997</v>
      </c>
      <c r="C2396">
        <v>1.2447865367092501</v>
      </c>
      <c r="D2396">
        <v>1.1143384675512999</v>
      </c>
      <c r="E2396">
        <v>0.83382510960699396</v>
      </c>
      <c r="F2396">
        <v>0.62360672579673304</v>
      </c>
      <c r="G2396">
        <v>0.39677314792055701</v>
      </c>
      <c r="H2396">
        <v>0.33334941057537198</v>
      </c>
      <c r="I2396">
        <v>0.32061424507130598</v>
      </c>
      <c r="J2396">
        <v>0.21981484024006501</v>
      </c>
      <c r="K2396">
        <v>0.31792625442314298</v>
      </c>
      <c r="L2396">
        <v>1407.31344790919</v>
      </c>
      <c r="M2396">
        <v>26.679160659495601</v>
      </c>
      <c r="N2396">
        <v>54.5599955687359</v>
      </c>
      <c r="O2396">
        <v>52.4558483802628</v>
      </c>
      <c r="P2396">
        <v>-8.98070106445744E-2</v>
      </c>
      <c r="Q2396">
        <v>0.29370281700105499</v>
      </c>
      <c r="R2396">
        <v>0.93317428731177399</v>
      </c>
      <c r="S2396" t="s">
        <v>6228</v>
      </c>
      <c r="T2396" t="s">
        <v>7662</v>
      </c>
      <c r="U2396" t="s">
        <v>7662</v>
      </c>
      <c r="V2396" t="s">
        <v>7662</v>
      </c>
      <c r="W2396">
        <v>2</v>
      </c>
      <c r="X2396" t="s">
        <v>10058</v>
      </c>
      <c r="Y2396">
        <v>0.59960246311113052</v>
      </c>
      <c r="Z2396" t="str">
        <f>HYPERLINK("Melting_Curves/meltCurve_sp_Q96KM6_Z512B_HUMAN_.pdf", "Melting_Curves/meltCurve_sp_Q96KM6_Z512B_HUMAN_.pdf")</f>
        <v>Melting_Curves/meltCurve_sp_Q96KM6_Z512B_HUMAN_.pdf</v>
      </c>
      <c r="AA2396" t="s">
        <v>13856</v>
      </c>
      <c r="AB2396" t="s">
        <v>17636</v>
      </c>
    </row>
    <row r="2397" spans="1:28" x14ac:dyDescent="0.25">
      <c r="A2397" t="s">
        <v>2401</v>
      </c>
      <c r="B2397">
        <v>0.98876768158843997</v>
      </c>
      <c r="C2397">
        <v>1.0276404495689699</v>
      </c>
      <c r="D2397">
        <v>0.97263283802520895</v>
      </c>
      <c r="E2397">
        <v>0.41330127528221999</v>
      </c>
      <c r="F2397">
        <v>0.139721695443591</v>
      </c>
      <c r="G2397">
        <v>7.1517537580445295E-2</v>
      </c>
      <c r="H2397">
        <v>4.5021191931697999E-2</v>
      </c>
      <c r="I2397">
        <v>3.7750156500230801E-2</v>
      </c>
      <c r="J2397">
        <v>4.6728991284623302E-2</v>
      </c>
      <c r="K2397">
        <v>3.8715397834237303E-2</v>
      </c>
      <c r="L2397">
        <v>1931.8524743513501</v>
      </c>
      <c r="M2397">
        <v>39.066067337753502</v>
      </c>
      <c r="N2397">
        <v>49.585159477999902</v>
      </c>
      <c r="O2397">
        <v>49.321860563957699</v>
      </c>
      <c r="P2397">
        <v>-0.188080376265298</v>
      </c>
      <c r="Q2397">
        <v>5.0177933598788603E-2</v>
      </c>
      <c r="R2397">
        <v>0.998403400243976</v>
      </c>
      <c r="S2397" t="s">
        <v>6229</v>
      </c>
      <c r="T2397" t="s">
        <v>7662</v>
      </c>
      <c r="U2397" t="s">
        <v>7662</v>
      </c>
      <c r="V2397" t="s">
        <v>7662</v>
      </c>
      <c r="W2397">
        <v>8</v>
      </c>
      <c r="X2397" t="s">
        <v>10059</v>
      </c>
      <c r="Y2397">
        <v>0.35280838259458541</v>
      </c>
      <c r="Z2397" t="str">
        <f>HYPERLINK("Melting_Curves/meltCurve_sp_Q96KP1_EXOC2_HUMAN_.pdf", "Melting_Curves/meltCurve_sp_Q96KP1_EXOC2_HUMAN_.pdf")</f>
        <v>Melting_Curves/meltCurve_sp_Q96KP1_EXOC2_HUMAN_.pdf</v>
      </c>
      <c r="AA2397" t="s">
        <v>13857</v>
      </c>
      <c r="AB2397" t="s">
        <v>17637</v>
      </c>
    </row>
    <row r="2398" spans="1:28" x14ac:dyDescent="0.25">
      <c r="A2398" t="s">
        <v>2402</v>
      </c>
      <c r="B2398">
        <v>0.98876768158843997</v>
      </c>
      <c r="C2398">
        <v>0.62213137545074504</v>
      </c>
      <c r="D2398">
        <v>1.03562638118248</v>
      </c>
      <c r="E2398">
        <v>0.898621197089435</v>
      </c>
      <c r="F2398">
        <v>0.47103906790080502</v>
      </c>
      <c r="G2398">
        <v>0.14734504891605599</v>
      </c>
      <c r="H2398">
        <v>6.9155714252309194E-2</v>
      </c>
      <c r="I2398">
        <v>4.7223398170448697E-2</v>
      </c>
      <c r="J2398">
        <v>4.2436347535744601E-2</v>
      </c>
      <c r="K2398">
        <v>3.4205372746415802E-2</v>
      </c>
      <c r="L2398">
        <v>1828.0541517459601</v>
      </c>
      <c r="M2398">
        <v>34.645177792576099</v>
      </c>
      <c r="N2398">
        <v>52.9276239751864</v>
      </c>
      <c r="O2398">
        <v>52.5901880698814</v>
      </c>
      <c r="P2398">
        <v>-0.15638116521037701</v>
      </c>
      <c r="Q2398">
        <v>5.0478931358414601E-2</v>
      </c>
      <c r="R2398">
        <v>0.90848167781409295</v>
      </c>
      <c r="S2398" t="s">
        <v>6230</v>
      </c>
      <c r="T2398" t="s">
        <v>7662</v>
      </c>
      <c r="U2398" t="s">
        <v>7662</v>
      </c>
      <c r="V2398" t="s">
        <v>7662</v>
      </c>
      <c r="W2398">
        <v>22</v>
      </c>
      <c r="X2398" t="s">
        <v>10060</v>
      </c>
      <c r="Y2398">
        <v>0.45911516196859281</v>
      </c>
      <c r="Z2398" t="str">
        <f>HYPERLINK("Melting_Curves/meltCurve_sp_Q96KP4_CNDP2_HUMAN_.pdf", "Melting_Curves/meltCurve_sp_Q96KP4_CNDP2_HUMAN_.pdf")</f>
        <v>Melting_Curves/meltCurve_sp_Q96KP4_CNDP2_HUMAN_.pdf</v>
      </c>
      <c r="AA2398" t="s">
        <v>13858</v>
      </c>
      <c r="AB2398" t="s">
        <v>17638</v>
      </c>
    </row>
    <row r="2399" spans="1:28" x14ac:dyDescent="0.25">
      <c r="A2399" t="s">
        <v>2403</v>
      </c>
      <c r="B2399">
        <v>0.98876768158843997</v>
      </c>
      <c r="C2399">
        <v>0.98549349730300695</v>
      </c>
      <c r="D2399">
        <v>0.99048483650086705</v>
      </c>
      <c r="E2399">
        <v>0.88550955846189505</v>
      </c>
      <c r="F2399">
        <v>0.73581491324714698</v>
      </c>
      <c r="G2399">
        <v>0.50926113179697896</v>
      </c>
      <c r="H2399">
        <v>0.33201286245608702</v>
      </c>
      <c r="I2399">
        <v>0.34653084031152398</v>
      </c>
      <c r="J2399">
        <v>0.51171856395618098</v>
      </c>
      <c r="K2399">
        <v>0.58071117678380801</v>
      </c>
      <c r="L2399">
        <v>1607.0629760428999</v>
      </c>
      <c r="M2399">
        <v>30.384760796777002</v>
      </c>
      <c r="N2399">
        <v>56.988971208789998</v>
      </c>
      <c r="O2399">
        <v>52.662918913331303</v>
      </c>
      <c r="P2399">
        <v>-8.0231661224764703E-2</v>
      </c>
      <c r="Q2399">
        <v>0.44377287845018898</v>
      </c>
      <c r="R2399">
        <v>0.92073362240976098</v>
      </c>
      <c r="S2399" t="s">
        <v>6231</v>
      </c>
      <c r="T2399" t="s">
        <v>7662</v>
      </c>
      <c r="U2399" t="s">
        <v>7662</v>
      </c>
      <c r="V2399" t="s">
        <v>7662</v>
      </c>
      <c r="W2399">
        <v>4</v>
      </c>
      <c r="X2399" t="s">
        <v>10061</v>
      </c>
      <c r="Y2399">
        <v>0.68628560605637423</v>
      </c>
      <c r="Z2399" t="str">
        <f>HYPERLINK("Melting_Curves/meltCurve_sp_Q96KR1_ZFR_HUMAN_.pdf", "Melting_Curves/meltCurve_sp_Q96KR1_ZFR_HUMAN_.pdf")</f>
        <v>Melting_Curves/meltCurve_sp_Q96KR1_ZFR_HUMAN_.pdf</v>
      </c>
      <c r="AA2399" t="s">
        <v>13859</v>
      </c>
      <c r="AB2399" t="s">
        <v>17639</v>
      </c>
    </row>
    <row r="2400" spans="1:28" x14ac:dyDescent="0.25">
      <c r="A2400" t="s">
        <v>2404</v>
      </c>
      <c r="B2400">
        <v>0.98876768158843997</v>
      </c>
      <c r="C2400">
        <v>0.98709992418736503</v>
      </c>
      <c r="D2400">
        <v>0.862512848603463</v>
      </c>
      <c r="E2400">
        <v>0.42724924203985298</v>
      </c>
      <c r="F2400">
        <v>0.15017144156707901</v>
      </c>
      <c r="G2400">
        <v>0.101118082292199</v>
      </c>
      <c r="H2400">
        <v>7.8683233639966696E-2</v>
      </c>
      <c r="I2400">
        <v>5.6876989858166402E-2</v>
      </c>
      <c r="J2400">
        <v>0.18912566787618099</v>
      </c>
      <c r="K2400">
        <v>5.0854399616877197E-2</v>
      </c>
      <c r="L2400">
        <v>1422.23110687705</v>
      </c>
      <c r="M2400">
        <v>29.0575645436593</v>
      </c>
      <c r="N2400">
        <v>49.275881199881503</v>
      </c>
      <c r="O2400">
        <v>48.715236737871102</v>
      </c>
      <c r="P2400">
        <v>-0.13591480888100599</v>
      </c>
      <c r="Q2400">
        <v>8.8557741053612901E-2</v>
      </c>
      <c r="R2400">
        <v>0.99022086168712597</v>
      </c>
      <c r="S2400" t="s">
        <v>6232</v>
      </c>
      <c r="T2400" t="s">
        <v>7662</v>
      </c>
      <c r="U2400" t="s">
        <v>7662</v>
      </c>
      <c r="V2400" t="s">
        <v>7662</v>
      </c>
      <c r="W2400">
        <v>7</v>
      </c>
      <c r="X2400" t="s">
        <v>10062</v>
      </c>
      <c r="Y2400">
        <v>0.36625109284945961</v>
      </c>
      <c r="Z2400" t="str">
        <f>HYPERLINK("Melting_Curves/meltCurve_sp_Q96L92_SNX27_HUMAN_.pdf", "Melting_Curves/meltCurve_sp_Q96L92_SNX27_HUMAN_.pdf")</f>
        <v>Melting_Curves/meltCurve_sp_Q96L92_SNX27_HUMAN_.pdf</v>
      </c>
      <c r="AA2400" t="s">
        <v>13860</v>
      </c>
      <c r="AB2400" t="s">
        <v>17640</v>
      </c>
    </row>
    <row r="2401" spans="1:28" x14ac:dyDescent="0.25">
      <c r="A2401" t="s">
        <v>2405</v>
      </c>
      <c r="B2401">
        <v>0.98876768158843997</v>
      </c>
      <c r="C2401">
        <v>0.85117553264177404</v>
      </c>
      <c r="D2401">
        <v>0.83495434327428297</v>
      </c>
      <c r="E2401">
        <v>0.27293165898936</v>
      </c>
      <c r="F2401">
        <v>0.10416167794393801</v>
      </c>
      <c r="G2401">
        <v>5.4183742750727099E-2</v>
      </c>
      <c r="H2401">
        <v>2.6878799362412501E-2</v>
      </c>
      <c r="I2401">
        <v>3.4496782767739598E-2</v>
      </c>
      <c r="J2401">
        <v>3.16846905522035E-2</v>
      </c>
      <c r="K2401">
        <v>2.78026154746366E-2</v>
      </c>
      <c r="L2401">
        <v>1313.44527834324</v>
      </c>
      <c r="M2401">
        <v>27.261005068378498</v>
      </c>
      <c r="N2401">
        <v>48.287873617152002</v>
      </c>
      <c r="O2401">
        <v>47.923345319290597</v>
      </c>
      <c r="P2401">
        <v>-0.138025624212541</v>
      </c>
      <c r="Q2401">
        <v>2.9443477290919999E-2</v>
      </c>
      <c r="R2401">
        <v>0.98895662886430102</v>
      </c>
      <c r="S2401" t="s">
        <v>6233</v>
      </c>
      <c r="T2401" t="s">
        <v>7662</v>
      </c>
      <c r="U2401" t="s">
        <v>7662</v>
      </c>
      <c r="V2401" t="s">
        <v>7662</v>
      </c>
      <c r="W2401">
        <v>6</v>
      </c>
      <c r="X2401" t="s">
        <v>10063</v>
      </c>
      <c r="Y2401">
        <v>0.30124120846714703</v>
      </c>
      <c r="Z2401" t="str">
        <f>HYPERLINK("Melting_Curves/meltCurve_sp_Q96LJ7_DHRS1_HUMAN_.pdf", "Melting_Curves/meltCurve_sp_Q96LJ7_DHRS1_HUMAN_.pdf")</f>
        <v>Melting_Curves/meltCurve_sp_Q96LJ7_DHRS1_HUMAN_.pdf</v>
      </c>
      <c r="AA2401" t="s">
        <v>13861</v>
      </c>
      <c r="AB2401" t="s">
        <v>17641</v>
      </c>
    </row>
    <row r="2402" spans="1:28" x14ac:dyDescent="0.25">
      <c r="A2402" t="s">
        <v>2406</v>
      </c>
      <c r="B2402">
        <v>0.98876768158843997</v>
      </c>
      <c r="C2402">
        <v>0.942798151580442</v>
      </c>
      <c r="D2402">
        <v>0.93671901278428404</v>
      </c>
      <c r="E2402">
        <v>0.88359140756495902</v>
      </c>
      <c r="F2402">
        <v>0.44346460939052701</v>
      </c>
      <c r="G2402">
        <v>0.25973467937285399</v>
      </c>
      <c r="H2402">
        <v>0.220804347568993</v>
      </c>
      <c r="I2402">
        <v>0.205631361773918</v>
      </c>
      <c r="J2402">
        <v>0.20996443210007601</v>
      </c>
      <c r="K2402">
        <v>0.32454489405119202</v>
      </c>
      <c r="L2402">
        <v>2354.1938393374098</v>
      </c>
      <c r="M2402">
        <v>45.416836891905497</v>
      </c>
      <c r="N2402">
        <v>52.598238416151503</v>
      </c>
      <c r="O2402">
        <v>51.735070492024398</v>
      </c>
      <c r="P2402">
        <v>-0.16651865713980901</v>
      </c>
      <c r="Q2402">
        <v>0.24126431758477401</v>
      </c>
      <c r="R2402">
        <v>0.98466217803308997</v>
      </c>
      <c r="S2402" t="s">
        <v>6234</v>
      </c>
      <c r="T2402" t="s">
        <v>7662</v>
      </c>
      <c r="U2402" t="s">
        <v>7662</v>
      </c>
      <c r="V2402" t="s">
        <v>7662</v>
      </c>
      <c r="W2402">
        <v>1</v>
      </c>
      <c r="X2402" t="s">
        <v>10064</v>
      </c>
      <c r="Y2402">
        <v>0.5426970328866576</v>
      </c>
      <c r="Z2402" t="str">
        <f>HYPERLINK("Melting_Curves/meltCurve_sp_Q96M20_2_CNBD2_HUMAN_.pdf", "Melting_Curves/meltCurve_sp_Q96M20_2_CNBD2_HUMAN_.pdf")</f>
        <v>Melting_Curves/meltCurve_sp_Q96M20_2_CNBD2_HUMAN_.pdf</v>
      </c>
      <c r="AA2402" t="s">
        <v>13862</v>
      </c>
      <c r="AB2402" t="s">
        <v>17642</v>
      </c>
    </row>
    <row r="2403" spans="1:28" x14ac:dyDescent="0.25">
      <c r="A2403" t="s">
        <v>2407</v>
      </c>
      <c r="B2403">
        <v>0.98876768158843997</v>
      </c>
      <c r="C2403">
        <v>0.99221935512554504</v>
      </c>
      <c r="D2403">
        <v>0.95396565222398899</v>
      </c>
      <c r="E2403">
        <v>0.61057119298231499</v>
      </c>
      <c r="F2403">
        <v>0.73900915484932395</v>
      </c>
      <c r="G2403">
        <v>0.51518584426760805</v>
      </c>
      <c r="H2403">
        <v>0.415333749244019</v>
      </c>
      <c r="I2403">
        <v>0.38329257592827398</v>
      </c>
      <c r="J2403">
        <v>0.26285342191813199</v>
      </c>
      <c r="K2403">
        <v>9.1337320984823403E-2</v>
      </c>
      <c r="L2403">
        <v>470.07682027699099</v>
      </c>
      <c r="M2403">
        <v>8.1412836821334995</v>
      </c>
      <c r="N2403">
        <v>57.7398941826319</v>
      </c>
      <c r="O2403">
        <v>54.569667523754198</v>
      </c>
      <c r="P2403">
        <v>-3.7337184459553002E-2</v>
      </c>
      <c r="Q2403">
        <v>0</v>
      </c>
      <c r="R2403">
        <v>0.93835414650403004</v>
      </c>
      <c r="S2403" t="s">
        <v>6235</v>
      </c>
      <c r="T2403" t="s">
        <v>7662</v>
      </c>
      <c r="U2403" t="s">
        <v>7662</v>
      </c>
      <c r="V2403" t="s">
        <v>7662</v>
      </c>
      <c r="W2403">
        <v>3</v>
      </c>
      <c r="X2403" t="s">
        <v>10065</v>
      </c>
      <c r="Y2403">
        <v>0.59771345596253034</v>
      </c>
      <c r="Z2403" t="str">
        <f>HYPERLINK("Melting_Curves/meltCurve_sp_Q96M27_PRRC1_HUMAN_.pdf", "Melting_Curves/meltCurve_sp_Q96M27_PRRC1_HUMAN_.pdf")</f>
        <v>Melting_Curves/meltCurve_sp_Q96M27_PRRC1_HUMAN_.pdf</v>
      </c>
      <c r="AA2403" t="s">
        <v>13863</v>
      </c>
      <c r="AB2403" t="s">
        <v>17643</v>
      </c>
    </row>
    <row r="2404" spans="1:28" x14ac:dyDescent="0.25">
      <c r="A2404" t="s">
        <v>2408</v>
      </c>
      <c r="B2404">
        <v>0.98876768158843997</v>
      </c>
      <c r="C2404">
        <v>0.92939110436660899</v>
      </c>
      <c r="D2404">
        <v>0.94172504968040205</v>
      </c>
      <c r="E2404">
        <v>0.81394908430035795</v>
      </c>
      <c r="F2404">
        <v>0.52827999810218296</v>
      </c>
      <c r="G2404">
        <v>0.21099498515128201</v>
      </c>
      <c r="H2404">
        <v>0.12412792612840599</v>
      </c>
      <c r="I2404">
        <v>8.8324781337298E-2</v>
      </c>
      <c r="J2404">
        <v>0.16190981149931899</v>
      </c>
      <c r="K2404">
        <v>0.12990444540348001</v>
      </c>
      <c r="L2404">
        <v>1334.57907081744</v>
      </c>
      <c r="M2404">
        <v>25.369437622309299</v>
      </c>
      <c r="N2404">
        <v>53.150708289221797</v>
      </c>
      <c r="O2404">
        <v>52.282180878625702</v>
      </c>
      <c r="P2404">
        <v>-0.10742035882656401</v>
      </c>
      <c r="Q2404">
        <v>0.114509377995709</v>
      </c>
      <c r="R2404">
        <v>0.99268520194730103</v>
      </c>
      <c r="S2404" t="s">
        <v>6236</v>
      </c>
      <c r="T2404" t="s">
        <v>7662</v>
      </c>
      <c r="U2404" t="s">
        <v>7662</v>
      </c>
      <c r="V2404" t="s">
        <v>7662</v>
      </c>
      <c r="W2404">
        <v>4</v>
      </c>
      <c r="X2404" t="s">
        <v>10066</v>
      </c>
      <c r="Y2404">
        <v>0.49449075420554411</v>
      </c>
      <c r="Z2404" t="str">
        <f>HYPERLINK("Melting_Curves/meltCurve_sp_Q96ME1_4_FXL18_HUMAN_.pdf", "Melting_Curves/meltCurve_sp_Q96ME1_4_FXL18_HUMAN_.pdf")</f>
        <v>Melting_Curves/meltCurve_sp_Q96ME1_4_FXL18_HUMAN_.pdf</v>
      </c>
      <c r="AA2404" t="s">
        <v>13864</v>
      </c>
      <c r="AB2404" t="s">
        <v>17644</v>
      </c>
    </row>
    <row r="2405" spans="1:28" x14ac:dyDescent="0.25">
      <c r="A2405" t="s">
        <v>2409</v>
      </c>
      <c r="B2405">
        <v>0.98876768158843997</v>
      </c>
      <c r="C2405">
        <v>1.0171739091051</v>
      </c>
      <c r="D2405">
        <v>0.95030059750009799</v>
      </c>
      <c r="E2405">
        <v>0.77704601493619196</v>
      </c>
      <c r="F2405">
        <v>0.65746264111933905</v>
      </c>
      <c r="G2405">
        <v>0.51988829607791798</v>
      </c>
      <c r="H2405">
        <v>0.36815112311916998</v>
      </c>
      <c r="I2405">
        <v>0.43399975596468598</v>
      </c>
      <c r="J2405">
        <v>0.45026633872558802</v>
      </c>
      <c r="K2405">
        <v>0.54326004225410596</v>
      </c>
      <c r="L2405">
        <v>1107.2039139134099</v>
      </c>
      <c r="M2405">
        <v>21.607711316303199</v>
      </c>
      <c r="N2405">
        <v>57.2748128021111</v>
      </c>
      <c r="O2405">
        <v>50.808311627699197</v>
      </c>
      <c r="P2405">
        <v>-5.8618982570969702E-2</v>
      </c>
      <c r="Q2405">
        <v>0.44866711149816901</v>
      </c>
      <c r="R2405">
        <v>0.96194595932921401</v>
      </c>
      <c r="S2405" t="s">
        <v>6237</v>
      </c>
      <c r="T2405" t="s">
        <v>7662</v>
      </c>
      <c r="U2405" t="s">
        <v>7662</v>
      </c>
      <c r="V2405" t="s">
        <v>7662</v>
      </c>
      <c r="W2405">
        <v>4</v>
      </c>
      <c r="X2405" t="s">
        <v>10067</v>
      </c>
      <c r="Y2405">
        <v>0.66187052504269894</v>
      </c>
      <c r="Z2405" t="str">
        <f>HYPERLINK("Melting_Curves/meltCurve_sp_Q96MH2_HEXI2_HUMAN_.pdf", "Melting_Curves/meltCurve_sp_Q96MH2_HEXI2_HUMAN_.pdf")</f>
        <v>Melting_Curves/meltCurve_sp_Q96MH2_HEXI2_HUMAN_.pdf</v>
      </c>
      <c r="AA2405" t="s">
        <v>13865</v>
      </c>
      <c r="AB2405" t="s">
        <v>17645</v>
      </c>
    </row>
    <row r="2406" spans="1:28" x14ac:dyDescent="0.25">
      <c r="A2406" t="s">
        <v>2410</v>
      </c>
      <c r="B2406">
        <v>0.98876768158843997</v>
      </c>
      <c r="C2406">
        <v>1.21252363815058</v>
      </c>
      <c r="D2406">
        <v>0.87586187109762204</v>
      </c>
      <c r="E2406">
        <v>0.76817587357991002</v>
      </c>
      <c r="F2406">
        <v>0.95779073926592295</v>
      </c>
      <c r="G2406">
        <v>0.65494352313743698</v>
      </c>
      <c r="H2406">
        <v>0.53559323459812103</v>
      </c>
      <c r="I2406">
        <v>0.65653591361635599</v>
      </c>
      <c r="J2406">
        <v>0.82701692073284705</v>
      </c>
      <c r="K2406">
        <v>0.97117808874268496</v>
      </c>
      <c r="L2406">
        <v>11493.8244492084</v>
      </c>
      <c r="M2406">
        <v>250</v>
      </c>
      <c r="O2406">
        <v>45.972355703817399</v>
      </c>
      <c r="P2406">
        <v>-0.31633251742973301</v>
      </c>
      <c r="Q2406">
        <v>0.76731918418808398</v>
      </c>
      <c r="R2406">
        <v>0.42805068260887502</v>
      </c>
      <c r="S2406" t="s">
        <v>6238</v>
      </c>
      <c r="T2406" t="s">
        <v>7662</v>
      </c>
      <c r="U2406" t="s">
        <v>7662</v>
      </c>
      <c r="V2406" t="s">
        <v>7662</v>
      </c>
      <c r="W2406">
        <v>2</v>
      </c>
      <c r="X2406" t="s">
        <v>10068</v>
      </c>
      <c r="Y2406">
        <v>0.81368253045946892</v>
      </c>
      <c r="Z2406" t="str">
        <f>HYPERLINK("Melting_Curves/meltCurve_sp_Q96MU7_2_YTDC1_HUMAN_.pdf", "Melting_Curves/meltCurve_sp_Q96MU7_2_YTDC1_HUMAN_.pdf")</f>
        <v>Melting_Curves/meltCurve_sp_Q96MU7_2_YTDC1_HUMAN_.pdf</v>
      </c>
      <c r="AA2406" t="s">
        <v>13866</v>
      </c>
      <c r="AB2406" t="s">
        <v>17646</v>
      </c>
    </row>
    <row r="2407" spans="1:28" x14ac:dyDescent="0.25">
      <c r="A2407" t="s">
        <v>2411</v>
      </c>
      <c r="B2407">
        <v>0.98876768158843997</v>
      </c>
      <c r="C2407">
        <v>1.35330608270701</v>
      </c>
      <c r="D2407">
        <v>0.90874738391808696</v>
      </c>
      <c r="E2407">
        <v>0.76877374589414205</v>
      </c>
      <c r="F2407">
        <v>1.12178151548776</v>
      </c>
      <c r="G2407">
        <v>0.73918676903744496</v>
      </c>
      <c r="H2407">
        <v>0.60025516951345603</v>
      </c>
      <c r="I2407">
        <v>0.70784549642988603</v>
      </c>
      <c r="J2407">
        <v>0.94375180698341199</v>
      </c>
      <c r="K2407">
        <v>0.94115915232882497</v>
      </c>
      <c r="L2407">
        <v>4370.0034947676304</v>
      </c>
      <c r="M2407">
        <v>79.145451322015205</v>
      </c>
      <c r="O2407">
        <v>55.179620001805802</v>
      </c>
      <c r="P2407">
        <v>-7.7108419210954807E-2</v>
      </c>
      <c r="Q2407">
        <v>0.78496236461396995</v>
      </c>
      <c r="R2407">
        <v>0.31793774636784999</v>
      </c>
      <c r="S2407" t="s">
        <v>6239</v>
      </c>
      <c r="T2407" t="s">
        <v>7662</v>
      </c>
      <c r="U2407" t="s">
        <v>7662</v>
      </c>
      <c r="V2407" t="s">
        <v>7662</v>
      </c>
      <c r="W2407">
        <v>1</v>
      </c>
      <c r="X2407" t="s">
        <v>10069</v>
      </c>
      <c r="Y2407">
        <v>0.89422946683429272</v>
      </c>
      <c r="Z2407" t="str">
        <f>HYPERLINK("Melting_Curves/meltCurve_sp_Q96MW1_CCD43_HUMAN_.pdf", "Melting_Curves/meltCurve_sp_Q96MW1_CCD43_HUMAN_.pdf")</f>
        <v>Melting_Curves/meltCurve_sp_Q96MW1_CCD43_HUMAN_.pdf</v>
      </c>
      <c r="AA2407" t="s">
        <v>13867</v>
      </c>
      <c r="AB2407" t="s">
        <v>17647</v>
      </c>
    </row>
    <row r="2408" spans="1:28" x14ac:dyDescent="0.25">
      <c r="A2408" t="s">
        <v>2412</v>
      </c>
      <c r="B2408">
        <v>0.98876768158843997</v>
      </c>
      <c r="C2408">
        <v>0.87241811655143897</v>
      </c>
      <c r="D2408">
        <v>0.99777813993856102</v>
      </c>
      <c r="E2408">
        <v>0.77017315464760205</v>
      </c>
      <c r="F2408">
        <v>0.39104280284436199</v>
      </c>
      <c r="G2408">
        <v>0.257159674763694</v>
      </c>
      <c r="H2408">
        <v>0.15885912946922201</v>
      </c>
      <c r="I2408">
        <v>8.3355102217666996E-2</v>
      </c>
      <c r="J2408">
        <v>6.9818455426388704E-2</v>
      </c>
      <c r="K2408">
        <v>6.0993846017309498E-2</v>
      </c>
      <c r="L2408">
        <v>1125.27822829506</v>
      </c>
      <c r="M2408">
        <v>21.604109026356799</v>
      </c>
      <c r="N2408">
        <v>52.518163699790698</v>
      </c>
      <c r="O2408">
        <v>51.646192373636602</v>
      </c>
      <c r="P2408">
        <v>-9.6069033642706594E-2</v>
      </c>
      <c r="Q2408">
        <v>8.1382015312325001E-2</v>
      </c>
      <c r="R2408">
        <v>0.98075995736703003</v>
      </c>
      <c r="S2408" t="s">
        <v>6240</v>
      </c>
      <c r="T2408" t="s">
        <v>7662</v>
      </c>
      <c r="U2408" t="s">
        <v>7662</v>
      </c>
      <c r="V2408" t="s">
        <v>7662</v>
      </c>
      <c r="W2408">
        <v>24</v>
      </c>
      <c r="X2408" t="s">
        <v>10070</v>
      </c>
      <c r="Y2408">
        <v>0.46252073218953332</v>
      </c>
      <c r="Z2408" t="str">
        <f>HYPERLINK("Melting_Curves/meltCurve_sp_Q96N76_HUTU_HUMAN_.pdf", "Melting_Curves/meltCurve_sp_Q96N76_HUTU_HUMAN_.pdf")</f>
        <v>Melting_Curves/meltCurve_sp_Q96N76_HUTU_HUMAN_.pdf</v>
      </c>
      <c r="AA2408" t="s">
        <v>13868</v>
      </c>
      <c r="AB2408" t="s">
        <v>17648</v>
      </c>
    </row>
    <row r="2409" spans="1:28" x14ac:dyDescent="0.25">
      <c r="A2409" t="s">
        <v>2413</v>
      </c>
      <c r="B2409">
        <v>0.98876768158843997</v>
      </c>
      <c r="C2409">
        <v>1.2182705432550001</v>
      </c>
      <c r="D2409">
        <v>0.88465848906773303</v>
      </c>
      <c r="E2409">
        <v>0.86578830677418195</v>
      </c>
      <c r="F2409">
        <v>1.2922366711833499</v>
      </c>
      <c r="G2409">
        <v>0.88134152695860302</v>
      </c>
      <c r="H2409">
        <v>0.70462060318741204</v>
      </c>
      <c r="I2409">
        <v>0.82467500582152697</v>
      </c>
      <c r="J2409">
        <v>0.61735500900986495</v>
      </c>
      <c r="K2409">
        <v>1.26640800162845</v>
      </c>
      <c r="L2409">
        <v>14167.845838724101</v>
      </c>
      <c r="M2409">
        <v>250</v>
      </c>
      <c r="O2409">
        <v>56.667754673304501</v>
      </c>
      <c r="P2409">
        <v>-0.16183734771671099</v>
      </c>
      <c r="Q2409">
        <v>0.853264648881501</v>
      </c>
      <c r="R2409">
        <v>0.16104708850558799</v>
      </c>
      <c r="S2409" t="s">
        <v>6241</v>
      </c>
      <c r="T2409" t="s">
        <v>7662</v>
      </c>
      <c r="U2409" t="s">
        <v>7662</v>
      </c>
      <c r="V2409" t="s">
        <v>7662</v>
      </c>
      <c r="W2409">
        <v>2</v>
      </c>
      <c r="X2409" t="s">
        <v>10071</v>
      </c>
      <c r="Y2409">
        <v>0.93482195247112043</v>
      </c>
      <c r="Z2409" t="str">
        <f>HYPERLINK("Melting_Curves/meltCurve_sp_Q96NC0_ZMAT2_HUMAN_.pdf", "Melting_Curves/meltCurve_sp_Q96NC0_ZMAT2_HUMAN_.pdf")</f>
        <v>Melting_Curves/meltCurve_sp_Q96NC0_ZMAT2_HUMAN_.pdf</v>
      </c>
      <c r="AA2409" t="s">
        <v>13869</v>
      </c>
      <c r="AB2409" t="s">
        <v>17649</v>
      </c>
    </row>
    <row r="2410" spans="1:28" x14ac:dyDescent="0.25">
      <c r="A2410" t="s">
        <v>2414</v>
      </c>
      <c r="B2410">
        <v>0.98876768158843997</v>
      </c>
      <c r="C2410">
        <v>1.25461240073489</v>
      </c>
      <c r="D2410">
        <v>0.99267033431553797</v>
      </c>
      <c r="E2410">
        <v>0.848008181290972</v>
      </c>
      <c r="F2410">
        <v>0.82451338836489896</v>
      </c>
      <c r="G2410">
        <v>0.32872691516359998</v>
      </c>
      <c r="H2410">
        <v>0.15900381933604499</v>
      </c>
      <c r="I2410">
        <v>0.13719710134197</v>
      </c>
      <c r="J2410">
        <v>9.7342249854720397E-2</v>
      </c>
      <c r="K2410">
        <v>0.115720811010162</v>
      </c>
      <c r="L2410">
        <v>1536.27784715859</v>
      </c>
      <c r="M2410">
        <v>27.911482833541399</v>
      </c>
      <c r="N2410">
        <v>55.507862618076899</v>
      </c>
      <c r="O2410">
        <v>54.760864212112999</v>
      </c>
      <c r="P2410">
        <v>-0.114096334482103</v>
      </c>
      <c r="Q2410">
        <v>0.104603800229175</v>
      </c>
      <c r="R2410">
        <v>0.95621319810601801</v>
      </c>
      <c r="S2410" t="s">
        <v>6242</v>
      </c>
      <c r="T2410" t="s">
        <v>7662</v>
      </c>
      <c r="U2410" t="s">
        <v>7662</v>
      </c>
      <c r="V2410" t="s">
        <v>7662</v>
      </c>
      <c r="W2410">
        <v>2</v>
      </c>
      <c r="X2410" t="s">
        <v>10072</v>
      </c>
      <c r="Y2410">
        <v>0.56032402632476497</v>
      </c>
      <c r="Z2410" t="str">
        <f>HYPERLINK("Melting_Curves/meltCurve_sp_Q96NL8_CH037_HUMAN_.pdf", "Melting_Curves/meltCurve_sp_Q96NL8_CH037_HUMAN_.pdf")</f>
        <v>Melting_Curves/meltCurve_sp_Q96NL8_CH037_HUMAN_.pdf</v>
      </c>
      <c r="AA2410" t="s">
        <v>13870</v>
      </c>
      <c r="AB2410" t="s">
        <v>17650</v>
      </c>
    </row>
    <row r="2411" spans="1:28" x14ac:dyDescent="0.25">
      <c r="A2411" t="s">
        <v>2415</v>
      </c>
      <c r="B2411">
        <v>0.98876768158843997</v>
      </c>
      <c r="C2411">
        <v>0.95392675886838096</v>
      </c>
      <c r="D2411">
        <v>0.91531897096398396</v>
      </c>
      <c r="E2411">
        <v>0.84921974783318299</v>
      </c>
      <c r="F2411">
        <v>0.64265554549135895</v>
      </c>
      <c r="G2411">
        <v>0.17895052252850499</v>
      </c>
      <c r="H2411">
        <v>7.2661389920635699E-2</v>
      </c>
      <c r="I2411">
        <v>5.6127997400665403E-2</v>
      </c>
      <c r="J2411">
        <v>6.5835603079467703E-2</v>
      </c>
      <c r="K2411">
        <v>4.8683315722555201E-2</v>
      </c>
      <c r="L2411">
        <v>1423.0422611177501</v>
      </c>
      <c r="M2411">
        <v>26.501111924520899</v>
      </c>
      <c r="N2411">
        <v>53.876748242471699</v>
      </c>
      <c r="O2411">
        <v>53.394494592007703</v>
      </c>
      <c r="P2411">
        <v>-0.11884578718797</v>
      </c>
      <c r="Q2411">
        <v>4.2207307238495098E-2</v>
      </c>
      <c r="R2411">
        <v>0.99286776280899602</v>
      </c>
      <c r="S2411" t="s">
        <v>6243</v>
      </c>
      <c r="T2411" t="s">
        <v>7662</v>
      </c>
      <c r="U2411" t="s">
        <v>7662</v>
      </c>
      <c r="V2411" t="s">
        <v>7662</v>
      </c>
      <c r="W2411">
        <v>19</v>
      </c>
      <c r="X2411" t="s">
        <v>10073</v>
      </c>
      <c r="Y2411">
        <v>0.48746234165494851</v>
      </c>
      <c r="Z2411" t="str">
        <f>HYPERLINK("Melting_Curves/meltCurve_sp_Q96NU7_HUTI_HUMAN_.pdf", "Melting_Curves/meltCurve_sp_Q96NU7_HUTI_HUMAN_.pdf")</f>
        <v>Melting_Curves/meltCurve_sp_Q96NU7_HUTI_HUMAN_.pdf</v>
      </c>
      <c r="AA2411" t="s">
        <v>13871</v>
      </c>
      <c r="AB2411" t="s">
        <v>17651</v>
      </c>
    </row>
    <row r="2412" spans="1:28" x14ac:dyDescent="0.25">
      <c r="A2412" t="s">
        <v>2416</v>
      </c>
      <c r="B2412">
        <v>0.98876768158843997</v>
      </c>
      <c r="C2412">
        <v>0.93315859817978897</v>
      </c>
      <c r="D2412">
        <v>0.80766427955853703</v>
      </c>
      <c r="E2412">
        <v>0.34576585154787798</v>
      </c>
      <c r="F2412">
        <v>0.42295620419485103</v>
      </c>
      <c r="G2412">
        <v>0.27508777026229297</v>
      </c>
      <c r="H2412">
        <v>0.24607917857858499</v>
      </c>
      <c r="I2412">
        <v>0.231766884483187</v>
      </c>
      <c r="J2412">
        <v>0.361081177923601</v>
      </c>
      <c r="K2412">
        <v>0.32982822404078999</v>
      </c>
      <c r="L2412">
        <v>1579.5577581175301</v>
      </c>
      <c r="M2412">
        <v>33.509159821498798</v>
      </c>
      <c r="N2412">
        <v>48.475785516403199</v>
      </c>
      <c r="O2412">
        <v>46.971158292472303</v>
      </c>
      <c r="P2412">
        <v>-0.124546930325296</v>
      </c>
      <c r="Q2412">
        <v>0.30167284760609903</v>
      </c>
      <c r="R2412">
        <v>0.963829187559888</v>
      </c>
      <c r="S2412" t="s">
        <v>6244</v>
      </c>
      <c r="T2412" t="s">
        <v>7662</v>
      </c>
      <c r="U2412" t="s">
        <v>7662</v>
      </c>
      <c r="V2412" t="s">
        <v>7662</v>
      </c>
      <c r="W2412">
        <v>1</v>
      </c>
      <c r="X2412" t="s">
        <v>10074</v>
      </c>
      <c r="Y2412">
        <v>0.47114114746444657</v>
      </c>
      <c r="Z2412" t="str">
        <f>HYPERLINK("Melting_Curves/meltCurve_sp_Q96P47_AGAP3_HUMAN_.pdf", "Melting_Curves/meltCurve_sp_Q96P47_AGAP3_HUMAN_.pdf")</f>
        <v>Melting_Curves/meltCurve_sp_Q96P47_AGAP3_HUMAN_.pdf</v>
      </c>
      <c r="AA2412" t="s">
        <v>13872</v>
      </c>
      <c r="AB2412" t="s">
        <v>17652</v>
      </c>
    </row>
    <row r="2413" spans="1:28" x14ac:dyDescent="0.25">
      <c r="A2413" t="s">
        <v>2417</v>
      </c>
      <c r="B2413">
        <v>0.98876768158843997</v>
      </c>
      <c r="C2413">
        <v>0.68076288827684805</v>
      </c>
      <c r="D2413">
        <v>0.61438269998547901</v>
      </c>
      <c r="E2413">
        <v>0.34708060359696102</v>
      </c>
      <c r="F2413">
        <v>0.15266613653587999</v>
      </c>
      <c r="G2413">
        <v>1.90149670504428E-2</v>
      </c>
      <c r="H2413">
        <v>2.0060314671818399E-2</v>
      </c>
      <c r="I2413">
        <v>0</v>
      </c>
      <c r="J2413">
        <v>0</v>
      </c>
      <c r="K2413">
        <v>0</v>
      </c>
      <c r="L2413">
        <v>663.44795712069094</v>
      </c>
      <c r="M2413">
        <v>14.1305287762631</v>
      </c>
      <c r="N2413">
        <v>46.951397642893902</v>
      </c>
      <c r="O2413">
        <v>46.041063496057397</v>
      </c>
      <c r="P2413">
        <v>-7.6737652954608104E-2</v>
      </c>
      <c r="Q2413">
        <v>0</v>
      </c>
      <c r="R2413">
        <v>0.97794658270883295</v>
      </c>
      <c r="S2413" t="s">
        <v>6245</v>
      </c>
      <c r="T2413" t="s">
        <v>7662</v>
      </c>
      <c r="U2413" t="s">
        <v>7662</v>
      </c>
      <c r="V2413" t="s">
        <v>7662</v>
      </c>
      <c r="W2413">
        <v>1</v>
      </c>
      <c r="X2413" t="s">
        <v>10075</v>
      </c>
      <c r="Y2413">
        <v>0.26248596902155219</v>
      </c>
      <c r="Z2413" t="str">
        <f>HYPERLINK("Melting_Curves/meltCurve_sp_Q96P48_7_ARAP1_HUMAN_.pdf", "Melting_Curves/meltCurve_sp_Q96P48_7_ARAP1_HUMAN_.pdf")</f>
        <v>Melting_Curves/meltCurve_sp_Q96P48_7_ARAP1_HUMAN_.pdf</v>
      </c>
      <c r="AA2413" t="s">
        <v>13873</v>
      </c>
      <c r="AB2413" t="s">
        <v>17653</v>
      </c>
    </row>
    <row r="2414" spans="1:28" x14ac:dyDescent="0.25">
      <c r="A2414" t="s">
        <v>2418</v>
      </c>
      <c r="B2414">
        <v>0.98876768158843997</v>
      </c>
      <c r="C2414">
        <v>0.94676494812652201</v>
      </c>
      <c r="D2414">
        <v>0.97413287927964498</v>
      </c>
      <c r="E2414">
        <v>0.91034199888220302</v>
      </c>
      <c r="F2414">
        <v>0.67817747992400601</v>
      </c>
      <c r="G2414">
        <v>0.51952942617971098</v>
      </c>
      <c r="H2414">
        <v>0.31510961727043801</v>
      </c>
      <c r="I2414">
        <v>0.210271260394813</v>
      </c>
      <c r="J2414">
        <v>0.138448153926301</v>
      </c>
      <c r="K2414">
        <v>6.0001421816494399E-2</v>
      </c>
      <c r="L2414">
        <v>733.27193440267502</v>
      </c>
      <c r="M2414">
        <v>12.8328202493955</v>
      </c>
      <c r="N2414">
        <v>57.140344175195096</v>
      </c>
      <c r="O2414">
        <v>55.8061449474569</v>
      </c>
      <c r="P2414">
        <v>-5.7499064328850602E-2</v>
      </c>
      <c r="Q2414">
        <v>0</v>
      </c>
      <c r="R2414">
        <v>0.99354472241101999</v>
      </c>
      <c r="S2414" t="s">
        <v>6246</v>
      </c>
      <c r="T2414" t="s">
        <v>7662</v>
      </c>
      <c r="U2414" t="s">
        <v>7662</v>
      </c>
      <c r="V2414" t="s">
        <v>7662</v>
      </c>
      <c r="W2414">
        <v>16</v>
      </c>
      <c r="X2414" t="s">
        <v>10076</v>
      </c>
      <c r="Y2414">
        <v>0.58764244575349811</v>
      </c>
      <c r="Z2414" t="str">
        <f>HYPERLINK("Melting_Curves/meltCurve_sp_Q96P70_IPO9_HUMAN_.pdf", "Melting_Curves/meltCurve_sp_Q96P70_IPO9_HUMAN_.pdf")</f>
        <v>Melting_Curves/meltCurve_sp_Q96P70_IPO9_HUMAN_.pdf</v>
      </c>
      <c r="AA2414" t="s">
        <v>13874</v>
      </c>
      <c r="AB2414" t="s">
        <v>17654</v>
      </c>
    </row>
    <row r="2415" spans="1:28" x14ac:dyDescent="0.25">
      <c r="A2415" t="s">
        <v>2419</v>
      </c>
      <c r="B2415">
        <v>0.98876768158843997</v>
      </c>
      <c r="C2415">
        <v>0.92840783942303895</v>
      </c>
      <c r="D2415">
        <v>0.92108373417071998</v>
      </c>
      <c r="E2415">
        <v>0.79342258142608202</v>
      </c>
      <c r="F2415">
        <v>0.546878792511718</v>
      </c>
      <c r="G2415">
        <v>0.225591941659502</v>
      </c>
      <c r="H2415">
        <v>0.16756986408199701</v>
      </c>
      <c r="I2415">
        <v>0.17020556701554601</v>
      </c>
      <c r="J2415">
        <v>0.19976355943472601</v>
      </c>
      <c r="K2415">
        <v>6.9305386000126507E-2</v>
      </c>
      <c r="L2415">
        <v>1122.5591354390699</v>
      </c>
      <c r="M2415">
        <v>21.348750721691399</v>
      </c>
      <c r="N2415">
        <v>53.312445744519003</v>
      </c>
      <c r="O2415">
        <v>52.127111039132103</v>
      </c>
      <c r="P2415">
        <v>-8.9406688204481902E-2</v>
      </c>
      <c r="Q2415">
        <v>0.126806825202603</v>
      </c>
      <c r="R2415">
        <v>0.98678335227888703</v>
      </c>
      <c r="S2415" t="s">
        <v>6247</v>
      </c>
      <c r="T2415" t="s">
        <v>7662</v>
      </c>
      <c r="U2415" t="s">
        <v>7662</v>
      </c>
      <c r="V2415" t="s">
        <v>7662</v>
      </c>
      <c r="W2415">
        <v>1</v>
      </c>
      <c r="X2415" t="s">
        <v>10077</v>
      </c>
      <c r="Y2415">
        <v>0.50375558079830141</v>
      </c>
      <c r="Z2415" t="str">
        <f>HYPERLINK("Melting_Curves/meltCurve_sp_Q96PD5_PGRP2_HUMAN_.pdf", "Melting_Curves/meltCurve_sp_Q96PD5_PGRP2_HUMAN_.pdf")</f>
        <v>Melting_Curves/meltCurve_sp_Q96PD5_PGRP2_HUMAN_.pdf</v>
      </c>
      <c r="AA2415" t="s">
        <v>13875</v>
      </c>
      <c r="AB2415" t="s">
        <v>17655</v>
      </c>
    </row>
    <row r="2416" spans="1:28" x14ac:dyDescent="0.25">
      <c r="A2416" t="s">
        <v>2420</v>
      </c>
      <c r="B2416">
        <v>0.98876768158843997</v>
      </c>
      <c r="C2416">
        <v>1.16575882290499</v>
      </c>
      <c r="D2416">
        <v>0.88308444856353996</v>
      </c>
      <c r="E2416">
        <v>0.84704818250110803</v>
      </c>
      <c r="F2416">
        <v>1.0942443333519001</v>
      </c>
      <c r="G2416">
        <v>0.75625143552697904</v>
      </c>
      <c r="H2416">
        <v>0.58809833053566696</v>
      </c>
      <c r="I2416">
        <v>0.55726609699235996</v>
      </c>
      <c r="J2416">
        <v>0.55174640138281905</v>
      </c>
      <c r="K2416">
        <v>0.41246619875337598</v>
      </c>
      <c r="L2416">
        <v>2062.8239231152702</v>
      </c>
      <c r="M2416">
        <v>35.892363401838999</v>
      </c>
      <c r="O2416">
        <v>57.294971739079699</v>
      </c>
      <c r="P2416">
        <v>-7.7336014496957303E-2</v>
      </c>
      <c r="Q2416">
        <v>0.50619573801450302</v>
      </c>
      <c r="R2416">
        <v>0.841922636783626</v>
      </c>
      <c r="S2416" t="s">
        <v>6248</v>
      </c>
      <c r="T2416" t="s">
        <v>7662</v>
      </c>
      <c r="U2416" t="s">
        <v>7662</v>
      </c>
      <c r="V2416" t="s">
        <v>7662</v>
      </c>
      <c r="W2416">
        <v>7</v>
      </c>
      <c r="X2416" t="s">
        <v>10078</v>
      </c>
      <c r="Y2416">
        <v>0.79616978750496681</v>
      </c>
      <c r="Z2416" t="str">
        <f>HYPERLINK("Melting_Curves/meltCurve_sp_Q96PE7_MCEE_HUMAN_.pdf", "Melting_Curves/meltCurve_sp_Q96PE7_MCEE_HUMAN_.pdf")</f>
        <v>Melting_Curves/meltCurve_sp_Q96PE7_MCEE_HUMAN_.pdf</v>
      </c>
      <c r="AA2416" t="s">
        <v>13876</v>
      </c>
      <c r="AB2416" t="s">
        <v>17656</v>
      </c>
    </row>
    <row r="2417" spans="1:28" x14ac:dyDescent="0.25">
      <c r="A2417" t="s">
        <v>2421</v>
      </c>
      <c r="B2417">
        <v>0.98876768158843997</v>
      </c>
      <c r="C2417">
        <v>0.980786340383205</v>
      </c>
      <c r="D2417">
        <v>0.73109704218636495</v>
      </c>
      <c r="E2417">
        <v>0.42554081272063898</v>
      </c>
      <c r="F2417">
        <v>0.48249424708820898</v>
      </c>
      <c r="G2417">
        <v>0.36529308118394999</v>
      </c>
      <c r="H2417">
        <v>0.27402968298353603</v>
      </c>
      <c r="I2417">
        <v>0.35102543845144402</v>
      </c>
      <c r="J2417">
        <v>0.37517674479665603</v>
      </c>
      <c r="K2417">
        <v>0.55681241927816105</v>
      </c>
      <c r="L2417">
        <v>1687.73574471389</v>
      </c>
      <c r="M2417">
        <v>36.456000621891803</v>
      </c>
      <c r="N2417">
        <v>48.404086068107702</v>
      </c>
      <c r="O2417">
        <v>46.156507451125798</v>
      </c>
      <c r="P2417">
        <v>-0.118895933939565</v>
      </c>
      <c r="Q2417">
        <v>0.39787096464556398</v>
      </c>
      <c r="R2417">
        <v>0.91659162985157205</v>
      </c>
      <c r="S2417" t="s">
        <v>6249</v>
      </c>
      <c r="T2417" t="s">
        <v>7662</v>
      </c>
      <c r="U2417" t="s">
        <v>7662</v>
      </c>
      <c r="V2417" t="s">
        <v>7662</v>
      </c>
      <c r="W2417">
        <v>8</v>
      </c>
      <c r="X2417" t="s">
        <v>10079</v>
      </c>
      <c r="Y2417">
        <v>0.52660339198555306</v>
      </c>
      <c r="Z2417" t="str">
        <f>HYPERLINK("Melting_Curves/meltCurve_sp_Q96PK6_RBM14_HUMAN_.pdf", "Melting_Curves/meltCurve_sp_Q96PK6_RBM14_HUMAN_.pdf")</f>
        <v>Melting_Curves/meltCurve_sp_Q96PK6_RBM14_HUMAN_.pdf</v>
      </c>
      <c r="AA2417" t="s">
        <v>13877</v>
      </c>
      <c r="AB2417" t="s">
        <v>17657</v>
      </c>
    </row>
    <row r="2418" spans="1:28" x14ac:dyDescent="0.25">
      <c r="A2418" t="s">
        <v>2422</v>
      </c>
      <c r="B2418">
        <v>0.98876768158843997</v>
      </c>
      <c r="C2418">
        <v>1.1656339962148401</v>
      </c>
      <c r="D2418">
        <v>0.97228818322335198</v>
      </c>
      <c r="E2418">
        <v>0.77187906715605503</v>
      </c>
      <c r="F2418">
        <v>0.89639757196944503</v>
      </c>
      <c r="G2418">
        <v>0.64404488492995204</v>
      </c>
      <c r="H2418">
        <v>0.37741934931121202</v>
      </c>
      <c r="I2418">
        <v>0.54042648082051603</v>
      </c>
      <c r="J2418">
        <v>0.749882641191845</v>
      </c>
      <c r="K2418">
        <v>0.51829492878697003</v>
      </c>
      <c r="L2418">
        <v>1085.2952455233201</v>
      </c>
      <c r="M2418">
        <v>20.441953891882601</v>
      </c>
      <c r="O2418">
        <v>52.591322385412397</v>
      </c>
      <c r="P2418">
        <v>-4.4158661521420499E-2</v>
      </c>
      <c r="Q2418">
        <v>0.54558301188032099</v>
      </c>
      <c r="R2418">
        <v>0.745483097900842</v>
      </c>
      <c r="S2418" t="s">
        <v>6250</v>
      </c>
      <c r="T2418" t="s">
        <v>7662</v>
      </c>
      <c r="U2418" t="s">
        <v>7662</v>
      </c>
      <c r="V2418" t="s">
        <v>7662</v>
      </c>
      <c r="W2418">
        <v>3</v>
      </c>
      <c r="X2418" t="s">
        <v>10080</v>
      </c>
      <c r="Y2418">
        <v>0.74989993796775678</v>
      </c>
      <c r="Z2418" t="str">
        <f>HYPERLINK("Melting_Curves/meltCurve_sp_Q96PM5_3_ZN363_HUMAN_.pdf", "Melting_Curves/meltCurve_sp_Q96PM5_3_ZN363_HUMAN_.pdf")</f>
        <v>Melting_Curves/meltCurve_sp_Q96PM5_3_ZN363_HUMAN_.pdf</v>
      </c>
      <c r="AA2418" t="s">
        <v>13878</v>
      </c>
      <c r="AB2418" t="s">
        <v>17658</v>
      </c>
    </row>
    <row r="2419" spans="1:28" x14ac:dyDescent="0.25">
      <c r="A2419" t="s">
        <v>2423</v>
      </c>
      <c r="B2419">
        <v>0.98876768158843997</v>
      </c>
      <c r="C2419">
        <v>0.95110628611547698</v>
      </c>
      <c r="D2419">
        <v>0.81415619179370502</v>
      </c>
      <c r="E2419">
        <v>0.54140490507778605</v>
      </c>
      <c r="F2419">
        <v>0.37327383151952298</v>
      </c>
      <c r="G2419">
        <v>0.32898685658822402</v>
      </c>
      <c r="H2419">
        <v>0.21052585483688199</v>
      </c>
      <c r="I2419">
        <v>0.22799900825838601</v>
      </c>
      <c r="J2419">
        <v>0.38188203670912502</v>
      </c>
      <c r="K2419">
        <v>0.45142139659251801</v>
      </c>
      <c r="L2419">
        <v>1106.9668613475301</v>
      </c>
      <c r="M2419">
        <v>23.003866075673301</v>
      </c>
      <c r="N2419">
        <v>50.292637256465902</v>
      </c>
      <c r="O2419">
        <v>47.7616799446591</v>
      </c>
      <c r="P2419">
        <v>-8.2502002038935401E-2</v>
      </c>
      <c r="Q2419">
        <v>0.31483506020477597</v>
      </c>
      <c r="R2419">
        <v>0.941941276655758</v>
      </c>
      <c r="S2419" t="s">
        <v>6251</v>
      </c>
      <c r="T2419" t="s">
        <v>7662</v>
      </c>
      <c r="U2419" t="s">
        <v>7662</v>
      </c>
      <c r="V2419" t="s">
        <v>7662</v>
      </c>
      <c r="W2419">
        <v>1</v>
      </c>
      <c r="X2419" t="s">
        <v>10081</v>
      </c>
      <c r="Y2419">
        <v>0.50752923651622173</v>
      </c>
      <c r="Z2419" t="str">
        <f>HYPERLINK("Melting_Curves/meltCurve_sp_Q96PU5_2_NED4L_HUMAN_.pdf", "Melting_Curves/meltCurve_sp_Q96PU5_2_NED4L_HUMAN_.pdf")</f>
        <v>Melting_Curves/meltCurve_sp_Q96PU5_2_NED4L_HUMAN_.pdf</v>
      </c>
      <c r="AA2419" t="s">
        <v>13879</v>
      </c>
      <c r="AB2419" t="s">
        <v>17659</v>
      </c>
    </row>
    <row r="2420" spans="1:28" x14ac:dyDescent="0.25">
      <c r="A2420" t="s">
        <v>2424</v>
      </c>
      <c r="B2420">
        <v>0.98876768158843997</v>
      </c>
      <c r="C2420">
        <v>1.0584229126445499</v>
      </c>
      <c r="D2420">
        <v>0.92451321805604303</v>
      </c>
      <c r="E2420">
        <v>0.60408691359611899</v>
      </c>
      <c r="F2420">
        <v>0.46689515918164598</v>
      </c>
      <c r="G2420">
        <v>0.29067748105133201</v>
      </c>
      <c r="H2420">
        <v>0.160688184449859</v>
      </c>
      <c r="I2420">
        <v>0.19978083722239801</v>
      </c>
      <c r="J2420">
        <v>0.21085760547719201</v>
      </c>
      <c r="K2420">
        <v>0.19560285376501499</v>
      </c>
      <c r="L2420">
        <v>1022.5118011969701</v>
      </c>
      <c r="M2420">
        <v>20.1583057224349</v>
      </c>
      <c r="N2420">
        <v>51.938398226006697</v>
      </c>
      <c r="O2420">
        <v>50.232826703244399</v>
      </c>
      <c r="P2420">
        <v>-8.1475653546312907E-2</v>
      </c>
      <c r="Q2420">
        <v>0.18790329309199899</v>
      </c>
      <c r="R2420">
        <v>0.98798711903651104</v>
      </c>
      <c r="S2420" t="s">
        <v>6252</v>
      </c>
      <c r="T2420" t="s">
        <v>7662</v>
      </c>
      <c r="U2420" t="s">
        <v>7662</v>
      </c>
      <c r="V2420" t="s">
        <v>7662</v>
      </c>
      <c r="W2420">
        <v>4</v>
      </c>
      <c r="X2420" t="s">
        <v>10082</v>
      </c>
      <c r="Y2420">
        <v>0.48931683457582981</v>
      </c>
      <c r="Z2420" t="str">
        <f>HYPERLINK("Melting_Curves/meltCurve_sp_Q96PU8_5_QKI_HUMAN_.pdf", "Melting_Curves/meltCurve_sp_Q96PU8_5_QKI_HUMAN_.pdf")</f>
        <v>Melting_Curves/meltCurve_sp_Q96PU8_5_QKI_HUMAN_.pdf</v>
      </c>
      <c r="AA2420" t="s">
        <v>13880</v>
      </c>
      <c r="AB2420" t="s">
        <v>17660</v>
      </c>
    </row>
    <row r="2421" spans="1:28" x14ac:dyDescent="0.25">
      <c r="A2421" t="s">
        <v>2425</v>
      </c>
      <c r="B2421">
        <v>0.98876768158843997</v>
      </c>
      <c r="C2421">
        <v>0.97066203911315996</v>
      </c>
      <c r="D2421">
        <v>0.87518730917475096</v>
      </c>
      <c r="E2421">
        <v>0.75580170122196799</v>
      </c>
      <c r="F2421">
        <v>0.65933604878485297</v>
      </c>
      <c r="G2421">
        <v>0.39166471751766702</v>
      </c>
      <c r="H2421">
        <v>0.11438940046967901</v>
      </c>
      <c r="I2421">
        <v>6.3409315531294794E-2</v>
      </c>
      <c r="J2421">
        <v>3.4996410479544902E-2</v>
      </c>
      <c r="K2421">
        <v>2.6766092676651001E-2</v>
      </c>
      <c r="L2421">
        <v>826.05208612335605</v>
      </c>
      <c r="M2421">
        <v>15.1401144291117</v>
      </c>
      <c r="N2421">
        <v>54.560491632662497</v>
      </c>
      <c r="O2421">
        <v>53.635192084096602</v>
      </c>
      <c r="P2421">
        <v>-7.0576745887988498E-2</v>
      </c>
      <c r="Q2421">
        <v>0</v>
      </c>
      <c r="R2421">
        <v>0.98911664152531098</v>
      </c>
      <c r="S2421" t="s">
        <v>6253</v>
      </c>
      <c r="T2421" t="s">
        <v>7662</v>
      </c>
      <c r="U2421" t="s">
        <v>7662</v>
      </c>
      <c r="V2421" t="s">
        <v>7662</v>
      </c>
      <c r="W2421">
        <v>4</v>
      </c>
      <c r="X2421" t="s">
        <v>10083</v>
      </c>
      <c r="Y2421">
        <v>0.5049969438786609</v>
      </c>
      <c r="Z2421" t="str">
        <f>HYPERLINK("Melting_Curves/meltCurve_sp_Q96PZ0_PUS7_HUMAN_.pdf", "Melting_Curves/meltCurve_sp_Q96PZ0_PUS7_HUMAN_.pdf")</f>
        <v>Melting_Curves/meltCurve_sp_Q96PZ0_PUS7_HUMAN_.pdf</v>
      </c>
      <c r="AA2421" t="s">
        <v>13881</v>
      </c>
      <c r="AB2421" t="s">
        <v>17661</v>
      </c>
    </row>
    <row r="2422" spans="1:28" x14ac:dyDescent="0.25">
      <c r="A2422" t="s">
        <v>2426</v>
      </c>
      <c r="B2422">
        <v>0.98876768158843997</v>
      </c>
      <c r="C2422">
        <v>0.842157471472747</v>
      </c>
      <c r="D2422">
        <v>0.919547952529993</v>
      </c>
      <c r="E2422">
        <v>0.78445870590925104</v>
      </c>
      <c r="F2422">
        <v>0.232661154686188</v>
      </c>
      <c r="G2422">
        <v>0.17531301400767299</v>
      </c>
      <c r="H2422">
        <v>8.1014205688377097E-2</v>
      </c>
      <c r="I2422">
        <v>1.3195829765073301E-2</v>
      </c>
      <c r="J2422">
        <v>5.4333693446866602E-2</v>
      </c>
      <c r="K2422">
        <v>5.21297895094055E-2</v>
      </c>
      <c r="L2422">
        <v>2207.99271941199</v>
      </c>
      <c r="M2422">
        <v>43.0511236319239</v>
      </c>
      <c r="N2422">
        <v>51.466210715903301</v>
      </c>
      <c r="O2422">
        <v>51.177402164309001</v>
      </c>
      <c r="P2422">
        <v>-0.19571767657702199</v>
      </c>
      <c r="Q2422">
        <v>6.93570622343848E-2</v>
      </c>
      <c r="R2422">
        <v>0.971371568955256</v>
      </c>
      <c r="S2422" t="s">
        <v>6254</v>
      </c>
      <c r="T2422" t="s">
        <v>7662</v>
      </c>
      <c r="U2422" t="s">
        <v>7662</v>
      </c>
      <c r="V2422" t="s">
        <v>7662</v>
      </c>
      <c r="W2422">
        <v>1</v>
      </c>
      <c r="X2422" t="s">
        <v>10084</v>
      </c>
      <c r="Y2422">
        <v>0.42236231179497558</v>
      </c>
      <c r="Z2422" t="str">
        <f>HYPERLINK("Melting_Curves/meltCurve_sp_Q96Q05_3_TPPC9_HUMAN_.pdf", "Melting_Curves/meltCurve_sp_Q96Q05_3_TPPC9_HUMAN_.pdf")</f>
        <v>Melting_Curves/meltCurve_sp_Q96Q05_3_TPPC9_HUMAN_.pdf</v>
      </c>
      <c r="AA2422" t="s">
        <v>13882</v>
      </c>
      <c r="AB2422" t="s">
        <v>17662</v>
      </c>
    </row>
    <row r="2423" spans="1:28" x14ac:dyDescent="0.25">
      <c r="A2423" t="s">
        <v>2427</v>
      </c>
      <c r="B2423">
        <v>0.98876768158843997</v>
      </c>
      <c r="C2423">
        <v>1.1876252288977001</v>
      </c>
      <c r="D2423">
        <v>0.93864027759060198</v>
      </c>
      <c r="E2423">
        <v>0.68864861497085195</v>
      </c>
      <c r="F2423">
        <v>1.08749552607352</v>
      </c>
      <c r="G2423">
        <v>0.65435493793867805</v>
      </c>
      <c r="H2423">
        <v>0.56238968950104695</v>
      </c>
      <c r="I2423">
        <v>0.59510927667193503</v>
      </c>
      <c r="J2423">
        <v>0.72612380317481195</v>
      </c>
      <c r="K2423">
        <v>0.77822004229620501</v>
      </c>
      <c r="L2423">
        <v>911.12699763158105</v>
      </c>
      <c r="M2423">
        <v>17.267176449991702</v>
      </c>
      <c r="O2423">
        <v>52.073936340786403</v>
      </c>
      <c r="P2423">
        <v>-2.8361754036597301E-2</v>
      </c>
      <c r="Q2423">
        <v>0.65788905904257999</v>
      </c>
      <c r="R2423">
        <v>0.52295574491999197</v>
      </c>
      <c r="S2423" t="s">
        <v>6255</v>
      </c>
      <c r="T2423" t="s">
        <v>7662</v>
      </c>
      <c r="U2423" t="s">
        <v>7662</v>
      </c>
      <c r="V2423" t="s">
        <v>7662</v>
      </c>
      <c r="W2423">
        <v>34</v>
      </c>
      <c r="X2423" t="s">
        <v>10085</v>
      </c>
      <c r="Y2423">
        <v>0.80948716055252978</v>
      </c>
      <c r="Z2423" t="str">
        <f>HYPERLINK("Melting_Curves/meltCurve_sp_Q96Q06_2_PLIN4_HUMAN_.pdf", "Melting_Curves/meltCurve_sp_Q96Q06_2_PLIN4_HUMAN_.pdf")</f>
        <v>Melting_Curves/meltCurve_sp_Q96Q06_2_PLIN4_HUMAN_.pdf</v>
      </c>
      <c r="AA2423" t="s">
        <v>13883</v>
      </c>
      <c r="AB2423" t="s">
        <v>17663</v>
      </c>
    </row>
    <row r="2424" spans="1:28" x14ac:dyDescent="0.25">
      <c r="A2424" t="s">
        <v>2428</v>
      </c>
      <c r="B2424">
        <v>0.98876768158843997</v>
      </c>
      <c r="C2424">
        <v>0.92924549943753398</v>
      </c>
      <c r="D2424">
        <v>0.87576891953830505</v>
      </c>
      <c r="E2424">
        <v>0.49757536777813599</v>
      </c>
      <c r="F2424">
        <v>0.12790004800407101</v>
      </c>
      <c r="G2424">
        <v>9.8730757420953594E-2</v>
      </c>
      <c r="H2424">
        <v>5.6485919458415801E-2</v>
      </c>
      <c r="I2424">
        <v>4.4740164854456199E-2</v>
      </c>
      <c r="J2424">
        <v>5.4810918138512799E-2</v>
      </c>
      <c r="K2424">
        <v>4.2783967572581599E-2</v>
      </c>
      <c r="L2424">
        <v>1345.2457083473901</v>
      </c>
      <c r="M2424">
        <v>27.163724917295699</v>
      </c>
      <c r="N2424">
        <v>49.7011616876215</v>
      </c>
      <c r="O2424">
        <v>49.257541521727802</v>
      </c>
      <c r="P2424">
        <v>-0.13149220790890701</v>
      </c>
      <c r="Q2424">
        <v>4.6239749956841603E-2</v>
      </c>
      <c r="R2424">
        <v>0.99415946281997603</v>
      </c>
      <c r="S2424" t="s">
        <v>6256</v>
      </c>
      <c r="T2424" t="s">
        <v>7662</v>
      </c>
      <c r="U2424" t="s">
        <v>7662</v>
      </c>
      <c r="V2424" t="s">
        <v>7662</v>
      </c>
      <c r="W2424">
        <v>7</v>
      </c>
      <c r="X2424" t="s">
        <v>10086</v>
      </c>
      <c r="Y2424">
        <v>0.35618117136372679</v>
      </c>
      <c r="Z2424" t="str">
        <f>HYPERLINK("Melting_Curves/meltCurve_sp_Q96Q11_2_TRNT1_HUMAN_.pdf", "Melting_Curves/meltCurve_sp_Q96Q11_2_TRNT1_HUMAN_.pdf")</f>
        <v>Melting_Curves/meltCurve_sp_Q96Q11_2_TRNT1_HUMAN_.pdf</v>
      </c>
      <c r="AA2424" t="s">
        <v>13884</v>
      </c>
      <c r="AB2424" t="s">
        <v>17664</v>
      </c>
    </row>
    <row r="2425" spans="1:28" x14ac:dyDescent="0.25">
      <c r="A2425" t="s">
        <v>2429</v>
      </c>
      <c r="B2425">
        <v>0.98876768158843997</v>
      </c>
      <c r="C2425">
        <v>1.0999899527031101</v>
      </c>
      <c r="D2425">
        <v>0.868471290604795</v>
      </c>
      <c r="E2425">
        <v>0.61793460292413505</v>
      </c>
      <c r="F2425">
        <v>0.67007905847337601</v>
      </c>
      <c r="G2425">
        <v>0.56116959421336898</v>
      </c>
      <c r="H2425">
        <v>0.40968770742622301</v>
      </c>
      <c r="I2425">
        <v>0.48880337282490299</v>
      </c>
      <c r="J2425">
        <v>0.58034394467331496</v>
      </c>
      <c r="K2425">
        <v>0.67682128992646995</v>
      </c>
      <c r="L2425">
        <v>1553.7636850091201</v>
      </c>
      <c r="M2425">
        <v>32.676731352336603</v>
      </c>
      <c r="O2425">
        <v>47.372521764498202</v>
      </c>
      <c r="P2425">
        <v>-7.6104755023598203E-2</v>
      </c>
      <c r="Q2425">
        <v>0.55867587734285196</v>
      </c>
      <c r="R2425">
        <v>0.85446553908824097</v>
      </c>
      <c r="S2425" t="s">
        <v>6257</v>
      </c>
      <c r="T2425" t="s">
        <v>7662</v>
      </c>
      <c r="U2425" t="s">
        <v>7662</v>
      </c>
      <c r="V2425" t="s">
        <v>7662</v>
      </c>
      <c r="W2425">
        <v>4</v>
      </c>
      <c r="X2425" t="s">
        <v>10087</v>
      </c>
      <c r="Y2425">
        <v>0.67194844862212555</v>
      </c>
      <c r="Z2425" t="str">
        <f>HYPERLINK("Melting_Curves/meltCurve_sp_Q96QC0_PP1RA_HUMAN_.pdf", "Melting_Curves/meltCurve_sp_Q96QC0_PP1RA_HUMAN_.pdf")</f>
        <v>Melting_Curves/meltCurve_sp_Q96QC0_PP1RA_HUMAN_.pdf</v>
      </c>
      <c r="AA2425" t="s">
        <v>13885</v>
      </c>
      <c r="AB2425" t="s">
        <v>17665</v>
      </c>
    </row>
    <row r="2426" spans="1:28" x14ac:dyDescent="0.25">
      <c r="A2426" t="s">
        <v>2430</v>
      </c>
      <c r="B2426">
        <v>0.98876768158843997</v>
      </c>
      <c r="C2426">
        <v>0.82351060543346899</v>
      </c>
      <c r="D2426">
        <v>0.83079986291706198</v>
      </c>
      <c r="E2426">
        <v>0.52624707943165805</v>
      </c>
      <c r="F2426">
        <v>0.419629042817598</v>
      </c>
      <c r="G2426">
        <v>0.188197906831403</v>
      </c>
      <c r="H2426">
        <v>0.16962835735745399</v>
      </c>
      <c r="I2426">
        <v>0.122361628161262</v>
      </c>
      <c r="J2426">
        <v>0.10445912416388101</v>
      </c>
      <c r="K2426">
        <v>0.21243838179944899</v>
      </c>
      <c r="L2426">
        <v>695.34249591358605</v>
      </c>
      <c r="M2426">
        <v>13.9884909682948</v>
      </c>
      <c r="N2426">
        <v>50.643157617305697</v>
      </c>
      <c r="O2426">
        <v>48.725379638494601</v>
      </c>
      <c r="P2426">
        <v>-6.3612819955441505E-2</v>
      </c>
      <c r="Q2426">
        <v>0.113800850179248</v>
      </c>
      <c r="R2426">
        <v>0.97589298604331598</v>
      </c>
      <c r="S2426" t="s">
        <v>6258</v>
      </c>
      <c r="T2426" t="s">
        <v>7662</v>
      </c>
      <c r="U2426" t="s">
        <v>7662</v>
      </c>
      <c r="V2426" t="s">
        <v>7662</v>
      </c>
      <c r="W2426">
        <v>1</v>
      </c>
      <c r="X2426" t="s">
        <v>10088</v>
      </c>
      <c r="Y2426">
        <v>0.42473049503801569</v>
      </c>
      <c r="Z2426" t="str">
        <f>HYPERLINK("Melting_Curves/meltCurve_sp_Q96QG7_MTMR9_HUMAN_.pdf", "Melting_Curves/meltCurve_sp_Q96QG7_MTMR9_HUMAN_.pdf")</f>
        <v>Melting_Curves/meltCurve_sp_Q96QG7_MTMR9_HUMAN_.pdf</v>
      </c>
      <c r="AA2426" t="s">
        <v>13886</v>
      </c>
      <c r="AB2426" t="s">
        <v>17666</v>
      </c>
    </row>
    <row r="2427" spans="1:28" x14ac:dyDescent="0.25">
      <c r="A2427" t="s">
        <v>2431</v>
      </c>
      <c r="B2427">
        <v>0.98876768158843997</v>
      </c>
      <c r="C2427">
        <v>0.90218996217936398</v>
      </c>
      <c r="D2427">
        <v>0.98456081809731699</v>
      </c>
      <c r="E2427">
        <v>0.83837977826263799</v>
      </c>
      <c r="F2427">
        <v>0.267274573408737</v>
      </c>
      <c r="G2427">
        <v>8.2899595681090205E-2</v>
      </c>
      <c r="H2427">
        <v>4.5332138328704398E-2</v>
      </c>
      <c r="I2427">
        <v>3.7537817699070899E-2</v>
      </c>
      <c r="J2427">
        <v>6.20346652247869E-2</v>
      </c>
      <c r="K2427">
        <v>4.3379158540172401E-2</v>
      </c>
      <c r="L2427">
        <v>2443.5574210671798</v>
      </c>
      <c r="M2427">
        <v>47.307926057189498</v>
      </c>
      <c r="N2427">
        <v>51.770890413731102</v>
      </c>
      <c r="O2427">
        <v>51.560136220410499</v>
      </c>
      <c r="P2427">
        <v>-0.21759046450309799</v>
      </c>
      <c r="Q2427">
        <v>5.1407843647277102E-2</v>
      </c>
      <c r="R2427">
        <v>0.99386607380023095</v>
      </c>
      <c r="S2427" t="s">
        <v>6259</v>
      </c>
      <c r="T2427" t="s">
        <v>7662</v>
      </c>
      <c r="U2427" t="s">
        <v>7662</v>
      </c>
      <c r="V2427" t="s">
        <v>7662</v>
      </c>
      <c r="W2427">
        <v>21</v>
      </c>
      <c r="X2427" t="s">
        <v>10089</v>
      </c>
      <c r="Y2427">
        <v>0.42226225450351912</v>
      </c>
      <c r="Z2427" t="str">
        <f>HYPERLINK("Melting_Curves/meltCurve_sp_Q96QK1_VPS35_HUMAN_.pdf", "Melting_Curves/meltCurve_sp_Q96QK1_VPS35_HUMAN_.pdf")</f>
        <v>Melting_Curves/meltCurve_sp_Q96QK1_VPS35_HUMAN_.pdf</v>
      </c>
      <c r="AA2427" t="s">
        <v>13887</v>
      </c>
      <c r="AB2427" t="s">
        <v>17667</v>
      </c>
    </row>
    <row r="2428" spans="1:28" x14ac:dyDescent="0.25">
      <c r="A2428" t="s">
        <v>2432</v>
      </c>
      <c r="B2428">
        <v>0.98876768158843997</v>
      </c>
      <c r="C2428">
        <v>0.97813519465062004</v>
      </c>
      <c r="D2428">
        <v>1.1012464489584499</v>
      </c>
      <c r="E2428">
        <v>1.1080869843921299</v>
      </c>
      <c r="F2428">
        <v>0.805662402526234</v>
      </c>
      <c r="G2428">
        <v>0.73886231541317104</v>
      </c>
      <c r="H2428">
        <v>0.65672689651448002</v>
      </c>
      <c r="I2428">
        <v>0.642657758096156</v>
      </c>
      <c r="J2428">
        <v>0.48453914270064002</v>
      </c>
      <c r="K2428">
        <v>0.15822328966319599</v>
      </c>
      <c r="L2428">
        <v>735.59649220906601</v>
      </c>
      <c r="M2428">
        <v>11.3636093266767</v>
      </c>
      <c r="N2428">
        <v>64.732620834339698</v>
      </c>
      <c r="O2428">
        <v>62.825207964395901</v>
      </c>
      <c r="P2428">
        <v>-4.5232605068486101E-2</v>
      </c>
      <c r="Q2428">
        <v>0</v>
      </c>
      <c r="R2428">
        <v>0.88450108956062501</v>
      </c>
      <c r="S2428" t="s">
        <v>6260</v>
      </c>
      <c r="T2428" t="s">
        <v>7662</v>
      </c>
      <c r="U2428" t="s">
        <v>7662</v>
      </c>
      <c r="V2428" t="s">
        <v>7662</v>
      </c>
      <c r="W2428">
        <v>5</v>
      </c>
      <c r="X2428" t="s">
        <v>10090</v>
      </c>
      <c r="Y2428">
        <v>0.78355955200128391</v>
      </c>
      <c r="Z2428" t="str">
        <f>HYPERLINK("Melting_Curves/meltCurve_sp_Q96QR8_PURB_HUMAN_.pdf", "Melting_Curves/meltCurve_sp_Q96QR8_PURB_HUMAN_.pdf")</f>
        <v>Melting_Curves/meltCurve_sp_Q96QR8_PURB_HUMAN_.pdf</v>
      </c>
      <c r="AA2428" t="s">
        <v>13888</v>
      </c>
      <c r="AB2428" t="s">
        <v>17668</v>
      </c>
    </row>
    <row r="2429" spans="1:28" x14ac:dyDescent="0.25">
      <c r="A2429" t="s">
        <v>2433</v>
      </c>
      <c r="B2429">
        <v>0.98876768158843997</v>
      </c>
      <c r="C2429">
        <v>0.83939669292566599</v>
      </c>
      <c r="D2429">
        <v>0.89179638907992498</v>
      </c>
      <c r="E2429">
        <v>0.451295632775983</v>
      </c>
      <c r="F2429">
        <v>0.21377574858877599</v>
      </c>
      <c r="G2429">
        <v>8.8194126850962895E-2</v>
      </c>
      <c r="H2429">
        <v>8.2802475546159104E-2</v>
      </c>
      <c r="I2429">
        <v>8.7760992063295601E-2</v>
      </c>
      <c r="J2429">
        <v>0.10560640089847401</v>
      </c>
      <c r="K2429">
        <v>0.101319679020043</v>
      </c>
      <c r="L2429">
        <v>1178.93931843563</v>
      </c>
      <c r="M2429">
        <v>23.983426840873399</v>
      </c>
      <c r="N2429">
        <v>49.533537630518801</v>
      </c>
      <c r="O2429">
        <v>48.818469228210702</v>
      </c>
      <c r="P2429">
        <v>-0.112572201774411</v>
      </c>
      <c r="Q2429">
        <v>8.3447441414104095E-2</v>
      </c>
      <c r="R2429">
        <v>0.98357693501667498</v>
      </c>
      <c r="S2429" t="s">
        <v>6261</v>
      </c>
      <c r="T2429" t="s">
        <v>7662</v>
      </c>
      <c r="U2429" t="s">
        <v>7662</v>
      </c>
      <c r="V2429" t="s">
        <v>7662</v>
      </c>
      <c r="W2429">
        <v>2</v>
      </c>
      <c r="X2429" t="s">
        <v>10091</v>
      </c>
      <c r="Y2429">
        <v>0.37204540655749541</v>
      </c>
      <c r="Z2429" t="str">
        <f>HYPERLINK("Melting_Curves/meltCurve_sp_Q96QU8_XPO6_HUMAN_.pdf", "Melting_Curves/meltCurve_sp_Q96QU8_XPO6_HUMAN_.pdf")</f>
        <v>Melting_Curves/meltCurve_sp_Q96QU8_XPO6_HUMAN_.pdf</v>
      </c>
      <c r="AA2429" t="s">
        <v>13889</v>
      </c>
      <c r="AB2429" t="s">
        <v>17669</v>
      </c>
    </row>
    <row r="2430" spans="1:28" x14ac:dyDescent="0.25">
      <c r="A2430" t="s">
        <v>2434</v>
      </c>
      <c r="B2430">
        <v>0.98876768158843997</v>
      </c>
      <c r="C2430">
        <v>1.17579396191245</v>
      </c>
      <c r="D2430">
        <v>1.00577161713527</v>
      </c>
      <c r="E2430">
        <v>0.91185206409703901</v>
      </c>
      <c r="F2430">
        <v>0.83917958607356202</v>
      </c>
      <c r="G2430">
        <v>0.51087785097391303</v>
      </c>
      <c r="H2430">
        <v>0.33096682497810698</v>
      </c>
      <c r="I2430">
        <v>0.30076804011590202</v>
      </c>
      <c r="J2430">
        <v>0.41785459045289303</v>
      </c>
      <c r="K2430">
        <v>0.35529040939378798</v>
      </c>
      <c r="L2430">
        <v>1642.23280137855</v>
      </c>
      <c r="M2430">
        <v>29.9747987670195</v>
      </c>
      <c r="N2430">
        <v>56.997644452087997</v>
      </c>
      <c r="O2430">
        <v>54.544982701232598</v>
      </c>
      <c r="P2430">
        <v>-9.0173749688789703E-2</v>
      </c>
      <c r="Q2430">
        <v>0.34364926145490199</v>
      </c>
      <c r="R2430">
        <v>0.95582566971190097</v>
      </c>
      <c r="S2430" t="s">
        <v>6262</v>
      </c>
      <c r="T2430" t="s">
        <v>7662</v>
      </c>
      <c r="U2430" t="s">
        <v>7662</v>
      </c>
      <c r="V2430" t="s">
        <v>7662</v>
      </c>
      <c r="W2430">
        <v>9</v>
      </c>
      <c r="X2430" t="s">
        <v>10092</v>
      </c>
      <c r="Y2430">
        <v>0.67152014291642526</v>
      </c>
      <c r="Z2430" t="str">
        <f>HYPERLINK("Melting_Curves/meltCurve_sp_Q96QZ7_7_MAGI1_HUMAN_.pdf", "Melting_Curves/meltCurve_sp_Q96QZ7_7_MAGI1_HUMAN_.pdf")</f>
        <v>Melting_Curves/meltCurve_sp_Q96QZ7_7_MAGI1_HUMAN_.pdf</v>
      </c>
      <c r="AA2430" t="s">
        <v>13890</v>
      </c>
      <c r="AB2430" t="s">
        <v>17670</v>
      </c>
    </row>
    <row r="2431" spans="1:28" x14ac:dyDescent="0.25">
      <c r="A2431" t="s">
        <v>2435</v>
      </c>
      <c r="B2431">
        <v>0.98876768158843997</v>
      </c>
      <c r="C2431">
        <v>0.90328631026985895</v>
      </c>
      <c r="D2431">
        <v>0.75300121126192798</v>
      </c>
      <c r="E2431">
        <v>0.40298950529715699</v>
      </c>
      <c r="F2431">
        <v>0.46874589050575799</v>
      </c>
      <c r="G2431">
        <v>0.13285414709925999</v>
      </c>
      <c r="H2431">
        <v>0.122787698807656</v>
      </c>
      <c r="I2431">
        <v>9.4945556939849601E-2</v>
      </c>
      <c r="J2431">
        <v>0.133756404080078</v>
      </c>
      <c r="K2431">
        <v>0.111370918300672</v>
      </c>
      <c r="L2431">
        <v>686.18066927588904</v>
      </c>
      <c r="M2431">
        <v>13.9489021086754</v>
      </c>
      <c r="N2431">
        <v>49.841770035953402</v>
      </c>
      <c r="O2431">
        <v>48.214491769813499</v>
      </c>
      <c r="P2431">
        <v>-6.6327058293554703E-2</v>
      </c>
      <c r="Q2431">
        <v>8.3083053151895903E-2</v>
      </c>
      <c r="R2431">
        <v>0.96947493970356702</v>
      </c>
      <c r="S2431" t="s">
        <v>6263</v>
      </c>
      <c r="T2431" t="s">
        <v>7662</v>
      </c>
      <c r="U2431" t="s">
        <v>7662</v>
      </c>
      <c r="V2431" t="s">
        <v>7662</v>
      </c>
      <c r="W2431">
        <v>1</v>
      </c>
      <c r="X2431" t="s">
        <v>10093</v>
      </c>
      <c r="Y2431">
        <v>0.38970824609112159</v>
      </c>
      <c r="Z2431" t="str">
        <f>HYPERLINK("Melting_Curves/meltCurve_sp_Q96RE7_NACC1_HUMAN_.pdf", "Melting_Curves/meltCurve_sp_Q96RE7_NACC1_HUMAN_.pdf")</f>
        <v>Melting_Curves/meltCurve_sp_Q96RE7_NACC1_HUMAN_.pdf</v>
      </c>
      <c r="AA2431" t="s">
        <v>13891</v>
      </c>
      <c r="AB2431" t="s">
        <v>17671</v>
      </c>
    </row>
    <row r="2432" spans="1:28" x14ac:dyDescent="0.25">
      <c r="A2432" t="s">
        <v>2436</v>
      </c>
      <c r="B2432">
        <v>0.98876768158843997</v>
      </c>
      <c r="C2432">
        <v>1.0953534012141899</v>
      </c>
      <c r="D2432">
        <v>0.73559306614505804</v>
      </c>
      <c r="E2432">
        <v>0.59863354471010399</v>
      </c>
      <c r="F2432">
        <v>0.64054642317598198</v>
      </c>
      <c r="G2432">
        <v>0.441053072156462</v>
      </c>
      <c r="H2432">
        <v>0.31595055814317002</v>
      </c>
      <c r="I2432">
        <v>0.42317160431915901</v>
      </c>
      <c r="J2432">
        <v>0.58157873816760997</v>
      </c>
      <c r="K2432">
        <v>0.62187300458187</v>
      </c>
      <c r="L2432">
        <v>1315.7081076704501</v>
      </c>
      <c r="M2432">
        <v>28.1742339909961</v>
      </c>
      <c r="O2432">
        <v>46.465619202316397</v>
      </c>
      <c r="P2432">
        <v>-7.5566273192973807E-2</v>
      </c>
      <c r="Q2432">
        <v>0.50150136231658304</v>
      </c>
      <c r="R2432">
        <v>0.80562365399946101</v>
      </c>
      <c r="S2432" t="s">
        <v>6264</v>
      </c>
      <c r="T2432" t="s">
        <v>7662</v>
      </c>
      <c r="U2432" t="s">
        <v>7662</v>
      </c>
      <c r="V2432" t="s">
        <v>7662</v>
      </c>
      <c r="W2432">
        <v>2</v>
      </c>
      <c r="X2432" t="s">
        <v>10094</v>
      </c>
      <c r="Y2432">
        <v>0.6162539393011125</v>
      </c>
      <c r="Z2432" t="str">
        <f>HYPERLINK("Melting_Curves/meltCurve_sp_Q96RF0_2_SNX18_HUMAN_.pdf", "Melting_Curves/meltCurve_sp_Q96RF0_2_SNX18_HUMAN_.pdf")</f>
        <v>Melting_Curves/meltCurve_sp_Q96RF0_2_SNX18_HUMAN_.pdf</v>
      </c>
      <c r="AA2432" t="s">
        <v>13892</v>
      </c>
      <c r="AB2432" t="s">
        <v>17672</v>
      </c>
    </row>
    <row r="2433" spans="1:28" x14ac:dyDescent="0.25">
      <c r="A2433" t="s">
        <v>2437</v>
      </c>
      <c r="B2433">
        <v>0.98876768158843997</v>
      </c>
      <c r="C2433">
        <v>0.90656842443428898</v>
      </c>
      <c r="D2433">
        <v>0.81087337630928102</v>
      </c>
      <c r="E2433">
        <v>0.44129017196456399</v>
      </c>
      <c r="F2433">
        <v>0.13250340486409901</v>
      </c>
      <c r="G2433">
        <v>7.2468875884916406E-2</v>
      </c>
      <c r="H2433">
        <v>4.2844976812232503E-2</v>
      </c>
      <c r="I2433">
        <v>3.8571672086397599E-2</v>
      </c>
      <c r="J2433">
        <v>4.8660219119716602E-2</v>
      </c>
      <c r="K2433">
        <v>3.4935970359040197E-2</v>
      </c>
      <c r="L2433">
        <v>1079.27058351802</v>
      </c>
      <c r="M2433">
        <v>22.047905416487499</v>
      </c>
      <c r="N2433">
        <v>49.091443889690098</v>
      </c>
      <c r="O2433">
        <v>48.553812269305801</v>
      </c>
      <c r="P2433">
        <v>-0.110059660963421</v>
      </c>
      <c r="Q2433">
        <v>3.05298369601107E-2</v>
      </c>
      <c r="R2433">
        <v>0.99531131721134203</v>
      </c>
      <c r="S2433" t="s">
        <v>6265</v>
      </c>
      <c r="T2433" t="s">
        <v>7662</v>
      </c>
      <c r="U2433" t="s">
        <v>7662</v>
      </c>
      <c r="V2433" t="s">
        <v>7662</v>
      </c>
      <c r="W2433">
        <v>18</v>
      </c>
      <c r="X2433" t="s">
        <v>10095</v>
      </c>
      <c r="Y2433">
        <v>0.33092018022176101</v>
      </c>
      <c r="Z2433" t="str">
        <f>HYPERLINK("Melting_Curves/meltCurve_sp_Q96RP9_EFGM_HUMAN_.pdf", "Melting_Curves/meltCurve_sp_Q96RP9_EFGM_HUMAN_.pdf")</f>
        <v>Melting_Curves/meltCurve_sp_Q96RP9_EFGM_HUMAN_.pdf</v>
      </c>
      <c r="AA2433" t="s">
        <v>13893</v>
      </c>
      <c r="AB2433" t="s">
        <v>17673</v>
      </c>
    </row>
    <row r="2434" spans="1:28" x14ac:dyDescent="0.25">
      <c r="A2434" t="s">
        <v>2438</v>
      </c>
      <c r="B2434">
        <v>0.98876768158843997</v>
      </c>
      <c r="C2434">
        <v>0.97322440261268195</v>
      </c>
      <c r="D2434">
        <v>1.03337208308887</v>
      </c>
      <c r="E2434">
        <v>0.639464543523665</v>
      </c>
      <c r="F2434">
        <v>0.216206155590075</v>
      </c>
      <c r="G2434">
        <v>0.116795566378694</v>
      </c>
      <c r="H2434">
        <v>7.7047619279007606E-2</v>
      </c>
      <c r="I2434">
        <v>6.2902762392037001E-2</v>
      </c>
      <c r="J2434">
        <v>8.3146481340186401E-2</v>
      </c>
      <c r="K2434">
        <v>6.71394805192677E-2</v>
      </c>
      <c r="L2434">
        <v>2009.6257996056099</v>
      </c>
      <c r="M2434">
        <v>39.7154446192514</v>
      </c>
      <c r="N2434">
        <v>50.822345165641501</v>
      </c>
      <c r="O2434">
        <v>50.472812728768403</v>
      </c>
      <c r="P2434">
        <v>-0.18106995566798001</v>
      </c>
      <c r="Q2434">
        <v>7.9542594597282607E-2</v>
      </c>
      <c r="R2434">
        <v>0.99723407299381694</v>
      </c>
      <c r="S2434" t="s">
        <v>6266</v>
      </c>
      <c r="T2434" t="s">
        <v>7662</v>
      </c>
      <c r="U2434" t="s">
        <v>7662</v>
      </c>
      <c r="V2434" t="s">
        <v>7662</v>
      </c>
      <c r="W2434">
        <v>20</v>
      </c>
      <c r="X2434" t="s">
        <v>10096</v>
      </c>
      <c r="Y2434">
        <v>0.40805605094114028</v>
      </c>
      <c r="Z2434" t="str">
        <f>HYPERLINK("Melting_Curves/meltCurve_sp_Q96RQ3_MCCA_HUMAN_.pdf", "Melting_Curves/meltCurve_sp_Q96RQ3_MCCA_HUMAN_.pdf")</f>
        <v>Melting_Curves/meltCurve_sp_Q96RQ3_MCCA_HUMAN_.pdf</v>
      </c>
      <c r="AA2434" t="s">
        <v>13894</v>
      </c>
      <c r="AB2434" t="s">
        <v>17674</v>
      </c>
    </row>
    <row r="2435" spans="1:28" x14ac:dyDescent="0.25">
      <c r="A2435" t="s">
        <v>2439</v>
      </c>
      <c r="B2435">
        <v>0.98876768158843997</v>
      </c>
      <c r="C2435">
        <v>0.92083142798330198</v>
      </c>
      <c r="D2435">
        <v>0.90912673080316397</v>
      </c>
      <c r="E2435">
        <v>0.75014297082725601</v>
      </c>
      <c r="F2435">
        <v>0.50514962835421795</v>
      </c>
      <c r="G2435">
        <v>0.228765711743495</v>
      </c>
      <c r="H2435">
        <v>0.107739824550831</v>
      </c>
      <c r="I2435">
        <v>8.6095182508804602E-2</v>
      </c>
      <c r="J2435">
        <v>9.6681988137965802E-2</v>
      </c>
      <c r="K2435">
        <v>9.4800494960397996E-2</v>
      </c>
      <c r="L2435">
        <v>967.07471658755196</v>
      </c>
      <c r="M2435">
        <v>18.416252514303199</v>
      </c>
      <c r="N2435">
        <v>52.908651562866197</v>
      </c>
      <c r="O2435">
        <v>51.904608142536297</v>
      </c>
      <c r="P2435">
        <v>-8.2987038455537704E-2</v>
      </c>
      <c r="Q2435">
        <v>6.4475140176312604E-2</v>
      </c>
      <c r="R2435">
        <v>0.99496269487765798</v>
      </c>
      <c r="S2435" t="s">
        <v>6267</v>
      </c>
      <c r="T2435" t="s">
        <v>7662</v>
      </c>
      <c r="U2435" t="s">
        <v>7662</v>
      </c>
      <c r="V2435" t="s">
        <v>7662</v>
      </c>
      <c r="W2435">
        <v>4</v>
      </c>
      <c r="X2435" t="s">
        <v>10097</v>
      </c>
      <c r="Y2435">
        <v>0.46952516915056852</v>
      </c>
      <c r="Z2435" t="str">
        <f>HYPERLINK("Melting_Curves/meltCurve_sp_Q96RS6_3_NUDC1_HUMAN_.pdf", "Melting_Curves/meltCurve_sp_Q96RS6_3_NUDC1_HUMAN_.pdf")</f>
        <v>Melting_Curves/meltCurve_sp_Q96RS6_3_NUDC1_HUMAN_.pdf</v>
      </c>
      <c r="AA2435" t="s">
        <v>13895</v>
      </c>
      <c r="AB2435" t="s">
        <v>17675</v>
      </c>
    </row>
    <row r="2436" spans="1:28" x14ac:dyDescent="0.25">
      <c r="A2436" t="s">
        <v>2440</v>
      </c>
      <c r="B2436">
        <v>0.98876768158843997</v>
      </c>
      <c r="C2436">
        <v>1.14290648417368</v>
      </c>
      <c r="D2436">
        <v>0.84806077453698403</v>
      </c>
      <c r="E2436">
        <v>0.61129726522268502</v>
      </c>
      <c r="F2436">
        <v>0.86600750032710705</v>
      </c>
      <c r="G2436">
        <v>0.59843543836221502</v>
      </c>
      <c r="H2436">
        <v>0.52444967619204896</v>
      </c>
      <c r="I2436">
        <v>0.67779065726632104</v>
      </c>
      <c r="J2436">
        <v>0.94863856639849597</v>
      </c>
      <c r="K2436">
        <v>0.99593569131288695</v>
      </c>
      <c r="L2436">
        <v>11481.660315990701</v>
      </c>
      <c r="M2436">
        <v>250</v>
      </c>
      <c r="O2436">
        <v>45.923702955313402</v>
      </c>
      <c r="P2436">
        <v>-0.34557419713628401</v>
      </c>
      <c r="Q2436">
        <v>0.74607925566873901</v>
      </c>
      <c r="R2436">
        <v>0.39449279731365799</v>
      </c>
      <c r="S2436" t="s">
        <v>6268</v>
      </c>
      <c r="T2436" t="s">
        <v>7662</v>
      </c>
      <c r="U2436" t="s">
        <v>7662</v>
      </c>
      <c r="V2436" t="s">
        <v>7662</v>
      </c>
      <c r="W2436">
        <v>6</v>
      </c>
      <c r="X2436" t="s">
        <v>10098</v>
      </c>
      <c r="Y2436">
        <v>0.79626296052233903</v>
      </c>
      <c r="Z2436" t="str">
        <f>HYPERLINK("Melting_Curves/meltCurve_sp_Q96RT1_7_LAP2_HUMAN_.pdf", "Melting_Curves/meltCurve_sp_Q96RT1_7_LAP2_HUMAN_.pdf")</f>
        <v>Melting_Curves/meltCurve_sp_Q96RT1_7_LAP2_HUMAN_.pdf</v>
      </c>
      <c r="AA2436" t="s">
        <v>13896</v>
      </c>
      <c r="AB2436" t="s">
        <v>17676</v>
      </c>
    </row>
    <row r="2437" spans="1:28" x14ac:dyDescent="0.25">
      <c r="A2437" t="s">
        <v>2441</v>
      </c>
      <c r="B2437">
        <v>0.98876768158843997</v>
      </c>
      <c r="C2437">
        <v>0.96254623405282702</v>
      </c>
      <c r="D2437">
        <v>0.91013167543012696</v>
      </c>
      <c r="E2437">
        <v>0.85304125260335195</v>
      </c>
      <c r="F2437">
        <v>0.720218868993179</v>
      </c>
      <c r="G2437">
        <v>0.55353644411981096</v>
      </c>
      <c r="H2437">
        <v>0.52948205332446796</v>
      </c>
      <c r="I2437">
        <v>0.63371336266953304</v>
      </c>
      <c r="J2437">
        <v>0.70798179166102504</v>
      </c>
      <c r="K2437">
        <v>0.77096487970954997</v>
      </c>
      <c r="L2437">
        <v>1330.6078347928701</v>
      </c>
      <c r="M2437">
        <v>26.583577775806599</v>
      </c>
      <c r="O2437">
        <v>49.773081124648698</v>
      </c>
      <c r="P2437">
        <v>-4.8015461043879597E-2</v>
      </c>
      <c r="Q2437">
        <v>0.64040170790819595</v>
      </c>
      <c r="R2437">
        <v>0.79073242496531104</v>
      </c>
      <c r="S2437" t="s">
        <v>6269</v>
      </c>
      <c r="T2437" t="s">
        <v>7662</v>
      </c>
      <c r="U2437" t="s">
        <v>7662</v>
      </c>
      <c r="V2437" t="s">
        <v>7662</v>
      </c>
      <c r="W2437">
        <v>1</v>
      </c>
      <c r="X2437" t="s">
        <v>10099</v>
      </c>
      <c r="Y2437">
        <v>0.76375400248089231</v>
      </c>
      <c r="Z2437" t="str">
        <f>HYPERLINK("Melting_Curves/meltCurve_sp_Q96RW7_2_HMCN1_HUMAN_.pdf", "Melting_Curves/meltCurve_sp_Q96RW7_2_HMCN1_HUMAN_.pdf")</f>
        <v>Melting_Curves/meltCurve_sp_Q96RW7_2_HMCN1_HUMAN_.pdf</v>
      </c>
      <c r="AA2437" t="s">
        <v>13897</v>
      </c>
      <c r="AB2437" t="s">
        <v>17677</v>
      </c>
    </row>
    <row r="2438" spans="1:28" x14ac:dyDescent="0.25">
      <c r="A2438" t="s">
        <v>2442</v>
      </c>
      <c r="B2438">
        <v>0.98876768158843997</v>
      </c>
      <c r="C2438">
        <v>1.1566221276778399</v>
      </c>
      <c r="D2438">
        <v>0.84987060627592204</v>
      </c>
      <c r="E2438">
        <v>0.63143371454462205</v>
      </c>
      <c r="F2438">
        <v>0.14988284662381901</v>
      </c>
      <c r="G2438">
        <v>5.91561959091184E-2</v>
      </c>
      <c r="H2438">
        <v>4.5921459942030701E-2</v>
      </c>
      <c r="I2438">
        <v>3.7159036938054203E-2</v>
      </c>
      <c r="J2438">
        <v>4.6383685811771901E-2</v>
      </c>
      <c r="K2438">
        <v>3.8827293762936997E-2</v>
      </c>
      <c r="L2438">
        <v>1787.4990055209901</v>
      </c>
      <c r="M2438">
        <v>35.417230872089597</v>
      </c>
      <c r="N2438">
        <v>50.580847894322602</v>
      </c>
      <c r="O2438">
        <v>50.309672875547498</v>
      </c>
      <c r="P2438">
        <v>-0.16941196445257001</v>
      </c>
      <c r="Q2438">
        <v>3.7414202807578803E-2</v>
      </c>
      <c r="R2438">
        <v>0.97730067806323295</v>
      </c>
      <c r="S2438" t="s">
        <v>6270</v>
      </c>
      <c r="T2438" t="s">
        <v>7662</v>
      </c>
      <c r="U2438" t="s">
        <v>7662</v>
      </c>
      <c r="V2438" t="s">
        <v>7662</v>
      </c>
      <c r="W2438">
        <v>6</v>
      </c>
      <c r="X2438" t="s">
        <v>10100</v>
      </c>
      <c r="Y2438">
        <v>0.37764168191390002</v>
      </c>
      <c r="Z2438" t="str">
        <f>HYPERLINK("Melting_Curves/meltCurve_sp_Q96S19_CP013_HUMAN_.pdf", "Melting_Curves/meltCurve_sp_Q96S19_CP013_HUMAN_.pdf")</f>
        <v>Melting_Curves/meltCurve_sp_Q96S19_CP013_HUMAN_.pdf</v>
      </c>
      <c r="AA2438" t="s">
        <v>13898</v>
      </c>
      <c r="AB2438" t="s">
        <v>17678</v>
      </c>
    </row>
    <row r="2439" spans="1:28" x14ac:dyDescent="0.25">
      <c r="A2439" t="s">
        <v>2443</v>
      </c>
      <c r="B2439">
        <v>0.98876768158843997</v>
      </c>
      <c r="C2439">
        <v>0.87093699089832799</v>
      </c>
      <c r="D2439">
        <v>0.85605699760069798</v>
      </c>
      <c r="E2439">
        <v>0.55613033214934604</v>
      </c>
      <c r="F2439">
        <v>0.15014344711698299</v>
      </c>
      <c r="G2439">
        <v>0.12680725334973</v>
      </c>
      <c r="H2439">
        <v>8.4631378367120605E-2</v>
      </c>
      <c r="I2439">
        <v>9.4000072276656105E-2</v>
      </c>
      <c r="J2439">
        <v>9.9445286687859194E-2</v>
      </c>
      <c r="K2439">
        <v>5.2008064881653597E-2</v>
      </c>
      <c r="L2439">
        <v>1179.69973478677</v>
      </c>
      <c r="M2439">
        <v>23.793680745356198</v>
      </c>
      <c r="N2439">
        <v>49.905315861650003</v>
      </c>
      <c r="O2439">
        <v>49.234144876355103</v>
      </c>
      <c r="P2439">
        <v>-0.112151047224214</v>
      </c>
      <c r="Q2439">
        <v>7.1758487157172701E-2</v>
      </c>
      <c r="R2439">
        <v>0.98115843793803303</v>
      </c>
      <c r="S2439" t="s">
        <v>6271</v>
      </c>
      <c r="T2439" t="s">
        <v>7662</v>
      </c>
      <c r="U2439" t="s">
        <v>7662</v>
      </c>
      <c r="V2439" t="s">
        <v>7662</v>
      </c>
      <c r="W2439">
        <v>4</v>
      </c>
      <c r="X2439" t="s">
        <v>10101</v>
      </c>
      <c r="Y2439">
        <v>0.3773234877572198</v>
      </c>
      <c r="Z2439" t="str">
        <f>HYPERLINK("Melting_Curves/meltCurve_sp_Q96S44_PRPK_HUMAN_.pdf", "Melting_Curves/meltCurve_sp_Q96S44_PRPK_HUMAN_.pdf")</f>
        <v>Melting_Curves/meltCurve_sp_Q96S44_PRPK_HUMAN_.pdf</v>
      </c>
      <c r="AA2439" t="s">
        <v>13899</v>
      </c>
      <c r="AB2439" t="s">
        <v>17679</v>
      </c>
    </row>
    <row r="2440" spans="1:28" x14ac:dyDescent="0.25">
      <c r="A2440" t="s">
        <v>2444</v>
      </c>
      <c r="B2440">
        <v>0.98876768158843997</v>
      </c>
      <c r="C2440">
        <v>1.1083365511368299</v>
      </c>
      <c r="D2440">
        <v>1.06340388281848</v>
      </c>
      <c r="E2440">
        <v>0.68901805499958102</v>
      </c>
      <c r="F2440">
        <v>0.29354232631566801</v>
      </c>
      <c r="G2440">
        <v>0.18176996808450599</v>
      </c>
      <c r="H2440">
        <v>0.240032807268379</v>
      </c>
      <c r="I2440">
        <v>0.17917579749073401</v>
      </c>
      <c r="J2440">
        <v>0.271731223637874</v>
      </c>
      <c r="K2440">
        <v>0.29785211384127602</v>
      </c>
      <c r="L2440">
        <v>2812.2092108706001</v>
      </c>
      <c r="M2440">
        <v>55.846152156449001</v>
      </c>
      <c r="N2440">
        <v>50.939241066077201</v>
      </c>
      <c r="O2440">
        <v>50.291939764878002</v>
      </c>
      <c r="P2440">
        <v>-0.21206789661716099</v>
      </c>
      <c r="Q2440">
        <v>0.23609451716274399</v>
      </c>
      <c r="R2440">
        <v>0.97940908556499895</v>
      </c>
      <c r="S2440" t="s">
        <v>6272</v>
      </c>
      <c r="T2440" t="s">
        <v>7662</v>
      </c>
      <c r="U2440" t="s">
        <v>7662</v>
      </c>
      <c r="V2440" t="s">
        <v>7662</v>
      </c>
      <c r="W2440">
        <v>1</v>
      </c>
      <c r="X2440" t="s">
        <v>10102</v>
      </c>
      <c r="Y2440">
        <v>0.50116261818778063</v>
      </c>
      <c r="Z2440" t="str">
        <f>HYPERLINK("Melting_Curves/meltCurve_sp_Q96S59_2_RANB9_HUMAN_.pdf", "Melting_Curves/meltCurve_sp_Q96S59_2_RANB9_HUMAN_.pdf")</f>
        <v>Melting_Curves/meltCurve_sp_Q96S59_2_RANB9_HUMAN_.pdf</v>
      </c>
      <c r="AA2440" t="s">
        <v>13900</v>
      </c>
      <c r="AB2440" t="s">
        <v>17680</v>
      </c>
    </row>
    <row r="2441" spans="1:28" x14ac:dyDescent="0.25">
      <c r="A2441" t="s">
        <v>2445</v>
      </c>
      <c r="B2441">
        <v>0.98876768158843997</v>
      </c>
      <c r="C2441">
        <v>1.03991450714588</v>
      </c>
      <c r="D2441">
        <v>1.09279584959618</v>
      </c>
      <c r="E2441">
        <v>1.09657392735738</v>
      </c>
      <c r="F2441">
        <v>0.88512341574693498</v>
      </c>
      <c r="G2441">
        <v>0.60640817940774205</v>
      </c>
      <c r="H2441">
        <v>0.22047412643813599</v>
      </c>
      <c r="I2441">
        <v>0.23719459938829399</v>
      </c>
      <c r="J2441">
        <v>0.248109231526708</v>
      </c>
      <c r="K2441">
        <v>0.340112673022052</v>
      </c>
      <c r="L2441">
        <v>2351.7759206380701</v>
      </c>
      <c r="M2441">
        <v>41.522186723550902</v>
      </c>
      <c r="N2441">
        <v>57.625499223978501</v>
      </c>
      <c r="O2441">
        <v>56.508118802009001</v>
      </c>
      <c r="P2441">
        <v>-0.13697105789311201</v>
      </c>
      <c r="Q2441">
        <v>0.254378094188693</v>
      </c>
      <c r="R2441">
        <v>0.97028137046042195</v>
      </c>
      <c r="S2441" t="s">
        <v>6273</v>
      </c>
      <c r="T2441" t="s">
        <v>7662</v>
      </c>
      <c r="U2441" t="s">
        <v>7662</v>
      </c>
      <c r="V2441" t="s">
        <v>7662</v>
      </c>
      <c r="W2441">
        <v>6</v>
      </c>
      <c r="X2441" t="s">
        <v>10103</v>
      </c>
      <c r="Y2441">
        <v>0.67061347384504677</v>
      </c>
      <c r="Z2441" t="str">
        <f>HYPERLINK("Melting_Curves/meltCurve_sp_Q96S66_4_CLCC1_HUMAN_.pdf", "Melting_Curves/meltCurve_sp_Q96S66_4_CLCC1_HUMAN_.pdf")</f>
        <v>Melting_Curves/meltCurve_sp_Q96S66_4_CLCC1_HUMAN_.pdf</v>
      </c>
      <c r="AA2441" t="s">
        <v>13901</v>
      </c>
      <c r="AB2441" t="s">
        <v>17681</v>
      </c>
    </row>
    <row r="2442" spans="1:28" x14ac:dyDescent="0.25">
      <c r="A2442" t="s">
        <v>2446</v>
      </c>
      <c r="B2442">
        <v>0.98876768158843997</v>
      </c>
      <c r="C2442">
        <v>0.91397030760810005</v>
      </c>
      <c r="D2442">
        <v>0.87129697119927796</v>
      </c>
      <c r="E2442">
        <v>0.70255281514706303</v>
      </c>
      <c r="F2442">
        <v>0.72816586463585597</v>
      </c>
      <c r="G2442">
        <v>0.49039080217287501</v>
      </c>
      <c r="H2442">
        <v>0.41259169764651799</v>
      </c>
      <c r="I2442">
        <v>0.39790695394749898</v>
      </c>
      <c r="J2442">
        <v>0.40541567882854401</v>
      </c>
      <c r="K2442">
        <v>0.40308984887135701</v>
      </c>
      <c r="L2442">
        <v>560.46107657394998</v>
      </c>
      <c r="M2442">
        <v>10.7579823698211</v>
      </c>
      <c r="N2442">
        <v>58.1176556553973</v>
      </c>
      <c r="O2442">
        <v>50.393948173086002</v>
      </c>
      <c r="P2442">
        <v>-3.5453116478474898E-2</v>
      </c>
      <c r="Q2442">
        <v>0.33594769001442099</v>
      </c>
      <c r="R2442">
        <v>0.97151064018261302</v>
      </c>
      <c r="S2442" t="s">
        <v>6274</v>
      </c>
      <c r="T2442" t="s">
        <v>7662</v>
      </c>
      <c r="U2442" t="s">
        <v>7662</v>
      </c>
      <c r="V2442" t="s">
        <v>7662</v>
      </c>
      <c r="W2442">
        <v>4</v>
      </c>
      <c r="X2442" t="s">
        <v>10104</v>
      </c>
      <c r="Y2442">
        <v>0.62675617460281718</v>
      </c>
      <c r="Z2442" t="str">
        <f>HYPERLINK("Melting_Curves/meltCurve_sp_Q96ST2_2_IWS1_HUMAN_.pdf", "Melting_Curves/meltCurve_sp_Q96ST2_2_IWS1_HUMAN_.pdf")</f>
        <v>Melting_Curves/meltCurve_sp_Q96ST2_2_IWS1_HUMAN_.pdf</v>
      </c>
      <c r="AA2442" t="s">
        <v>13902</v>
      </c>
      <c r="AB2442" t="s">
        <v>17682</v>
      </c>
    </row>
    <row r="2443" spans="1:28" x14ac:dyDescent="0.25">
      <c r="A2443" t="s">
        <v>2447</v>
      </c>
      <c r="B2443">
        <v>0.98876768158843997</v>
      </c>
      <c r="C2443">
        <v>1.0381859317414699</v>
      </c>
      <c r="D2443">
        <v>0.88894253741756801</v>
      </c>
      <c r="E2443">
        <v>0.66600992959329597</v>
      </c>
      <c r="F2443">
        <v>0.51279060529751996</v>
      </c>
      <c r="G2443">
        <v>0.35776587150302802</v>
      </c>
      <c r="H2443">
        <v>0.28174840552125402</v>
      </c>
      <c r="I2443">
        <v>0.30280384362502799</v>
      </c>
      <c r="J2443">
        <v>0.58701203670301805</v>
      </c>
      <c r="K2443">
        <v>0.33887132384539997</v>
      </c>
      <c r="L2443">
        <v>1200.68180725149</v>
      </c>
      <c r="M2443">
        <v>24.1622503698412</v>
      </c>
      <c r="N2443">
        <v>52.641135986005899</v>
      </c>
      <c r="O2443">
        <v>49.355836861003802</v>
      </c>
      <c r="P2443">
        <v>-7.7004700997698503E-2</v>
      </c>
      <c r="Q2443">
        <v>0.37082468361833698</v>
      </c>
      <c r="R2443">
        <v>0.91031967618310805</v>
      </c>
      <c r="S2443" t="s">
        <v>6275</v>
      </c>
      <c r="T2443" t="s">
        <v>7662</v>
      </c>
      <c r="U2443" t="s">
        <v>7662</v>
      </c>
      <c r="V2443" t="s">
        <v>7662</v>
      </c>
      <c r="W2443">
        <v>4</v>
      </c>
      <c r="X2443" t="s">
        <v>10105</v>
      </c>
      <c r="Y2443">
        <v>0.58010685409635321</v>
      </c>
      <c r="Z2443" t="str">
        <f>HYPERLINK("Melting_Curves/meltCurve_sp_Q96ST3_SIN3A_HUMAN_.pdf", "Melting_Curves/meltCurve_sp_Q96ST3_SIN3A_HUMAN_.pdf")</f>
        <v>Melting_Curves/meltCurve_sp_Q96ST3_SIN3A_HUMAN_.pdf</v>
      </c>
      <c r="AA2443" t="s">
        <v>13903</v>
      </c>
      <c r="AB2443" t="s">
        <v>17683</v>
      </c>
    </row>
    <row r="2444" spans="1:28" x14ac:dyDescent="0.25">
      <c r="A2444" t="s">
        <v>2448</v>
      </c>
      <c r="B2444">
        <v>0.98876768158843997</v>
      </c>
      <c r="C2444">
        <v>0.97699064144832304</v>
      </c>
      <c r="D2444">
        <v>0.77710834015475305</v>
      </c>
      <c r="E2444">
        <v>0.58836486282997602</v>
      </c>
      <c r="F2444">
        <v>0.31394073335575101</v>
      </c>
      <c r="G2444">
        <v>0.15791459874140901</v>
      </c>
      <c r="H2444">
        <v>0.121341300113989</v>
      </c>
      <c r="I2444">
        <v>0.104677744529289</v>
      </c>
      <c r="J2444">
        <v>0.18043224880105599</v>
      </c>
      <c r="K2444">
        <v>0.100874781763534</v>
      </c>
      <c r="L2444">
        <v>891.95264244731004</v>
      </c>
      <c r="M2444">
        <v>17.9195137226768</v>
      </c>
      <c r="N2444">
        <v>50.4445990000983</v>
      </c>
      <c r="O2444">
        <v>49.168021561729503</v>
      </c>
      <c r="P2444">
        <v>-8.1480194278490403E-2</v>
      </c>
      <c r="Q2444">
        <v>0.10577511631832801</v>
      </c>
      <c r="R2444">
        <v>0.98941821014833198</v>
      </c>
      <c r="S2444" t="s">
        <v>6276</v>
      </c>
      <c r="T2444" t="s">
        <v>7662</v>
      </c>
      <c r="U2444" t="s">
        <v>7662</v>
      </c>
      <c r="V2444" t="s">
        <v>7662</v>
      </c>
      <c r="W2444">
        <v>6</v>
      </c>
      <c r="X2444" t="s">
        <v>10106</v>
      </c>
      <c r="Y2444">
        <v>0.41258618087402121</v>
      </c>
      <c r="Z2444" t="str">
        <f>HYPERLINK("Melting_Curves/meltCurve_sp_Q96SU4_7_OSBL9_HUMAN_.pdf", "Melting_Curves/meltCurve_sp_Q96SU4_7_OSBL9_HUMAN_.pdf")</f>
        <v>Melting_Curves/meltCurve_sp_Q96SU4_7_OSBL9_HUMAN_.pdf</v>
      </c>
      <c r="AA2444" t="s">
        <v>13904</v>
      </c>
      <c r="AB2444" t="s">
        <v>17684</v>
      </c>
    </row>
    <row r="2445" spans="1:28" x14ac:dyDescent="0.25">
      <c r="A2445" t="s">
        <v>2449</v>
      </c>
      <c r="B2445">
        <v>0.98876768158843997</v>
      </c>
      <c r="C2445">
        <v>1.1050468846244299</v>
      </c>
      <c r="D2445">
        <v>0.81271472862272598</v>
      </c>
      <c r="E2445">
        <v>0.73097917650661204</v>
      </c>
      <c r="F2445">
        <v>0.78489216044969501</v>
      </c>
      <c r="G2445">
        <v>0.51556038167519802</v>
      </c>
      <c r="H2445">
        <v>0.32526464013857698</v>
      </c>
      <c r="I2445">
        <v>0.239614926071514</v>
      </c>
      <c r="J2445">
        <v>0.14655114722715501</v>
      </c>
      <c r="K2445">
        <v>9.7352274327695096E-2</v>
      </c>
      <c r="L2445">
        <v>611.03293476295698</v>
      </c>
      <c r="M2445">
        <v>10.7171498981137</v>
      </c>
      <c r="N2445">
        <v>57.0144992403781</v>
      </c>
      <c r="O2445">
        <v>55.136982957943303</v>
      </c>
      <c r="P2445">
        <v>-4.8611418893825198E-2</v>
      </c>
      <c r="Q2445">
        <v>0</v>
      </c>
      <c r="R2445">
        <v>0.95826781417157003</v>
      </c>
      <c r="S2445" t="s">
        <v>6277</v>
      </c>
      <c r="T2445" t="s">
        <v>7662</v>
      </c>
      <c r="U2445" t="s">
        <v>7662</v>
      </c>
      <c r="V2445" t="s">
        <v>7662</v>
      </c>
      <c r="W2445">
        <v>6</v>
      </c>
      <c r="X2445" t="s">
        <v>10107</v>
      </c>
      <c r="Y2445">
        <v>0.58349442922051253</v>
      </c>
      <c r="Z2445" t="str">
        <f>HYPERLINK("Melting_Curves/meltCurve_sp_Q96SZ5_AEDO_HUMAN_.pdf", "Melting_Curves/meltCurve_sp_Q96SZ5_AEDO_HUMAN_.pdf")</f>
        <v>Melting_Curves/meltCurve_sp_Q96SZ5_AEDO_HUMAN_.pdf</v>
      </c>
      <c r="AA2445" t="s">
        <v>13905</v>
      </c>
      <c r="AB2445" t="s">
        <v>17685</v>
      </c>
    </row>
    <row r="2446" spans="1:28" x14ac:dyDescent="0.25">
      <c r="A2446" t="s">
        <v>2450</v>
      </c>
      <c r="B2446">
        <v>0.98876768158843997</v>
      </c>
      <c r="C2446">
        <v>0.90607811699764096</v>
      </c>
      <c r="D2446">
        <v>1.11248878380995</v>
      </c>
      <c r="E2446">
        <v>1.07293310572139</v>
      </c>
      <c r="F2446">
        <v>0.31536374970971898</v>
      </c>
      <c r="G2446">
        <v>0.15319529608496199</v>
      </c>
      <c r="H2446">
        <v>4.2052144455294101E-2</v>
      </c>
      <c r="I2446">
        <v>3.2180050392688501E-2</v>
      </c>
      <c r="J2446">
        <v>2.83719430680528E-2</v>
      </c>
      <c r="K2446">
        <v>3.54317997477855E-2</v>
      </c>
      <c r="L2446">
        <v>13198.094316823999</v>
      </c>
      <c r="M2446">
        <v>250</v>
      </c>
      <c r="N2446">
        <v>52.818545806276902</v>
      </c>
      <c r="O2446">
        <v>52.789000098207602</v>
      </c>
      <c r="P2446">
        <v>-1.1149976940427599</v>
      </c>
      <c r="Q2446">
        <v>5.8246208292445402E-2</v>
      </c>
      <c r="R2446">
        <v>0.98192626849313602</v>
      </c>
      <c r="S2446" t="s">
        <v>6278</v>
      </c>
      <c r="T2446" t="s">
        <v>7662</v>
      </c>
      <c r="U2446" t="s">
        <v>7662</v>
      </c>
      <c r="V2446" t="s">
        <v>7662</v>
      </c>
      <c r="W2446">
        <v>2</v>
      </c>
      <c r="X2446" t="s">
        <v>10108</v>
      </c>
      <c r="Y2446">
        <v>0.45990912147432628</v>
      </c>
      <c r="Z2446" t="str">
        <f>HYPERLINK("Melting_Curves/meltCurve_sp_Q96T37_2_RBM15_HUMAN_.pdf", "Melting_Curves/meltCurve_sp_Q96T37_2_RBM15_HUMAN_.pdf")</f>
        <v>Melting_Curves/meltCurve_sp_Q96T37_2_RBM15_HUMAN_.pdf</v>
      </c>
      <c r="AA2446" t="s">
        <v>13906</v>
      </c>
      <c r="AB2446" t="s">
        <v>17686</v>
      </c>
    </row>
    <row r="2447" spans="1:28" x14ac:dyDescent="0.25">
      <c r="A2447" t="s">
        <v>2451</v>
      </c>
      <c r="B2447">
        <v>0.98876768158843997</v>
      </c>
      <c r="C2447">
        <v>1.00782531765366</v>
      </c>
      <c r="D2447">
        <v>0.90499831449423396</v>
      </c>
      <c r="E2447">
        <v>0.68143329079912396</v>
      </c>
      <c r="F2447">
        <v>0.73138504267662996</v>
      </c>
      <c r="G2447">
        <v>0.41594025752868402</v>
      </c>
      <c r="H2447">
        <v>0.26318317651308898</v>
      </c>
      <c r="I2447">
        <v>0.24294716511728801</v>
      </c>
      <c r="J2447">
        <v>0.31491297136409302</v>
      </c>
      <c r="K2447">
        <v>0.32558858770283799</v>
      </c>
      <c r="L2447">
        <v>787.60725213271303</v>
      </c>
      <c r="M2447">
        <v>14.941793372421101</v>
      </c>
      <c r="N2447">
        <v>55.2508560096935</v>
      </c>
      <c r="O2447">
        <v>51.794548238161198</v>
      </c>
      <c r="P2447">
        <v>-5.4212923844611502E-2</v>
      </c>
      <c r="Q2447">
        <v>0.24837780522949601</v>
      </c>
      <c r="R2447">
        <v>0.95669517142169203</v>
      </c>
      <c r="S2447" t="s">
        <v>6279</v>
      </c>
      <c r="T2447" t="s">
        <v>7662</v>
      </c>
      <c r="U2447" t="s">
        <v>7662</v>
      </c>
      <c r="V2447" t="s">
        <v>7662</v>
      </c>
      <c r="W2447">
        <v>12</v>
      </c>
      <c r="X2447" t="s">
        <v>10109</v>
      </c>
      <c r="Y2447">
        <v>0.58331454038299313</v>
      </c>
      <c r="Z2447" t="str">
        <f>HYPERLINK("Melting_Curves/meltCurve_sp_Q96T51_RUFY1_HUMAN_.pdf", "Melting_Curves/meltCurve_sp_Q96T51_RUFY1_HUMAN_.pdf")</f>
        <v>Melting_Curves/meltCurve_sp_Q96T51_RUFY1_HUMAN_.pdf</v>
      </c>
      <c r="AA2447" t="s">
        <v>13907</v>
      </c>
      <c r="AB2447" t="s">
        <v>17687</v>
      </c>
    </row>
    <row r="2448" spans="1:28" x14ac:dyDescent="0.25">
      <c r="A2448" t="s">
        <v>2452</v>
      </c>
      <c r="B2448">
        <v>0.98876768158843997</v>
      </c>
      <c r="C2448">
        <v>1.4311525534956899</v>
      </c>
      <c r="D2448">
        <v>0.95430259965806297</v>
      </c>
      <c r="E2448">
        <v>0.96570870735686398</v>
      </c>
      <c r="F2448">
        <v>1.07799765879134</v>
      </c>
      <c r="G2448">
        <v>0.75052495647138295</v>
      </c>
      <c r="H2448">
        <v>0.52893493344536502</v>
      </c>
      <c r="I2448">
        <v>0.52780259239581395</v>
      </c>
      <c r="J2448">
        <v>0.48299030515838898</v>
      </c>
      <c r="K2448">
        <v>0.66530236676407495</v>
      </c>
      <c r="L2448">
        <v>14237.1914615532</v>
      </c>
      <c r="M2448">
        <v>250</v>
      </c>
      <c r="O2448">
        <v>56.945121609917301</v>
      </c>
      <c r="P2448">
        <v>-0.49251635325732501</v>
      </c>
      <c r="Q2448">
        <v>0.55125754327126297</v>
      </c>
      <c r="R2448">
        <v>0.73804425681919095</v>
      </c>
      <c r="S2448" t="s">
        <v>6280</v>
      </c>
      <c r="T2448" t="s">
        <v>7662</v>
      </c>
      <c r="U2448" t="s">
        <v>7662</v>
      </c>
      <c r="V2448" t="s">
        <v>7662</v>
      </c>
      <c r="W2448">
        <v>1</v>
      </c>
      <c r="X2448" t="s">
        <v>10110</v>
      </c>
      <c r="Y2448">
        <v>0.80482341995441475</v>
      </c>
      <c r="Z2448" t="str">
        <f>HYPERLINK("Melting_Curves/meltCurve_sp_Q96T58_MINT_HUMAN_.pdf", "Melting_Curves/meltCurve_sp_Q96T58_MINT_HUMAN_.pdf")</f>
        <v>Melting_Curves/meltCurve_sp_Q96T58_MINT_HUMAN_.pdf</v>
      </c>
      <c r="AA2448" t="s">
        <v>13908</v>
      </c>
      <c r="AB2448" t="s">
        <v>17688</v>
      </c>
    </row>
    <row r="2449" spans="1:28" x14ac:dyDescent="0.25">
      <c r="A2449" t="s">
        <v>2453</v>
      </c>
      <c r="B2449">
        <v>0.98876768158843997</v>
      </c>
      <c r="C2449">
        <v>0.850937458281669</v>
      </c>
      <c r="D2449">
        <v>0.68435201141093904</v>
      </c>
      <c r="E2449">
        <v>0.266580422404599</v>
      </c>
      <c r="F2449">
        <v>0.14754941476452099</v>
      </c>
      <c r="G2449">
        <v>8.0270092306456806E-2</v>
      </c>
      <c r="H2449">
        <v>4.4262811574438003E-2</v>
      </c>
      <c r="I2449">
        <v>4.2383614056724299E-2</v>
      </c>
      <c r="J2449">
        <v>3.7903613371568799E-2</v>
      </c>
      <c r="K2449">
        <v>3.00633306951586E-2</v>
      </c>
      <c r="L2449">
        <v>923.82041294915996</v>
      </c>
      <c r="M2449">
        <v>19.500685730464198</v>
      </c>
      <c r="N2449">
        <v>47.546921614681899</v>
      </c>
      <c r="O2449">
        <v>46.883993996624</v>
      </c>
      <c r="P2449">
        <v>-0.100423024765671</v>
      </c>
      <c r="Q2449">
        <v>3.4277399005860097E-2</v>
      </c>
      <c r="R2449">
        <v>0.99743429825693997</v>
      </c>
      <c r="S2449" t="s">
        <v>6281</v>
      </c>
      <c r="T2449" t="s">
        <v>7662</v>
      </c>
      <c r="U2449" t="s">
        <v>7662</v>
      </c>
      <c r="V2449" t="s">
        <v>7662</v>
      </c>
      <c r="W2449">
        <v>5</v>
      </c>
      <c r="X2449" t="s">
        <v>10111</v>
      </c>
      <c r="Y2449">
        <v>0.28638108831505121</v>
      </c>
      <c r="Z2449" t="str">
        <f>HYPERLINK("Melting_Curves/meltCurve_sp_Q96T76_MMS19_HUMAN_.pdf", "Melting_Curves/meltCurve_sp_Q96T76_MMS19_HUMAN_.pdf")</f>
        <v>Melting_Curves/meltCurve_sp_Q96T76_MMS19_HUMAN_.pdf</v>
      </c>
      <c r="AA2449" t="s">
        <v>13909</v>
      </c>
      <c r="AB2449" t="s">
        <v>17689</v>
      </c>
    </row>
    <row r="2450" spans="1:28" x14ac:dyDescent="0.25">
      <c r="A2450" t="s">
        <v>2454</v>
      </c>
      <c r="B2450">
        <v>0.98876768158843997</v>
      </c>
      <c r="C2450">
        <v>0.95036330448544704</v>
      </c>
      <c r="D2450">
        <v>0.93294014758313204</v>
      </c>
      <c r="E2450">
        <v>0.62454325126386501</v>
      </c>
      <c r="F2450">
        <v>0.59010526823199005</v>
      </c>
      <c r="G2450">
        <v>0.414216265207493</v>
      </c>
      <c r="H2450">
        <v>0.33177662182532103</v>
      </c>
      <c r="I2450">
        <v>0.36238363882218899</v>
      </c>
      <c r="J2450">
        <v>0.46748442899583897</v>
      </c>
      <c r="K2450">
        <v>0.16534937994436599</v>
      </c>
      <c r="L2450">
        <v>747.84358021241405</v>
      </c>
      <c r="M2450">
        <v>14.710723120277001</v>
      </c>
      <c r="N2450">
        <v>54.250011829439401</v>
      </c>
      <c r="O2450">
        <v>49.924931477177303</v>
      </c>
      <c r="P2450">
        <v>-5.1434157293789501E-2</v>
      </c>
      <c r="Q2450">
        <v>0.301851635175864</v>
      </c>
      <c r="R2450">
        <v>0.92747399759216398</v>
      </c>
      <c r="S2450" t="s">
        <v>6282</v>
      </c>
      <c r="T2450" t="s">
        <v>7662</v>
      </c>
      <c r="U2450" t="s">
        <v>7662</v>
      </c>
      <c r="V2450" t="s">
        <v>7662</v>
      </c>
      <c r="W2450">
        <v>5</v>
      </c>
      <c r="X2450" t="s">
        <v>10112</v>
      </c>
      <c r="Y2450">
        <v>0.57078546649642981</v>
      </c>
      <c r="Z2450" t="str">
        <f>HYPERLINK("Melting_Curves/meltCurve_sp_Q99417_MYCBP_HUMAN_.pdf", "Melting_Curves/meltCurve_sp_Q99417_MYCBP_HUMAN_.pdf")</f>
        <v>Melting_Curves/meltCurve_sp_Q99417_MYCBP_HUMAN_.pdf</v>
      </c>
      <c r="AA2450" t="s">
        <v>13910</v>
      </c>
      <c r="AB2450" t="s">
        <v>17690</v>
      </c>
    </row>
    <row r="2451" spans="1:28" x14ac:dyDescent="0.25">
      <c r="A2451" t="s">
        <v>2455</v>
      </c>
      <c r="B2451">
        <v>0.98876768158843997</v>
      </c>
      <c r="C2451">
        <v>0.75905191338503497</v>
      </c>
      <c r="D2451">
        <v>0.96835988185547395</v>
      </c>
      <c r="E2451">
        <v>0.84295377061216403</v>
      </c>
      <c r="F2451">
        <v>0.493836842009927</v>
      </c>
      <c r="G2451">
        <v>0.326580517861638</v>
      </c>
      <c r="H2451">
        <v>0.21275091349860201</v>
      </c>
      <c r="I2451">
        <v>0.180772897921821</v>
      </c>
      <c r="J2451">
        <v>0.18836249483071801</v>
      </c>
      <c r="K2451">
        <v>0.12198139409287199</v>
      </c>
      <c r="L2451">
        <v>1002.86973899272</v>
      </c>
      <c r="M2451">
        <v>19.030362340583402</v>
      </c>
      <c r="N2451">
        <v>53.686789500562597</v>
      </c>
      <c r="O2451">
        <v>52.126843283969599</v>
      </c>
      <c r="P2451">
        <v>-7.7784530308556199E-2</v>
      </c>
      <c r="Q2451">
        <v>0.14778261493072001</v>
      </c>
      <c r="R2451">
        <v>0.94232595771279803</v>
      </c>
      <c r="S2451" t="s">
        <v>6283</v>
      </c>
      <c r="T2451" t="s">
        <v>7662</v>
      </c>
      <c r="U2451" t="s">
        <v>7662</v>
      </c>
      <c r="V2451" t="s">
        <v>7662</v>
      </c>
      <c r="W2451">
        <v>35</v>
      </c>
      <c r="X2451" t="s">
        <v>10113</v>
      </c>
      <c r="Y2451">
        <v>0.5213006716482349</v>
      </c>
      <c r="Z2451" t="str">
        <f>HYPERLINK("Melting_Curves/meltCurve_sp_Q99424_ACOX2_HUMAN_.pdf", "Melting_Curves/meltCurve_sp_Q99424_ACOX2_HUMAN_.pdf")</f>
        <v>Melting_Curves/meltCurve_sp_Q99424_ACOX2_HUMAN_.pdf</v>
      </c>
      <c r="AA2451" t="s">
        <v>13911</v>
      </c>
      <c r="AB2451" t="s">
        <v>17691</v>
      </c>
    </row>
    <row r="2452" spans="1:28" x14ac:dyDescent="0.25">
      <c r="A2452" t="s">
        <v>2456</v>
      </c>
      <c r="B2452">
        <v>0.98876768158843997</v>
      </c>
      <c r="C2452">
        <v>1.1779917167723499</v>
      </c>
      <c r="D2452">
        <v>0.90051180439537404</v>
      </c>
      <c r="E2452">
        <v>0.81943641387992106</v>
      </c>
      <c r="F2452">
        <v>0.83231044333377302</v>
      </c>
      <c r="G2452">
        <v>0.264907524655559</v>
      </c>
      <c r="H2452">
        <v>9.7385058051908294E-2</v>
      </c>
      <c r="I2452">
        <v>8.0618208672952399E-2</v>
      </c>
      <c r="J2452">
        <v>8.1770039153165802E-2</v>
      </c>
      <c r="K2452">
        <v>8.5629718589969803E-2</v>
      </c>
      <c r="L2452">
        <v>1731.2599773331799</v>
      </c>
      <c r="M2452">
        <v>31.5411470998291</v>
      </c>
      <c r="N2452">
        <v>55.154841238107899</v>
      </c>
      <c r="O2452">
        <v>54.669708901691401</v>
      </c>
      <c r="P2452">
        <v>-0.134063095817225</v>
      </c>
      <c r="Q2452">
        <v>7.0528245939593795E-2</v>
      </c>
      <c r="R2452">
        <v>0.96356200058901698</v>
      </c>
      <c r="S2452" t="s">
        <v>6284</v>
      </c>
      <c r="T2452" t="s">
        <v>7662</v>
      </c>
      <c r="U2452" t="s">
        <v>7662</v>
      </c>
      <c r="V2452" t="s">
        <v>7662</v>
      </c>
      <c r="W2452">
        <v>9</v>
      </c>
      <c r="X2452" t="s">
        <v>10114</v>
      </c>
      <c r="Y2452">
        <v>0.53742199171558136</v>
      </c>
      <c r="Z2452" t="str">
        <f>HYPERLINK("Melting_Curves/meltCurve_sp_Q99426_TBCB_HUMAN_.pdf", "Melting_Curves/meltCurve_sp_Q99426_TBCB_HUMAN_.pdf")</f>
        <v>Melting_Curves/meltCurve_sp_Q99426_TBCB_HUMAN_.pdf</v>
      </c>
      <c r="AA2452" t="s">
        <v>13912</v>
      </c>
      <c r="AB2452" t="s">
        <v>17692</v>
      </c>
    </row>
    <row r="2453" spans="1:28" x14ac:dyDescent="0.25">
      <c r="A2453" t="s">
        <v>2457</v>
      </c>
      <c r="B2453">
        <v>0.98876768158843997</v>
      </c>
      <c r="C2453">
        <v>1.03897250600378</v>
      </c>
      <c r="D2453">
        <v>1.19369883533364</v>
      </c>
      <c r="E2453">
        <v>1.1750733743233199</v>
      </c>
      <c r="F2453">
        <v>0.68016668195362995</v>
      </c>
      <c r="G2453">
        <v>0.65756588607302202</v>
      </c>
      <c r="H2453">
        <v>0.64868051585001596</v>
      </c>
      <c r="I2453">
        <v>0.82945129539447304</v>
      </c>
      <c r="J2453">
        <v>0.75649201801704602</v>
      </c>
      <c r="K2453">
        <v>1.0630228113001501</v>
      </c>
      <c r="L2453">
        <v>4302.2469000012898</v>
      </c>
      <c r="M2453">
        <v>83.321948131655304</v>
      </c>
      <c r="O2453">
        <v>51.604296536757303</v>
      </c>
      <c r="P2453">
        <v>-9.1799958411618907E-2</v>
      </c>
      <c r="Q2453">
        <v>0.77257988589551796</v>
      </c>
      <c r="R2453">
        <v>0.50204074658668796</v>
      </c>
      <c r="S2453" t="s">
        <v>6285</v>
      </c>
      <c r="T2453" t="s">
        <v>7662</v>
      </c>
      <c r="U2453" t="s">
        <v>7662</v>
      </c>
      <c r="V2453" t="s">
        <v>7662</v>
      </c>
      <c r="W2453">
        <v>6</v>
      </c>
      <c r="X2453" t="s">
        <v>10115</v>
      </c>
      <c r="Y2453">
        <v>0.86095938969939911</v>
      </c>
      <c r="Z2453" t="str">
        <f>HYPERLINK("Melting_Curves/meltCurve_sp_Q99436_PSB7_HUMAN_.pdf", "Melting_Curves/meltCurve_sp_Q99436_PSB7_HUMAN_.pdf")</f>
        <v>Melting_Curves/meltCurve_sp_Q99436_PSB7_HUMAN_.pdf</v>
      </c>
      <c r="AA2453" t="s">
        <v>13913</v>
      </c>
      <c r="AB2453" t="s">
        <v>17693</v>
      </c>
    </row>
    <row r="2454" spans="1:28" x14ac:dyDescent="0.25">
      <c r="A2454" t="s">
        <v>2458</v>
      </c>
      <c r="B2454">
        <v>0.98876768158843997</v>
      </c>
      <c r="C2454">
        <v>1.03512488946175</v>
      </c>
      <c r="D2454">
        <v>0.90437720653995302</v>
      </c>
      <c r="E2454">
        <v>0.59684988059521404</v>
      </c>
      <c r="F2454">
        <v>0.19450841851317999</v>
      </c>
      <c r="G2454">
        <v>0.106000109991974</v>
      </c>
      <c r="H2454">
        <v>6.09768270918346E-2</v>
      </c>
      <c r="I2454">
        <v>5.77396935459428E-2</v>
      </c>
      <c r="J2454">
        <v>7.8920634374220394E-2</v>
      </c>
      <c r="K2454">
        <v>5.3461342616824697E-2</v>
      </c>
      <c r="L2454">
        <v>1556.26377815723</v>
      </c>
      <c r="M2454">
        <v>30.941701013825501</v>
      </c>
      <c r="N2454">
        <v>50.513855084031299</v>
      </c>
      <c r="O2454">
        <v>50.087933842627201</v>
      </c>
      <c r="P2454">
        <v>-0.14481797928784301</v>
      </c>
      <c r="Q2454">
        <v>6.2288803125327002E-2</v>
      </c>
      <c r="R2454">
        <v>0.99635038555534206</v>
      </c>
      <c r="S2454" t="s">
        <v>6286</v>
      </c>
      <c r="T2454" t="s">
        <v>7662</v>
      </c>
      <c r="U2454" t="s">
        <v>7662</v>
      </c>
      <c r="V2454" t="s">
        <v>7662</v>
      </c>
      <c r="W2454">
        <v>22</v>
      </c>
      <c r="X2454" t="s">
        <v>10116</v>
      </c>
      <c r="Y2454">
        <v>0.38960711424729272</v>
      </c>
      <c r="Z2454" t="str">
        <f>HYPERLINK("Melting_Curves/meltCurve_sp_Q99447_3_PCY2_HUMAN_.pdf", "Melting_Curves/meltCurve_sp_Q99447_3_PCY2_HUMAN_.pdf")</f>
        <v>Melting_Curves/meltCurve_sp_Q99447_3_PCY2_HUMAN_.pdf</v>
      </c>
      <c r="AA2454" t="s">
        <v>13914</v>
      </c>
      <c r="AB2454" t="s">
        <v>17694</v>
      </c>
    </row>
    <row r="2455" spans="1:28" x14ac:dyDescent="0.25">
      <c r="A2455" t="s">
        <v>2459</v>
      </c>
      <c r="B2455">
        <v>0.98876768158843997</v>
      </c>
      <c r="C2455">
        <v>1.08475037320713</v>
      </c>
      <c r="D2455">
        <v>0.99048370038868605</v>
      </c>
      <c r="E2455">
        <v>0.74333935078006697</v>
      </c>
      <c r="F2455">
        <v>0.63999232486658997</v>
      </c>
      <c r="G2455">
        <v>0.43759896110966301</v>
      </c>
      <c r="H2455">
        <v>0.41048474283268699</v>
      </c>
      <c r="I2455">
        <v>0.39597915219227497</v>
      </c>
      <c r="J2455">
        <v>0.79493650004525696</v>
      </c>
      <c r="K2455">
        <v>0.64305583524060805</v>
      </c>
      <c r="L2455">
        <v>1804.0099383019201</v>
      </c>
      <c r="M2455">
        <v>36.1852901571012</v>
      </c>
      <c r="O2455">
        <v>49.703257582811403</v>
      </c>
      <c r="P2455">
        <v>-8.3205114774541705E-2</v>
      </c>
      <c r="Q2455">
        <v>0.54284711611749004</v>
      </c>
      <c r="R2455">
        <v>0.76542952278857501</v>
      </c>
      <c r="S2455" t="s">
        <v>6287</v>
      </c>
      <c r="T2455" t="s">
        <v>7662</v>
      </c>
      <c r="U2455" t="s">
        <v>7662</v>
      </c>
      <c r="V2455" t="s">
        <v>7662</v>
      </c>
      <c r="W2455">
        <v>10</v>
      </c>
      <c r="X2455" t="s">
        <v>10117</v>
      </c>
      <c r="Y2455">
        <v>0.69494843293719522</v>
      </c>
      <c r="Z2455" t="str">
        <f>HYPERLINK("Melting_Curves/meltCurve_sp_Q99459_CDC5L_HUMAN_.pdf", "Melting_Curves/meltCurve_sp_Q99459_CDC5L_HUMAN_.pdf")</f>
        <v>Melting_Curves/meltCurve_sp_Q99459_CDC5L_HUMAN_.pdf</v>
      </c>
      <c r="AA2455" t="s">
        <v>13915</v>
      </c>
      <c r="AB2455" t="s">
        <v>17695</v>
      </c>
    </row>
    <row r="2456" spans="1:28" x14ac:dyDescent="0.25">
      <c r="A2456" t="s">
        <v>2460</v>
      </c>
      <c r="B2456">
        <v>0.98876768158843997</v>
      </c>
      <c r="C2456">
        <v>0.87649729523423403</v>
      </c>
      <c r="D2456">
        <v>0.79506537360667495</v>
      </c>
      <c r="E2456">
        <v>0.37285457287031498</v>
      </c>
      <c r="F2456">
        <v>0.15740737831311499</v>
      </c>
      <c r="G2456">
        <v>9.8204782630464199E-2</v>
      </c>
      <c r="H2456">
        <v>6.1713397746639802E-2</v>
      </c>
      <c r="I2456">
        <v>4.7133918260748801E-2</v>
      </c>
      <c r="J2456">
        <v>5.2805807225835798E-2</v>
      </c>
      <c r="K2456">
        <v>4.7993637195251897E-2</v>
      </c>
      <c r="L2456">
        <v>1011.76879715369</v>
      </c>
      <c r="M2456">
        <v>20.888032254263798</v>
      </c>
      <c r="N2456">
        <v>48.660833896856197</v>
      </c>
      <c r="O2456">
        <v>48.000322480175001</v>
      </c>
      <c r="P2456">
        <v>-0.103826133571758</v>
      </c>
      <c r="Q2456">
        <v>4.5663710444719598E-2</v>
      </c>
      <c r="R2456">
        <v>0.99565836496725502</v>
      </c>
      <c r="S2456" t="s">
        <v>6288</v>
      </c>
      <c r="T2456" t="s">
        <v>7662</v>
      </c>
      <c r="U2456" t="s">
        <v>7662</v>
      </c>
      <c r="V2456" t="s">
        <v>7662</v>
      </c>
      <c r="W2456">
        <v>18</v>
      </c>
      <c r="X2456" t="s">
        <v>10118</v>
      </c>
      <c r="Y2456">
        <v>0.32637013653223029</v>
      </c>
      <c r="Z2456" t="str">
        <f>HYPERLINK("Melting_Curves/meltCurve_sp_Q99460_PSMD1_HUMAN_.pdf", "Melting_Curves/meltCurve_sp_Q99460_PSMD1_HUMAN_.pdf")</f>
        <v>Melting_Curves/meltCurve_sp_Q99460_PSMD1_HUMAN_.pdf</v>
      </c>
      <c r="AA2456" t="s">
        <v>13916</v>
      </c>
      <c r="AB2456" t="s">
        <v>17696</v>
      </c>
    </row>
    <row r="2457" spans="1:28" x14ac:dyDescent="0.25">
      <c r="A2457" t="s">
        <v>2461</v>
      </c>
      <c r="B2457">
        <v>0.98876768158843997</v>
      </c>
      <c r="C2457">
        <v>0.93229237213550997</v>
      </c>
      <c r="D2457">
        <v>0.97528461222766605</v>
      </c>
      <c r="E2457">
        <v>0.89564648872131103</v>
      </c>
      <c r="F2457">
        <v>0.82853282631960101</v>
      </c>
      <c r="G2457">
        <v>0.62377346861939598</v>
      </c>
      <c r="H2457">
        <v>0.47804711389375898</v>
      </c>
      <c r="I2457">
        <v>0.42632570977666401</v>
      </c>
      <c r="J2457">
        <v>0.48364235268126798</v>
      </c>
      <c r="K2457">
        <v>0.533905612405281</v>
      </c>
      <c r="L2457">
        <v>1187.8079730903601</v>
      </c>
      <c r="M2457">
        <v>21.854628464600001</v>
      </c>
      <c r="N2457">
        <v>61.983953067993397</v>
      </c>
      <c r="O2457">
        <v>53.9014882471362</v>
      </c>
      <c r="P2457">
        <v>-5.4118378460472398E-2</v>
      </c>
      <c r="Q2457">
        <v>0.46610956082744898</v>
      </c>
      <c r="R2457">
        <v>0.96712529336680597</v>
      </c>
      <c r="S2457" t="s">
        <v>6289</v>
      </c>
      <c r="T2457" t="s">
        <v>7662</v>
      </c>
      <c r="U2457" t="s">
        <v>7662</v>
      </c>
      <c r="V2457" t="s">
        <v>7662</v>
      </c>
      <c r="W2457">
        <v>10</v>
      </c>
      <c r="X2457" t="s">
        <v>10119</v>
      </c>
      <c r="Y2457">
        <v>0.72773966293930059</v>
      </c>
      <c r="Z2457" t="str">
        <f>HYPERLINK("Melting_Curves/meltCurve_sp_Q99471_PFD5_HUMAN_.pdf", "Melting_Curves/meltCurve_sp_Q99471_PFD5_HUMAN_.pdf")</f>
        <v>Melting_Curves/meltCurve_sp_Q99471_PFD5_HUMAN_.pdf</v>
      </c>
      <c r="AA2457" t="s">
        <v>13917</v>
      </c>
      <c r="AB2457" t="s">
        <v>17697</v>
      </c>
    </row>
    <row r="2458" spans="1:28" x14ac:dyDescent="0.25">
      <c r="A2458" t="s">
        <v>2462</v>
      </c>
      <c r="B2458">
        <v>0.98876768158843997</v>
      </c>
      <c r="C2458">
        <v>0.96829794947087</v>
      </c>
      <c r="D2458">
        <v>0.94296195858402698</v>
      </c>
      <c r="E2458">
        <v>0.62867594693195505</v>
      </c>
      <c r="F2458">
        <v>0.37558527463613001</v>
      </c>
      <c r="G2458">
        <v>0.17808783329210601</v>
      </c>
      <c r="H2458">
        <v>9.2892731863482902E-2</v>
      </c>
      <c r="I2458">
        <v>6.5313339467316295E-2</v>
      </c>
      <c r="J2458">
        <v>9.6192126948613801E-2</v>
      </c>
      <c r="K2458">
        <v>6.6091572305366303E-2</v>
      </c>
      <c r="L2458">
        <v>1068.8461837756699</v>
      </c>
      <c r="M2458">
        <v>20.900625234463998</v>
      </c>
      <c r="N2458">
        <v>51.505996018425698</v>
      </c>
      <c r="O2458">
        <v>50.6781838556794</v>
      </c>
      <c r="P2458">
        <v>-9.5982380130195902E-2</v>
      </c>
      <c r="Q2458">
        <v>6.9103432724574004E-2</v>
      </c>
      <c r="R2458">
        <v>0.998545197311699</v>
      </c>
      <c r="S2458" t="s">
        <v>6290</v>
      </c>
      <c r="T2458" t="s">
        <v>7662</v>
      </c>
      <c r="U2458" t="s">
        <v>7662</v>
      </c>
      <c r="V2458" t="s">
        <v>7662</v>
      </c>
      <c r="W2458">
        <v>5</v>
      </c>
      <c r="X2458" t="s">
        <v>10120</v>
      </c>
      <c r="Y2458">
        <v>0.42665337250140689</v>
      </c>
      <c r="Z2458" t="str">
        <f>HYPERLINK("Melting_Curves/meltCurve_sp_Q99487_PAFA2_HUMAN_.pdf", "Melting_Curves/meltCurve_sp_Q99487_PAFA2_HUMAN_.pdf")</f>
        <v>Melting_Curves/meltCurve_sp_Q99487_PAFA2_HUMAN_.pdf</v>
      </c>
      <c r="AA2458" t="s">
        <v>13918</v>
      </c>
      <c r="AB2458" t="s">
        <v>17698</v>
      </c>
    </row>
    <row r="2459" spans="1:28" x14ac:dyDescent="0.25">
      <c r="A2459" t="s">
        <v>2463</v>
      </c>
      <c r="B2459">
        <v>0.98876768158843997</v>
      </c>
      <c r="C2459">
        <v>1.11526023401884</v>
      </c>
      <c r="D2459">
        <v>0.74645760496557201</v>
      </c>
      <c r="E2459">
        <v>0.51620190881594097</v>
      </c>
      <c r="F2459">
        <v>0.20409486175793901</v>
      </c>
      <c r="G2459">
        <v>0.124581489757621</v>
      </c>
      <c r="H2459">
        <v>7.9439414710626696E-2</v>
      </c>
      <c r="I2459">
        <v>7.7953123538414396E-2</v>
      </c>
      <c r="J2459">
        <v>5.92508817035729E-2</v>
      </c>
      <c r="K2459">
        <v>8.1979847725938207E-2</v>
      </c>
      <c r="L2459">
        <v>1065.73315959056</v>
      </c>
      <c r="M2459">
        <v>21.609540253164099</v>
      </c>
      <c r="N2459">
        <v>49.653655922688401</v>
      </c>
      <c r="O2459">
        <v>48.901200921113698</v>
      </c>
      <c r="P2459">
        <v>-0.10296467592137799</v>
      </c>
      <c r="Q2459">
        <v>6.80087147250414E-2</v>
      </c>
      <c r="R2459">
        <v>0.97701502027177001</v>
      </c>
      <c r="S2459" t="s">
        <v>6291</v>
      </c>
      <c r="T2459" t="s">
        <v>7662</v>
      </c>
      <c r="U2459" t="s">
        <v>7662</v>
      </c>
      <c r="V2459" t="s">
        <v>7662</v>
      </c>
      <c r="W2459">
        <v>2</v>
      </c>
      <c r="X2459" t="s">
        <v>10121</v>
      </c>
      <c r="Y2459">
        <v>0.36861545066924167</v>
      </c>
      <c r="Z2459" t="str">
        <f>HYPERLINK("Melting_Curves/meltCurve_sp_Q99489_OXDD_HUMAN_.pdf", "Melting_Curves/meltCurve_sp_Q99489_OXDD_HUMAN_.pdf")</f>
        <v>Melting_Curves/meltCurve_sp_Q99489_OXDD_HUMAN_.pdf</v>
      </c>
      <c r="AA2459" t="s">
        <v>13919</v>
      </c>
      <c r="AB2459" t="s">
        <v>17699</v>
      </c>
    </row>
    <row r="2460" spans="1:28" x14ac:dyDescent="0.25">
      <c r="A2460" t="s">
        <v>2464</v>
      </c>
      <c r="B2460">
        <v>0.98876768158843997</v>
      </c>
      <c r="C2460">
        <v>1.1444428639505899</v>
      </c>
      <c r="D2460">
        <v>0.87102681308958096</v>
      </c>
      <c r="E2460">
        <v>0.83143635260651005</v>
      </c>
      <c r="F2460">
        <v>1.06753231983797</v>
      </c>
      <c r="G2460">
        <v>0.75711113890336901</v>
      </c>
      <c r="H2460">
        <v>0.53138561667280504</v>
      </c>
      <c r="I2460">
        <v>0.47013700185521501</v>
      </c>
      <c r="J2460">
        <v>0.46820327636950498</v>
      </c>
      <c r="K2460">
        <v>0.52668709631168598</v>
      </c>
      <c r="L2460">
        <v>4755.1784415163502</v>
      </c>
      <c r="M2460">
        <v>83.353078801011506</v>
      </c>
      <c r="N2460">
        <v>61.270587673702302</v>
      </c>
      <c r="O2460">
        <v>57.015829755396403</v>
      </c>
      <c r="P2460">
        <v>-0.18332651787214199</v>
      </c>
      <c r="Q2460">
        <v>0.49839842375735099</v>
      </c>
      <c r="R2460">
        <v>0.87378813976756398</v>
      </c>
      <c r="S2460" t="s">
        <v>6292</v>
      </c>
      <c r="T2460" t="s">
        <v>7662</v>
      </c>
      <c r="U2460" t="s">
        <v>7662</v>
      </c>
      <c r="V2460" t="s">
        <v>7662</v>
      </c>
      <c r="W2460">
        <v>16</v>
      </c>
      <c r="X2460" t="s">
        <v>10122</v>
      </c>
      <c r="Y2460">
        <v>0.78390487614359017</v>
      </c>
      <c r="Z2460" t="str">
        <f>HYPERLINK("Melting_Curves/meltCurve_sp_Q99497_PARK7_HUMAN_.pdf", "Melting_Curves/meltCurve_sp_Q99497_PARK7_HUMAN_.pdf")</f>
        <v>Melting_Curves/meltCurve_sp_Q99497_PARK7_HUMAN_.pdf</v>
      </c>
      <c r="AA2460" t="s">
        <v>13920</v>
      </c>
      <c r="AB2460" t="s">
        <v>17700</v>
      </c>
    </row>
    <row r="2461" spans="1:28" x14ac:dyDescent="0.25">
      <c r="A2461" t="s">
        <v>2465</v>
      </c>
      <c r="B2461">
        <v>0.98876768158843997</v>
      </c>
      <c r="C2461">
        <v>0.98835393567781205</v>
      </c>
      <c r="D2461">
        <v>0.772979870246706</v>
      </c>
      <c r="E2461">
        <v>0.48701101863818502</v>
      </c>
      <c r="F2461">
        <v>0.29246771676322397</v>
      </c>
      <c r="G2461">
        <v>0.157130198046464</v>
      </c>
      <c r="H2461">
        <v>9.1581839126998493E-2</v>
      </c>
      <c r="I2461">
        <v>9.21936667555881E-2</v>
      </c>
      <c r="J2461">
        <v>9.3519788386916297E-2</v>
      </c>
      <c r="K2461">
        <v>8.3905110733057897E-2</v>
      </c>
      <c r="L2461">
        <v>886.30419285801395</v>
      </c>
      <c r="M2461">
        <v>17.969227753770099</v>
      </c>
      <c r="N2461">
        <v>49.796622816686302</v>
      </c>
      <c r="O2461">
        <v>48.724727967587803</v>
      </c>
      <c r="P2461">
        <v>-8.49659309858075E-2</v>
      </c>
      <c r="Q2461">
        <v>7.8482843597779794E-2</v>
      </c>
      <c r="R2461">
        <v>0.99732942340828701</v>
      </c>
      <c r="S2461" t="s">
        <v>6293</v>
      </c>
      <c r="T2461" t="s">
        <v>7662</v>
      </c>
      <c r="U2461" t="s">
        <v>7662</v>
      </c>
      <c r="V2461" t="s">
        <v>7662</v>
      </c>
      <c r="W2461">
        <v>5</v>
      </c>
      <c r="X2461" t="s">
        <v>10123</v>
      </c>
      <c r="Y2461">
        <v>0.38079750361785192</v>
      </c>
      <c r="Z2461" t="str">
        <f>HYPERLINK("Melting_Curves/meltCurve_sp_Q99519_NEUR1_HUMAN_.pdf", "Melting_Curves/meltCurve_sp_Q99519_NEUR1_HUMAN_.pdf")</f>
        <v>Melting_Curves/meltCurve_sp_Q99519_NEUR1_HUMAN_.pdf</v>
      </c>
      <c r="AA2461" t="s">
        <v>13921</v>
      </c>
      <c r="AB2461" t="s">
        <v>17701</v>
      </c>
    </row>
    <row r="2462" spans="1:28" x14ac:dyDescent="0.25">
      <c r="A2462" t="s">
        <v>2466</v>
      </c>
      <c r="B2462">
        <v>0.98876768158843997</v>
      </c>
      <c r="C2462">
        <v>0.96321433296212999</v>
      </c>
      <c r="D2462">
        <v>0.99103130852678301</v>
      </c>
      <c r="E2462">
        <v>0.64527439866932501</v>
      </c>
      <c r="F2462">
        <v>0.54566144255740001</v>
      </c>
      <c r="G2462">
        <v>0.29100304656631099</v>
      </c>
      <c r="H2462">
        <v>0.18969820366693099</v>
      </c>
      <c r="I2462">
        <v>0.126154668548981</v>
      </c>
      <c r="J2462">
        <v>0.17372264982826099</v>
      </c>
      <c r="K2462">
        <v>0.13986483937160299</v>
      </c>
      <c r="L2462">
        <v>898.29869260350199</v>
      </c>
      <c r="M2462">
        <v>17.237534734546799</v>
      </c>
      <c r="N2462">
        <v>53.020907970722902</v>
      </c>
      <c r="O2462">
        <v>51.4267446019334</v>
      </c>
      <c r="P2462">
        <v>-7.3091500129438006E-2</v>
      </c>
      <c r="Q2462">
        <v>0.12780150578425001</v>
      </c>
      <c r="R2462">
        <v>0.98834688485068301</v>
      </c>
      <c r="S2462" t="s">
        <v>6294</v>
      </c>
      <c r="T2462" t="s">
        <v>7662</v>
      </c>
      <c r="U2462" t="s">
        <v>7662</v>
      </c>
      <c r="V2462" t="s">
        <v>7662</v>
      </c>
      <c r="W2462">
        <v>3</v>
      </c>
      <c r="X2462" t="s">
        <v>10124</v>
      </c>
      <c r="Y2462">
        <v>0.49554501393716521</v>
      </c>
      <c r="Z2462" t="str">
        <f>HYPERLINK("Melting_Curves/meltCurve_sp_Q99536_VAT1_HUMAN_.pdf", "Melting_Curves/meltCurve_sp_Q99536_VAT1_HUMAN_.pdf")</f>
        <v>Melting_Curves/meltCurve_sp_Q99536_VAT1_HUMAN_.pdf</v>
      </c>
      <c r="AA2462" t="s">
        <v>13922</v>
      </c>
      <c r="AB2462" t="s">
        <v>17702</v>
      </c>
    </row>
    <row r="2463" spans="1:28" x14ac:dyDescent="0.25">
      <c r="A2463" t="s">
        <v>2467</v>
      </c>
      <c r="B2463">
        <v>0.98876768158843997</v>
      </c>
      <c r="C2463">
        <v>0.86739858532232295</v>
      </c>
      <c r="D2463">
        <v>0.93153038028352197</v>
      </c>
      <c r="E2463">
        <v>0.71333385957029904</v>
      </c>
      <c r="F2463">
        <v>0.43057656692115598</v>
      </c>
      <c r="G2463">
        <v>0.28440833701249502</v>
      </c>
      <c r="H2463">
        <v>0.232449367966993</v>
      </c>
      <c r="I2463">
        <v>0.25698629054779798</v>
      </c>
      <c r="J2463">
        <v>0.32781249488637698</v>
      </c>
      <c r="K2463">
        <v>0.285877526535528</v>
      </c>
      <c r="L2463">
        <v>1317.69035305436</v>
      </c>
      <c r="M2463">
        <v>26.0395423988702</v>
      </c>
      <c r="N2463">
        <v>52.1373783515022</v>
      </c>
      <c r="O2463">
        <v>50.3078196718998</v>
      </c>
      <c r="P2463">
        <v>-9.4775390252720804E-2</v>
      </c>
      <c r="Q2463">
        <v>0.26759255100896701</v>
      </c>
      <c r="R2463">
        <v>0.97281661305124201</v>
      </c>
      <c r="S2463" t="s">
        <v>6295</v>
      </c>
      <c r="T2463" t="s">
        <v>7662</v>
      </c>
      <c r="U2463" t="s">
        <v>7662</v>
      </c>
      <c r="V2463" t="s">
        <v>7662</v>
      </c>
      <c r="W2463">
        <v>4</v>
      </c>
      <c r="X2463" t="s">
        <v>10125</v>
      </c>
      <c r="Y2463">
        <v>0.53253568706357746</v>
      </c>
      <c r="Z2463" t="str">
        <f>HYPERLINK("Melting_Curves/meltCurve_sp_Q99543_DNJC2_HUMAN_.pdf", "Melting_Curves/meltCurve_sp_Q99543_DNJC2_HUMAN_.pdf")</f>
        <v>Melting_Curves/meltCurve_sp_Q99543_DNJC2_HUMAN_.pdf</v>
      </c>
      <c r="AA2463" t="s">
        <v>13923</v>
      </c>
      <c r="AB2463" t="s">
        <v>17703</v>
      </c>
    </row>
    <row r="2464" spans="1:28" x14ac:dyDescent="0.25">
      <c r="A2464" t="s">
        <v>2468</v>
      </c>
      <c r="B2464">
        <v>0.98876768158843997</v>
      </c>
      <c r="C2464">
        <v>0.90353248357898497</v>
      </c>
      <c r="D2464">
        <v>0.92470932755115698</v>
      </c>
      <c r="E2464">
        <v>0.64897223737184895</v>
      </c>
      <c r="F2464">
        <v>0.47386608201101899</v>
      </c>
      <c r="G2464">
        <v>0.27375120456986002</v>
      </c>
      <c r="H2464">
        <v>0.17906971682173001</v>
      </c>
      <c r="I2464">
        <v>0.20819216663055601</v>
      </c>
      <c r="J2464">
        <v>0.18072410059426</v>
      </c>
      <c r="K2464">
        <v>0.259285000906605</v>
      </c>
      <c r="L2464">
        <v>953.55007125310999</v>
      </c>
      <c r="M2464">
        <v>18.751501533717001</v>
      </c>
      <c r="N2464">
        <v>52.197296547000803</v>
      </c>
      <c r="O2464">
        <v>50.284193287064198</v>
      </c>
      <c r="P2464">
        <v>-7.5365455298364706E-2</v>
      </c>
      <c r="Q2464">
        <v>0.19163151693049901</v>
      </c>
      <c r="R2464">
        <v>0.98686647630705304</v>
      </c>
      <c r="S2464" t="s">
        <v>6296</v>
      </c>
      <c r="T2464" t="s">
        <v>7662</v>
      </c>
      <c r="U2464" t="s">
        <v>7662</v>
      </c>
      <c r="V2464" t="s">
        <v>7662</v>
      </c>
      <c r="W2464">
        <v>4</v>
      </c>
      <c r="X2464" t="s">
        <v>10126</v>
      </c>
      <c r="Y2464">
        <v>0.49670268032560783</v>
      </c>
      <c r="Z2464" t="str">
        <f>HYPERLINK("Melting_Curves/meltCurve_sp_Q99567_NUP88_HUMAN_.pdf", "Melting_Curves/meltCurve_sp_Q99567_NUP88_HUMAN_.pdf")</f>
        <v>Melting_Curves/meltCurve_sp_Q99567_NUP88_HUMAN_.pdf</v>
      </c>
      <c r="AA2464" t="s">
        <v>13924</v>
      </c>
      <c r="AB2464" t="s">
        <v>17704</v>
      </c>
    </row>
    <row r="2465" spans="1:28" x14ac:dyDescent="0.25">
      <c r="A2465" t="s">
        <v>2469</v>
      </c>
      <c r="B2465">
        <v>0.98876768158843997</v>
      </c>
      <c r="C2465">
        <v>1.2540110235991899</v>
      </c>
      <c r="D2465">
        <v>0.84886131814634902</v>
      </c>
      <c r="E2465">
        <v>0.85854637480731599</v>
      </c>
      <c r="F2465">
        <v>1.0387174872456</v>
      </c>
      <c r="G2465">
        <v>0.76567427628589002</v>
      </c>
      <c r="H2465">
        <v>0.57447723852352695</v>
      </c>
      <c r="I2465">
        <v>0.67955000298005896</v>
      </c>
      <c r="J2465">
        <v>0.79503136634270899</v>
      </c>
      <c r="K2465">
        <v>1.0273691243405001</v>
      </c>
      <c r="L2465">
        <v>13805.7630088731</v>
      </c>
      <c r="M2465">
        <v>250</v>
      </c>
      <c r="O2465">
        <v>55.2195222171609</v>
      </c>
      <c r="P2465">
        <v>-0.26213358249100799</v>
      </c>
      <c r="Q2465">
        <v>0.768401758493096</v>
      </c>
      <c r="R2465">
        <v>0.37167981617318402</v>
      </c>
      <c r="S2465" t="s">
        <v>6297</v>
      </c>
      <c r="T2465" t="s">
        <v>7662</v>
      </c>
      <c r="U2465" t="s">
        <v>7662</v>
      </c>
      <c r="V2465" t="s">
        <v>7662</v>
      </c>
      <c r="W2465">
        <v>4</v>
      </c>
      <c r="X2465" t="s">
        <v>10127</v>
      </c>
      <c r="Y2465">
        <v>0.88594527336784146</v>
      </c>
      <c r="Z2465" t="str">
        <f>HYPERLINK("Melting_Curves/meltCurve_sp_Q99569_2_PKP4_HUMAN_.pdf", "Melting_Curves/meltCurve_sp_Q99569_2_PKP4_HUMAN_.pdf")</f>
        <v>Melting_Curves/meltCurve_sp_Q99569_2_PKP4_HUMAN_.pdf</v>
      </c>
      <c r="AA2465" t="s">
        <v>13925</v>
      </c>
      <c r="AB2465" t="s">
        <v>17705</v>
      </c>
    </row>
    <row r="2466" spans="1:28" x14ac:dyDescent="0.25">
      <c r="A2466" t="s">
        <v>2470</v>
      </c>
      <c r="B2466">
        <v>0.98876768158843997</v>
      </c>
      <c r="C2466">
        <v>0.97003564956857202</v>
      </c>
      <c r="D2466">
        <v>0.81559181307867801</v>
      </c>
      <c r="E2466">
        <v>0.55116573700802596</v>
      </c>
      <c r="F2466">
        <v>0.29499779581034502</v>
      </c>
      <c r="G2466">
        <v>0.135474567968701</v>
      </c>
      <c r="H2466">
        <v>7.7801272575862696E-2</v>
      </c>
      <c r="I2466">
        <v>9.3973735386442506E-2</v>
      </c>
      <c r="J2466">
        <v>0.111202519361568</v>
      </c>
      <c r="K2466">
        <v>0.103409236663871</v>
      </c>
      <c r="L2466">
        <v>963.55582718054802</v>
      </c>
      <c r="M2466">
        <v>19.345273528002501</v>
      </c>
      <c r="N2466">
        <v>50.271593372763398</v>
      </c>
      <c r="O2466">
        <v>49.285252608172698</v>
      </c>
      <c r="P2466">
        <v>-9.0121054010597099E-2</v>
      </c>
      <c r="Q2466">
        <v>8.1641419414498498E-2</v>
      </c>
      <c r="R2466">
        <v>0.99701840892210702</v>
      </c>
      <c r="S2466" t="s">
        <v>6298</v>
      </c>
      <c r="T2466" t="s">
        <v>7662</v>
      </c>
      <c r="U2466" t="s">
        <v>7662</v>
      </c>
      <c r="V2466" t="s">
        <v>7662</v>
      </c>
      <c r="W2466">
        <v>4</v>
      </c>
      <c r="X2466" t="s">
        <v>10128</v>
      </c>
      <c r="Y2466">
        <v>0.39555089091797829</v>
      </c>
      <c r="Z2466" t="str">
        <f>HYPERLINK("Melting_Curves/meltCurve_sp_Q99570_PI3R4_HUMAN_.pdf", "Melting_Curves/meltCurve_sp_Q99570_PI3R4_HUMAN_.pdf")</f>
        <v>Melting_Curves/meltCurve_sp_Q99570_PI3R4_HUMAN_.pdf</v>
      </c>
      <c r="AA2466" t="s">
        <v>13926</v>
      </c>
      <c r="AB2466" t="s">
        <v>17706</v>
      </c>
    </row>
    <row r="2467" spans="1:28" x14ac:dyDescent="0.25">
      <c r="A2467" t="s">
        <v>2471</v>
      </c>
      <c r="B2467">
        <v>0.98876768158843997</v>
      </c>
      <c r="C2467">
        <v>1.05282033294044</v>
      </c>
      <c r="D2467">
        <v>1.1609452879839799</v>
      </c>
      <c r="E2467">
        <v>1.0146483731717899</v>
      </c>
      <c r="F2467">
        <v>0.67994457730084801</v>
      </c>
      <c r="G2467">
        <v>0.53590289576293104</v>
      </c>
      <c r="H2467">
        <v>0.31961019196539298</v>
      </c>
      <c r="I2467">
        <v>0.16571221526341401</v>
      </c>
      <c r="J2467">
        <v>0.14938387655823901</v>
      </c>
      <c r="K2467">
        <v>0.16036692225835</v>
      </c>
      <c r="L2467">
        <v>1092.2884065094199</v>
      </c>
      <c r="M2467">
        <v>19.4581564521018</v>
      </c>
      <c r="N2467">
        <v>57.009987862677598</v>
      </c>
      <c r="O2467">
        <v>55.552429707344302</v>
      </c>
      <c r="P2467">
        <v>-7.6268327558330795E-2</v>
      </c>
      <c r="Q2467">
        <v>0.12905680942415601</v>
      </c>
      <c r="R2467">
        <v>0.96201569535629405</v>
      </c>
      <c r="S2467" t="s">
        <v>6299</v>
      </c>
      <c r="T2467" t="s">
        <v>7662</v>
      </c>
      <c r="U2467" t="s">
        <v>7662</v>
      </c>
      <c r="V2467" t="s">
        <v>7662</v>
      </c>
      <c r="W2467">
        <v>4</v>
      </c>
      <c r="X2467" t="s">
        <v>10129</v>
      </c>
      <c r="Y2467">
        <v>0.60905199863531734</v>
      </c>
      <c r="Z2467" t="str">
        <f>HYPERLINK("Melting_Curves/meltCurve_sp_Q99575_POP1_HUMAN_.pdf", "Melting_Curves/meltCurve_sp_Q99575_POP1_HUMAN_.pdf")</f>
        <v>Melting_Curves/meltCurve_sp_Q99575_POP1_HUMAN_.pdf</v>
      </c>
      <c r="AA2467" t="s">
        <v>13927</v>
      </c>
      <c r="AB2467" t="s">
        <v>17707</v>
      </c>
    </row>
    <row r="2468" spans="1:28" x14ac:dyDescent="0.25">
      <c r="A2468" t="s">
        <v>2472</v>
      </c>
      <c r="B2468">
        <v>0.98876768158843997</v>
      </c>
      <c r="C2468">
        <v>0.99016260310485804</v>
      </c>
      <c r="D2468">
        <v>0.94172800574627802</v>
      </c>
      <c r="E2468">
        <v>0.75462942090968099</v>
      </c>
      <c r="F2468">
        <v>0.60852006601157105</v>
      </c>
      <c r="G2468">
        <v>0.41717089008071601</v>
      </c>
      <c r="H2468">
        <v>0.31152632285677201</v>
      </c>
      <c r="I2468">
        <v>0.25241494313483098</v>
      </c>
      <c r="J2468">
        <v>0.41586113171632999</v>
      </c>
      <c r="K2468">
        <v>0.372857441074118</v>
      </c>
      <c r="L2468">
        <v>1051.8621547678099</v>
      </c>
      <c r="M2468">
        <v>20.371759051847501</v>
      </c>
      <c r="N2468">
        <v>54.514695407338003</v>
      </c>
      <c r="O2468">
        <v>51.143538104424501</v>
      </c>
      <c r="P2468">
        <v>-6.6756581412492896E-2</v>
      </c>
      <c r="Q2468">
        <v>0.32964758941009298</v>
      </c>
      <c r="R2468">
        <v>0.97444000388516205</v>
      </c>
      <c r="S2468" t="s">
        <v>6300</v>
      </c>
      <c r="T2468" t="s">
        <v>7662</v>
      </c>
      <c r="U2468" t="s">
        <v>7662</v>
      </c>
      <c r="V2468" t="s">
        <v>7662</v>
      </c>
      <c r="W2468">
        <v>1</v>
      </c>
      <c r="X2468" t="s">
        <v>10130</v>
      </c>
      <c r="Y2468">
        <v>0.59857753081428366</v>
      </c>
      <c r="Z2468" t="str">
        <f>HYPERLINK("Melting_Curves/meltCurve_sp_Q99576_4_T22D3_HUMAN_.pdf", "Melting_Curves/meltCurve_sp_Q99576_4_T22D3_HUMAN_.pdf")</f>
        <v>Melting_Curves/meltCurve_sp_Q99576_4_T22D3_HUMAN_.pdf</v>
      </c>
      <c r="AA2468" t="s">
        <v>13928</v>
      </c>
      <c r="AB2468" t="s">
        <v>17708</v>
      </c>
    </row>
    <row r="2469" spans="1:28" x14ac:dyDescent="0.25">
      <c r="A2469" t="s">
        <v>2473</v>
      </c>
      <c r="B2469">
        <v>0.98876768158843997</v>
      </c>
      <c r="C2469">
        <v>1.36876602563062</v>
      </c>
      <c r="D2469">
        <v>0.98040882623292502</v>
      </c>
      <c r="E2469">
        <v>0.92354960652903295</v>
      </c>
      <c r="F2469">
        <v>1.28889832796078</v>
      </c>
      <c r="G2469">
        <v>0.859411685144854</v>
      </c>
      <c r="H2469">
        <v>0.69499939992303905</v>
      </c>
      <c r="I2469">
        <v>0.75011975929252594</v>
      </c>
      <c r="J2469">
        <v>1.18756906880559</v>
      </c>
      <c r="K2469">
        <v>0.99770152632101095</v>
      </c>
      <c r="L2469">
        <v>2776.499073214</v>
      </c>
      <c r="M2469">
        <v>49.652183902321497</v>
      </c>
      <c r="O2469">
        <v>55.828481975514698</v>
      </c>
      <c r="P2469">
        <v>-2.2212249621215499E-2</v>
      </c>
      <c r="Q2469">
        <v>0.90009903822075699</v>
      </c>
      <c r="R2469">
        <v>0.102299154792071</v>
      </c>
      <c r="S2469" t="s">
        <v>6301</v>
      </c>
      <c r="T2469" t="s">
        <v>7662</v>
      </c>
      <c r="U2469" t="s">
        <v>7662</v>
      </c>
      <c r="V2469" t="s">
        <v>7662</v>
      </c>
      <c r="W2469">
        <v>4</v>
      </c>
      <c r="X2469" t="s">
        <v>10131</v>
      </c>
      <c r="Y2469">
        <v>0.95335934100243258</v>
      </c>
      <c r="Z2469" t="str">
        <f>HYPERLINK("Melting_Curves/meltCurve_sp_Q99584_S10AD_HUMAN_.pdf", "Melting_Curves/meltCurve_sp_Q99584_S10AD_HUMAN_.pdf")</f>
        <v>Melting_Curves/meltCurve_sp_Q99584_S10AD_HUMAN_.pdf</v>
      </c>
      <c r="AA2469" t="s">
        <v>13929</v>
      </c>
      <c r="AB2469" t="s">
        <v>17709</v>
      </c>
    </row>
    <row r="2470" spans="1:28" x14ac:dyDescent="0.25">
      <c r="A2470" t="s">
        <v>2474</v>
      </c>
      <c r="B2470">
        <v>0.98876768158843997</v>
      </c>
      <c r="C2470">
        <v>1.11773277761958</v>
      </c>
      <c r="D2470">
        <v>0.92139957326278699</v>
      </c>
      <c r="E2470">
        <v>0.909823827579194</v>
      </c>
      <c r="F2470">
        <v>1.08876292653952</v>
      </c>
      <c r="G2470">
        <v>0.72064021117160204</v>
      </c>
      <c r="H2470">
        <v>0.59191123879855301</v>
      </c>
      <c r="I2470">
        <v>0.61957081910123901</v>
      </c>
      <c r="J2470">
        <v>0.78892633874212204</v>
      </c>
      <c r="K2470">
        <v>1.0643693841759001</v>
      </c>
      <c r="L2470">
        <v>5306.3711342755796</v>
      </c>
      <c r="M2470">
        <v>96.204478715986497</v>
      </c>
      <c r="O2470">
        <v>55.1333957265294</v>
      </c>
      <c r="P2470">
        <v>-0.106542159315084</v>
      </c>
      <c r="Q2470">
        <v>0.75576893777523502</v>
      </c>
      <c r="R2470">
        <v>0.45690889677832902</v>
      </c>
      <c r="S2470" t="s">
        <v>6302</v>
      </c>
      <c r="T2470" t="s">
        <v>7662</v>
      </c>
      <c r="U2470" t="s">
        <v>7662</v>
      </c>
      <c r="V2470" t="s">
        <v>7662</v>
      </c>
      <c r="W2470">
        <v>4</v>
      </c>
      <c r="X2470" t="s">
        <v>10132</v>
      </c>
      <c r="Y2470">
        <v>0.87932421595883103</v>
      </c>
      <c r="Z2470" t="str">
        <f>HYPERLINK("Melting_Curves/meltCurve_sp_Q99590_2_SCAFB_HUMAN_.pdf", "Melting_Curves/meltCurve_sp_Q99590_2_SCAFB_HUMAN_.pdf")</f>
        <v>Melting_Curves/meltCurve_sp_Q99590_2_SCAFB_HUMAN_.pdf</v>
      </c>
      <c r="AA2470" t="s">
        <v>13930</v>
      </c>
      <c r="AB2470" t="s">
        <v>17710</v>
      </c>
    </row>
    <row r="2471" spans="1:28" x14ac:dyDescent="0.25">
      <c r="A2471" t="s">
        <v>2475</v>
      </c>
      <c r="B2471">
        <v>0.98876768158843997</v>
      </c>
      <c r="C2471">
        <v>0.915243161151443</v>
      </c>
      <c r="D2471">
        <v>1.0564942579779499</v>
      </c>
      <c r="E2471">
        <v>1.0097398382421401</v>
      </c>
      <c r="F2471">
        <v>0.70746876608930598</v>
      </c>
      <c r="G2471">
        <v>0.56476992268624904</v>
      </c>
      <c r="H2471">
        <v>0.55175171147655899</v>
      </c>
      <c r="I2471">
        <v>0.631532242160878</v>
      </c>
      <c r="J2471">
        <v>0.48240606464580599</v>
      </c>
      <c r="K2471">
        <v>0.23999069703852399</v>
      </c>
      <c r="L2471">
        <v>488.20131561545799</v>
      </c>
      <c r="M2471">
        <v>7.8955858941586401</v>
      </c>
      <c r="N2471">
        <v>63.4513210517663</v>
      </c>
      <c r="O2471">
        <v>58.242828375574298</v>
      </c>
      <c r="P2471">
        <v>-3.08352102393522E-2</v>
      </c>
      <c r="Q2471">
        <v>9.1239187756026699E-2</v>
      </c>
      <c r="R2471">
        <v>0.84954136708542305</v>
      </c>
      <c r="S2471" t="s">
        <v>6303</v>
      </c>
      <c r="T2471" t="s">
        <v>7662</v>
      </c>
      <c r="U2471" t="s">
        <v>7662</v>
      </c>
      <c r="V2471" t="s">
        <v>7662</v>
      </c>
      <c r="W2471">
        <v>10</v>
      </c>
      <c r="X2471" t="s">
        <v>10133</v>
      </c>
      <c r="Y2471">
        <v>0.72001845221047001</v>
      </c>
      <c r="Z2471" t="str">
        <f>HYPERLINK("Melting_Curves/meltCurve_sp_Q99598_TSNAX_HUMAN_.pdf", "Melting_Curves/meltCurve_sp_Q99598_TSNAX_HUMAN_.pdf")</f>
        <v>Melting_Curves/meltCurve_sp_Q99598_TSNAX_HUMAN_.pdf</v>
      </c>
      <c r="AA2471" t="s">
        <v>13931</v>
      </c>
      <c r="AB2471" t="s">
        <v>17711</v>
      </c>
    </row>
    <row r="2472" spans="1:28" x14ac:dyDescent="0.25">
      <c r="A2472" t="s">
        <v>2476</v>
      </c>
      <c r="B2472">
        <v>0.98876768158843997</v>
      </c>
      <c r="C2472">
        <v>0.95401298379713195</v>
      </c>
      <c r="D2472">
        <v>0.83892393620316297</v>
      </c>
      <c r="E2472">
        <v>0.66709015654746695</v>
      </c>
      <c r="F2472">
        <v>0.59909091319312902</v>
      </c>
      <c r="G2472">
        <v>0.428720196552066</v>
      </c>
      <c r="H2472">
        <v>0.324150578020517</v>
      </c>
      <c r="I2472">
        <v>0.29897498117736998</v>
      </c>
      <c r="J2472">
        <v>0.20314382082257201</v>
      </c>
      <c r="K2472">
        <v>0.14755681536190399</v>
      </c>
      <c r="L2472">
        <v>481.37948779384499</v>
      </c>
      <c r="M2472">
        <v>8.8401838348402801</v>
      </c>
      <c r="N2472">
        <v>55.219927985491999</v>
      </c>
      <c r="O2472">
        <v>51.882998353523703</v>
      </c>
      <c r="P2472">
        <v>-4.0168796409028401E-2</v>
      </c>
      <c r="Q2472">
        <v>5.7730263723482701E-2</v>
      </c>
      <c r="R2472">
        <v>0.99297757051555902</v>
      </c>
      <c r="S2472" t="s">
        <v>6304</v>
      </c>
      <c r="T2472" t="s">
        <v>7662</v>
      </c>
      <c r="U2472" t="s">
        <v>7662</v>
      </c>
      <c r="V2472" t="s">
        <v>7662</v>
      </c>
      <c r="W2472">
        <v>7</v>
      </c>
      <c r="X2472" t="s">
        <v>10134</v>
      </c>
      <c r="Y2472">
        <v>0.53996222853130682</v>
      </c>
      <c r="Z2472" t="str">
        <f>HYPERLINK("Melting_Curves/meltCurve_sp_Q99611_SPS2_HUMAN_.pdf", "Melting_Curves/meltCurve_sp_Q99611_SPS2_HUMAN_.pdf")</f>
        <v>Melting_Curves/meltCurve_sp_Q99611_SPS2_HUMAN_.pdf</v>
      </c>
      <c r="AA2472" t="s">
        <v>13932</v>
      </c>
      <c r="AB2472" t="s">
        <v>17712</v>
      </c>
    </row>
    <row r="2473" spans="1:28" x14ac:dyDescent="0.25">
      <c r="A2473" t="s">
        <v>2477</v>
      </c>
      <c r="B2473">
        <v>0.98876768158843997</v>
      </c>
      <c r="C2473">
        <v>0.94821226068810505</v>
      </c>
      <c r="D2473">
        <v>0.84578531170443805</v>
      </c>
      <c r="E2473">
        <v>0.54536927035498395</v>
      </c>
      <c r="F2473">
        <v>0.51514323122901695</v>
      </c>
      <c r="G2473">
        <v>0.38342531401124302</v>
      </c>
      <c r="H2473">
        <v>0.29170939564756398</v>
      </c>
      <c r="I2473">
        <v>0.33243893221550702</v>
      </c>
      <c r="J2473">
        <v>0.34833816324146399</v>
      </c>
      <c r="K2473">
        <v>0.432044914546868</v>
      </c>
      <c r="L2473">
        <v>938.17059061022701</v>
      </c>
      <c r="M2473">
        <v>19.348144033124001</v>
      </c>
      <c r="N2473">
        <v>51.745839643019004</v>
      </c>
      <c r="O2473">
        <v>47.979847974869003</v>
      </c>
      <c r="P2473">
        <v>-6.53240127935555E-2</v>
      </c>
      <c r="Q2473">
        <v>0.352057760464769</v>
      </c>
      <c r="R2473">
        <v>0.97291455961112905</v>
      </c>
      <c r="S2473" t="s">
        <v>6305</v>
      </c>
      <c r="T2473" t="s">
        <v>7662</v>
      </c>
      <c r="U2473" t="s">
        <v>7662</v>
      </c>
      <c r="V2473" t="s">
        <v>7662</v>
      </c>
      <c r="W2473">
        <v>4</v>
      </c>
      <c r="X2473" t="s">
        <v>10135</v>
      </c>
      <c r="Y2473">
        <v>0.54518170577516445</v>
      </c>
      <c r="Z2473" t="str">
        <f>HYPERLINK("Melting_Curves/meltCurve_sp_Q99614_TTC1_HUMAN_.pdf", "Melting_Curves/meltCurve_sp_Q99614_TTC1_HUMAN_.pdf")</f>
        <v>Melting_Curves/meltCurve_sp_Q99614_TTC1_HUMAN_.pdf</v>
      </c>
      <c r="AA2473" t="s">
        <v>13933</v>
      </c>
      <c r="AB2473" t="s">
        <v>17713</v>
      </c>
    </row>
    <row r="2474" spans="1:28" x14ac:dyDescent="0.25">
      <c r="A2474" t="s">
        <v>2478</v>
      </c>
      <c r="B2474">
        <v>0.98876768158843997</v>
      </c>
      <c r="C2474">
        <v>1.01888626029739</v>
      </c>
      <c r="D2474">
        <v>0.87259457665969398</v>
      </c>
      <c r="E2474">
        <v>0.53536357550678504</v>
      </c>
      <c r="F2474">
        <v>0.17365852190638001</v>
      </c>
      <c r="G2474">
        <v>0.109225766963179</v>
      </c>
      <c r="H2474">
        <v>7.0646762210733793E-2</v>
      </c>
      <c r="I2474">
        <v>6.0185108310605501E-2</v>
      </c>
      <c r="J2474">
        <v>6.9543980096701596E-2</v>
      </c>
      <c r="K2474">
        <v>6.2601307241460999E-2</v>
      </c>
      <c r="L2474">
        <v>1363.7964493355601</v>
      </c>
      <c r="M2474">
        <v>27.390588225544601</v>
      </c>
      <c r="N2474">
        <v>50.035888853010597</v>
      </c>
      <c r="O2474">
        <v>49.527581667659597</v>
      </c>
      <c r="P2474">
        <v>-0.129577535698051</v>
      </c>
      <c r="Q2474">
        <v>6.2802157612641199E-2</v>
      </c>
      <c r="R2474">
        <v>0.99654630657658305</v>
      </c>
      <c r="S2474" t="s">
        <v>6306</v>
      </c>
      <c r="T2474" t="s">
        <v>7662</v>
      </c>
      <c r="U2474" t="s">
        <v>7662</v>
      </c>
      <c r="V2474" t="s">
        <v>7662</v>
      </c>
      <c r="W2474">
        <v>10</v>
      </c>
      <c r="X2474" t="s">
        <v>10136</v>
      </c>
      <c r="Y2474">
        <v>0.37561097962729129</v>
      </c>
      <c r="Z2474" t="str">
        <f>HYPERLINK("Melting_Curves/meltCurve_sp_Q99615_DNJC7_HUMAN_.pdf", "Melting_Curves/meltCurve_sp_Q99615_DNJC7_HUMAN_.pdf")</f>
        <v>Melting_Curves/meltCurve_sp_Q99615_DNJC7_HUMAN_.pdf</v>
      </c>
      <c r="AA2474" t="s">
        <v>13934</v>
      </c>
      <c r="AB2474" t="s">
        <v>17714</v>
      </c>
    </row>
    <row r="2475" spans="1:28" x14ac:dyDescent="0.25">
      <c r="A2475" t="s">
        <v>2479</v>
      </c>
      <c r="B2475">
        <v>0.98876768158843997</v>
      </c>
      <c r="C2475">
        <v>1.04169516096175</v>
      </c>
      <c r="D2475">
        <v>0.85216630876325605</v>
      </c>
      <c r="E2475">
        <v>0.65899828523974802</v>
      </c>
      <c r="F2475">
        <v>0.86118416862259695</v>
      </c>
      <c r="G2475">
        <v>0.47172699807453899</v>
      </c>
      <c r="H2475">
        <v>0.35471074205801301</v>
      </c>
      <c r="I2475">
        <v>0.370504232312861</v>
      </c>
      <c r="J2475">
        <v>0.44274824982235</v>
      </c>
      <c r="K2475">
        <v>0.46791316058728999</v>
      </c>
      <c r="L2475">
        <v>698.50461252380796</v>
      </c>
      <c r="M2475">
        <v>13.3841504548916</v>
      </c>
      <c r="N2475">
        <v>58.169565772621297</v>
      </c>
      <c r="O2475">
        <v>51.0651792656924</v>
      </c>
      <c r="P2475">
        <v>-4.1043640479190402E-2</v>
      </c>
      <c r="Q2475">
        <v>0.37371584504883998</v>
      </c>
      <c r="R2475">
        <v>0.86029038435271699</v>
      </c>
      <c r="S2475" t="s">
        <v>6307</v>
      </c>
      <c r="T2475" t="s">
        <v>7662</v>
      </c>
      <c r="U2475" t="s">
        <v>7662</v>
      </c>
      <c r="V2475" t="s">
        <v>7662</v>
      </c>
      <c r="W2475">
        <v>1</v>
      </c>
      <c r="X2475" t="s">
        <v>10137</v>
      </c>
      <c r="Y2475">
        <v>0.64456427484297973</v>
      </c>
      <c r="Z2475" t="str">
        <f>HYPERLINK("Melting_Curves/meltCurve_sp_Q99622_C10_HUMAN_.pdf", "Melting_Curves/meltCurve_sp_Q99622_C10_HUMAN_.pdf")</f>
        <v>Melting_Curves/meltCurve_sp_Q99622_C10_HUMAN_.pdf</v>
      </c>
      <c r="AA2475" t="s">
        <v>13935</v>
      </c>
      <c r="AB2475" t="s">
        <v>17715</v>
      </c>
    </row>
    <row r="2476" spans="1:28" x14ac:dyDescent="0.25">
      <c r="A2476" t="s">
        <v>2480</v>
      </c>
      <c r="B2476">
        <v>0.98876768158843997</v>
      </c>
      <c r="C2476">
        <v>1.09919654974926</v>
      </c>
      <c r="D2476">
        <v>0.86289172835201899</v>
      </c>
      <c r="E2476">
        <v>0.81520289654415401</v>
      </c>
      <c r="F2476">
        <v>0.64453982115707098</v>
      </c>
      <c r="G2476">
        <v>0.55987337023606998</v>
      </c>
      <c r="H2476">
        <v>0.248978323691255</v>
      </c>
      <c r="I2476">
        <v>0.33253800228492603</v>
      </c>
      <c r="J2476">
        <v>0.38998724961921999</v>
      </c>
      <c r="K2476">
        <v>0.53945889656965995</v>
      </c>
      <c r="L2476">
        <v>1000.54111683852</v>
      </c>
      <c r="M2476">
        <v>19.220682350849401</v>
      </c>
      <c r="N2476">
        <v>56.2669692750857</v>
      </c>
      <c r="O2476">
        <v>51.501783367379602</v>
      </c>
      <c r="P2476">
        <v>-5.7720467948127498E-2</v>
      </c>
      <c r="Q2476">
        <v>0.38137600571514901</v>
      </c>
      <c r="R2476">
        <v>0.88789611308226901</v>
      </c>
      <c r="S2476" t="s">
        <v>6308</v>
      </c>
      <c r="T2476" t="s">
        <v>7662</v>
      </c>
      <c r="U2476" t="s">
        <v>7662</v>
      </c>
      <c r="V2476" t="s">
        <v>7662</v>
      </c>
      <c r="W2476">
        <v>1</v>
      </c>
      <c r="X2476" t="s">
        <v>10138</v>
      </c>
      <c r="Y2476">
        <v>0.63915237661511004</v>
      </c>
      <c r="Z2476" t="str">
        <f>HYPERLINK("Melting_Curves/meltCurve_sp_Q99624_S38A3_HUMAN_.pdf", "Melting_Curves/meltCurve_sp_Q99624_S38A3_HUMAN_.pdf")</f>
        <v>Melting_Curves/meltCurve_sp_Q99624_S38A3_HUMAN_.pdf</v>
      </c>
      <c r="AA2476" t="s">
        <v>13936</v>
      </c>
      <c r="AB2476" t="s">
        <v>17716</v>
      </c>
    </row>
    <row r="2477" spans="1:28" x14ac:dyDescent="0.25">
      <c r="A2477" t="s">
        <v>2481</v>
      </c>
      <c r="B2477">
        <v>0.98876768158843997</v>
      </c>
      <c r="C2477">
        <v>0.81301586790116598</v>
      </c>
      <c r="D2477">
        <v>1.0258862125263799</v>
      </c>
      <c r="E2477">
        <v>0.92833248038610405</v>
      </c>
      <c r="F2477">
        <v>0.47203970567075998</v>
      </c>
      <c r="G2477">
        <v>0.24788264683320599</v>
      </c>
      <c r="H2477">
        <v>0.27862839513722099</v>
      </c>
      <c r="I2477">
        <v>0.111766892363767</v>
      </c>
      <c r="J2477">
        <v>7.0511168416530795E-2</v>
      </c>
      <c r="K2477">
        <v>4.9089175262830097E-2</v>
      </c>
      <c r="L2477">
        <v>1786.65468762859</v>
      </c>
      <c r="M2477">
        <v>33.937187697534199</v>
      </c>
      <c r="N2477">
        <v>53.128890270451102</v>
      </c>
      <c r="O2477">
        <v>52.464137153570597</v>
      </c>
      <c r="P2477">
        <v>-0.14025255144416099</v>
      </c>
      <c r="Q2477">
        <v>0.13272722512382601</v>
      </c>
      <c r="R2477">
        <v>0.94879386508844898</v>
      </c>
      <c r="S2477" t="s">
        <v>6309</v>
      </c>
      <c r="T2477" t="s">
        <v>7662</v>
      </c>
      <c r="U2477" t="s">
        <v>7662</v>
      </c>
      <c r="V2477" t="s">
        <v>7662</v>
      </c>
      <c r="W2477">
        <v>3</v>
      </c>
      <c r="X2477" t="s">
        <v>10139</v>
      </c>
      <c r="Y2477">
        <v>0.50269187633808565</v>
      </c>
      <c r="Z2477" t="str">
        <f>HYPERLINK("Melting_Curves/meltCurve_sp_Q99627_2_CSN8_HUMAN_.pdf", "Melting_Curves/meltCurve_sp_Q99627_2_CSN8_HUMAN_.pdf")</f>
        <v>Melting_Curves/meltCurve_sp_Q99627_2_CSN8_HUMAN_.pdf</v>
      </c>
      <c r="AA2477" t="s">
        <v>13937</v>
      </c>
      <c r="AB2477" t="s">
        <v>17717</v>
      </c>
    </row>
    <row r="2478" spans="1:28" x14ac:dyDescent="0.25">
      <c r="A2478" t="s">
        <v>2482</v>
      </c>
      <c r="B2478">
        <v>0.98876768158843997</v>
      </c>
      <c r="C2478">
        <v>0.94152867068901502</v>
      </c>
      <c r="D2478">
        <v>0.93327115108230396</v>
      </c>
      <c r="E2478">
        <v>0.72622197422215795</v>
      </c>
      <c r="F2478">
        <v>0.50073420441707694</v>
      </c>
      <c r="G2478">
        <v>0.35692461039671503</v>
      </c>
      <c r="H2478">
        <v>0.26967187173493401</v>
      </c>
      <c r="I2478">
        <v>0.12518344061851799</v>
      </c>
      <c r="J2478">
        <v>0.100755859313563</v>
      </c>
      <c r="K2478">
        <v>0.10518619025851</v>
      </c>
      <c r="L2478">
        <v>687.68245474339005</v>
      </c>
      <c r="M2478">
        <v>12.896503018664299</v>
      </c>
      <c r="N2478">
        <v>53.833783730185203</v>
      </c>
      <c r="O2478">
        <v>52.089889134863</v>
      </c>
      <c r="P2478">
        <v>-5.8342679251163203E-2</v>
      </c>
      <c r="Q2478">
        <v>5.7570900688723697E-2</v>
      </c>
      <c r="R2478">
        <v>0.99250776050614797</v>
      </c>
      <c r="S2478" t="s">
        <v>6310</v>
      </c>
      <c r="T2478" t="s">
        <v>7662</v>
      </c>
      <c r="U2478" t="s">
        <v>7662</v>
      </c>
      <c r="V2478" t="s">
        <v>7662</v>
      </c>
      <c r="W2478">
        <v>5</v>
      </c>
      <c r="X2478" t="s">
        <v>10140</v>
      </c>
      <c r="Y2478">
        <v>0.50025259879416495</v>
      </c>
      <c r="Z2478" t="str">
        <f>HYPERLINK("Melting_Curves/meltCurve_sp_Q99707_METH_HUMAN_.pdf", "Melting_Curves/meltCurve_sp_Q99707_METH_HUMAN_.pdf")</f>
        <v>Melting_Curves/meltCurve_sp_Q99707_METH_HUMAN_.pdf</v>
      </c>
      <c r="AA2478" t="s">
        <v>13938</v>
      </c>
      <c r="AB2478" t="s">
        <v>17718</v>
      </c>
    </row>
    <row r="2479" spans="1:28" x14ac:dyDescent="0.25">
      <c r="A2479" t="s">
        <v>2483</v>
      </c>
      <c r="B2479">
        <v>0.98876768158843997</v>
      </c>
      <c r="C2479">
        <v>0.81219881542512795</v>
      </c>
      <c r="D2479">
        <v>0.78463209885704499</v>
      </c>
      <c r="E2479">
        <v>0.44928416720365799</v>
      </c>
      <c r="F2479">
        <v>0.14558671153672401</v>
      </c>
      <c r="G2479">
        <v>7.8226671499296296E-2</v>
      </c>
      <c r="H2479">
        <v>4.0223045570413098E-2</v>
      </c>
      <c r="I2479">
        <v>2.9293176760238598E-2</v>
      </c>
      <c r="J2479">
        <v>3.2860336490250802E-2</v>
      </c>
      <c r="K2479">
        <v>2.4952107131425798E-2</v>
      </c>
      <c r="L2479">
        <v>842.03657441140399</v>
      </c>
      <c r="M2479">
        <v>17.251690204149899</v>
      </c>
      <c r="N2479">
        <v>48.860685881619503</v>
      </c>
      <c r="O2479">
        <v>48.167267655966597</v>
      </c>
      <c r="P2479">
        <v>-8.8735018530440204E-2</v>
      </c>
      <c r="Q2479">
        <v>9.0537976765999797E-3</v>
      </c>
      <c r="R2479">
        <v>0.985674601573993</v>
      </c>
      <c r="S2479" t="s">
        <v>6311</v>
      </c>
      <c r="T2479" t="s">
        <v>7662</v>
      </c>
      <c r="U2479" t="s">
        <v>7662</v>
      </c>
      <c r="V2479" t="s">
        <v>7662</v>
      </c>
      <c r="W2479">
        <v>13</v>
      </c>
      <c r="X2479" t="s">
        <v>10141</v>
      </c>
      <c r="Y2479">
        <v>0.3187837834373361</v>
      </c>
      <c r="Z2479" t="str">
        <f>HYPERLINK("Melting_Curves/meltCurve_sp_Q99714_HCD2_HUMAN_.pdf", "Melting_Curves/meltCurve_sp_Q99714_HCD2_HUMAN_.pdf")</f>
        <v>Melting_Curves/meltCurve_sp_Q99714_HCD2_HUMAN_.pdf</v>
      </c>
      <c r="AA2479" t="s">
        <v>13939</v>
      </c>
      <c r="AB2479" t="s">
        <v>17719</v>
      </c>
    </row>
    <row r="2480" spans="1:28" x14ac:dyDescent="0.25">
      <c r="A2480" t="s">
        <v>2484</v>
      </c>
      <c r="B2480">
        <v>0.98876768158843997</v>
      </c>
      <c r="C2480">
        <v>1.0117676981496</v>
      </c>
      <c r="D2480">
        <v>1.00195411225436</v>
      </c>
      <c r="E2480">
        <v>0.86011538337481597</v>
      </c>
      <c r="F2480">
        <v>0.58227332870467297</v>
      </c>
      <c r="G2480">
        <v>0.35966760717568202</v>
      </c>
      <c r="H2480">
        <v>0.25122880655979002</v>
      </c>
      <c r="I2480">
        <v>0.25524657913141102</v>
      </c>
      <c r="J2480">
        <v>0.33060063651818899</v>
      </c>
      <c r="K2480">
        <v>0.30050774441651001</v>
      </c>
      <c r="L2480">
        <v>1573.1016264797499</v>
      </c>
      <c r="M2480">
        <v>30.014533179378301</v>
      </c>
      <c r="N2480">
        <v>53.922788432148202</v>
      </c>
      <c r="O2480">
        <v>52.180324742762302</v>
      </c>
      <c r="P2480">
        <v>-0.102901422224707</v>
      </c>
      <c r="Q2480">
        <v>0.28442735762660398</v>
      </c>
      <c r="R2480">
        <v>0.99410576193153</v>
      </c>
      <c r="S2480" t="s">
        <v>6312</v>
      </c>
      <c r="T2480" t="s">
        <v>7662</v>
      </c>
      <c r="U2480" t="s">
        <v>7662</v>
      </c>
      <c r="V2480" t="s">
        <v>7662</v>
      </c>
      <c r="W2480">
        <v>9</v>
      </c>
      <c r="X2480" t="s">
        <v>10142</v>
      </c>
      <c r="Y2480">
        <v>0.58506420255848668</v>
      </c>
      <c r="Z2480" t="str">
        <f>HYPERLINK("Melting_Curves/meltCurve_sp_Q99733_NP1L4_HUMAN_.pdf", "Melting_Curves/meltCurve_sp_Q99733_NP1L4_HUMAN_.pdf")</f>
        <v>Melting_Curves/meltCurve_sp_Q99733_NP1L4_HUMAN_.pdf</v>
      </c>
      <c r="AA2480" t="s">
        <v>13940</v>
      </c>
      <c r="AB2480" t="s">
        <v>17720</v>
      </c>
    </row>
    <row r="2481" spans="1:28" x14ac:dyDescent="0.25">
      <c r="A2481" t="s">
        <v>2485</v>
      </c>
      <c r="B2481">
        <v>0.98876768158843997</v>
      </c>
      <c r="C2481">
        <v>1.02582308451003</v>
      </c>
      <c r="D2481">
        <v>0.87878467883987799</v>
      </c>
      <c r="E2481">
        <v>0.57897812420718497</v>
      </c>
      <c r="F2481">
        <v>0.48835456495797303</v>
      </c>
      <c r="G2481">
        <v>0.30019566544694798</v>
      </c>
      <c r="H2481">
        <v>0.23333969451706199</v>
      </c>
      <c r="I2481">
        <v>0.22769997590532401</v>
      </c>
      <c r="J2481">
        <v>0.15445788762435</v>
      </c>
      <c r="K2481">
        <v>0.32404968680734803</v>
      </c>
      <c r="L2481">
        <v>934.89469047683394</v>
      </c>
      <c r="M2481">
        <v>18.638954000183801</v>
      </c>
      <c r="N2481">
        <v>51.839129146546099</v>
      </c>
      <c r="O2481">
        <v>49.591427837339502</v>
      </c>
      <c r="P2481">
        <v>-7.2654632644487793E-2</v>
      </c>
      <c r="Q2481">
        <v>0.22680355961255599</v>
      </c>
      <c r="R2481">
        <v>0.97602842179489002</v>
      </c>
      <c r="S2481" t="s">
        <v>6313</v>
      </c>
      <c r="T2481" t="s">
        <v>7662</v>
      </c>
      <c r="U2481" t="s">
        <v>7662</v>
      </c>
      <c r="V2481" t="s">
        <v>7662</v>
      </c>
      <c r="W2481">
        <v>1</v>
      </c>
      <c r="X2481" t="s">
        <v>10143</v>
      </c>
      <c r="Y2481">
        <v>0.50092852836184398</v>
      </c>
      <c r="Z2481" t="str">
        <f>HYPERLINK("Melting_Curves/meltCurve_sp_Q99747_SNAG_HUMAN_.pdf", "Melting_Curves/meltCurve_sp_Q99747_SNAG_HUMAN_.pdf")</f>
        <v>Melting_Curves/meltCurve_sp_Q99747_SNAG_HUMAN_.pdf</v>
      </c>
      <c r="AA2481" t="s">
        <v>13941</v>
      </c>
      <c r="AB2481" t="s">
        <v>17721</v>
      </c>
    </row>
    <row r="2482" spans="1:28" x14ac:dyDescent="0.25">
      <c r="A2482" t="s">
        <v>2486</v>
      </c>
      <c r="B2482">
        <v>0.98876768158843997</v>
      </c>
      <c r="C2482">
        <v>0.99532423277889803</v>
      </c>
      <c r="D2482">
        <v>0.87661318084322304</v>
      </c>
      <c r="E2482">
        <v>0.727934615564094</v>
      </c>
      <c r="F2482">
        <v>0.82334875248969697</v>
      </c>
      <c r="G2482">
        <v>0.49380358376393302</v>
      </c>
      <c r="H2482">
        <v>0.343140118902032</v>
      </c>
      <c r="I2482">
        <v>0.39633381648989302</v>
      </c>
      <c r="J2482">
        <v>0.412351420148724</v>
      </c>
      <c r="K2482">
        <v>0.56705151199422699</v>
      </c>
      <c r="L2482">
        <v>804.47685508680297</v>
      </c>
      <c r="M2482">
        <v>15.4351000004486</v>
      </c>
      <c r="N2482">
        <v>58.623085240435998</v>
      </c>
      <c r="O2482">
        <v>51.2685964002467</v>
      </c>
      <c r="P2482">
        <v>-4.4428263352539299E-2</v>
      </c>
      <c r="Q2482">
        <v>0.40976871263993703</v>
      </c>
      <c r="R2482">
        <v>0.87081628088736396</v>
      </c>
      <c r="S2482" t="s">
        <v>6314</v>
      </c>
      <c r="T2482" t="s">
        <v>7662</v>
      </c>
      <c r="U2482" t="s">
        <v>7662</v>
      </c>
      <c r="V2482" t="s">
        <v>7662</v>
      </c>
      <c r="W2482">
        <v>2</v>
      </c>
      <c r="X2482" t="s">
        <v>10144</v>
      </c>
      <c r="Y2482">
        <v>0.66079976753068137</v>
      </c>
      <c r="Z2482" t="str">
        <f>HYPERLINK("Melting_Curves/meltCurve_sp_Q99757_THIOM_HUMAN_.pdf", "Melting_Curves/meltCurve_sp_Q99757_THIOM_HUMAN_.pdf")</f>
        <v>Melting_Curves/meltCurve_sp_Q99757_THIOM_HUMAN_.pdf</v>
      </c>
      <c r="AA2482" t="s">
        <v>13942</v>
      </c>
      <c r="AB2482" t="s">
        <v>17722</v>
      </c>
    </row>
    <row r="2483" spans="1:28" x14ac:dyDescent="0.25">
      <c r="A2483" t="s">
        <v>2487</v>
      </c>
      <c r="B2483">
        <v>0.98876768158843997</v>
      </c>
      <c r="C2483">
        <v>1.0297066818784499</v>
      </c>
      <c r="D2483">
        <v>0.84410694650111395</v>
      </c>
      <c r="E2483">
        <v>0.59873937691049905</v>
      </c>
      <c r="F2483">
        <v>0.35702001488795698</v>
      </c>
      <c r="G2483">
        <v>0.13152589127519301</v>
      </c>
      <c r="H2483">
        <v>7.2619521995628405E-2</v>
      </c>
      <c r="I2483">
        <v>6.1265303721480299E-2</v>
      </c>
      <c r="J2483">
        <v>5.56175175780119E-2</v>
      </c>
      <c r="K2483">
        <v>4.0378674528403401E-2</v>
      </c>
      <c r="L2483">
        <v>946.78738204624904</v>
      </c>
      <c r="M2483">
        <v>18.6203029765257</v>
      </c>
      <c r="N2483">
        <v>51.051210270316702</v>
      </c>
      <c r="O2483">
        <v>50.271485700643801</v>
      </c>
      <c r="P2483">
        <v>-8.9280096879765597E-2</v>
      </c>
      <c r="Q2483">
        <v>3.5880851865474898E-2</v>
      </c>
      <c r="R2483">
        <v>0.99632086359440297</v>
      </c>
      <c r="S2483" t="s">
        <v>6315</v>
      </c>
      <c r="T2483" t="s">
        <v>7662</v>
      </c>
      <c r="U2483" t="s">
        <v>7662</v>
      </c>
      <c r="V2483" t="s">
        <v>7662</v>
      </c>
      <c r="W2483">
        <v>7</v>
      </c>
      <c r="X2483" t="s">
        <v>10145</v>
      </c>
      <c r="Y2483">
        <v>0.39977116347658742</v>
      </c>
      <c r="Z2483" t="str">
        <f>HYPERLINK("Melting_Curves/meltCurve_sp_Q99766_ATP5S_HUMAN_.pdf", "Melting_Curves/meltCurve_sp_Q99766_ATP5S_HUMAN_.pdf")</f>
        <v>Melting_Curves/meltCurve_sp_Q99766_ATP5S_HUMAN_.pdf</v>
      </c>
      <c r="AA2483" t="s">
        <v>13943</v>
      </c>
      <c r="AB2483" t="s">
        <v>17723</v>
      </c>
    </row>
    <row r="2484" spans="1:28" x14ac:dyDescent="0.25">
      <c r="A2484" t="s">
        <v>2488</v>
      </c>
      <c r="B2484">
        <v>0.98876768158843997</v>
      </c>
      <c r="C2484">
        <v>1.0526071611573999</v>
      </c>
      <c r="D2484">
        <v>0.99862790725984196</v>
      </c>
      <c r="E2484">
        <v>0.78551906840317598</v>
      </c>
      <c r="F2484">
        <v>0.34499113968808498</v>
      </c>
      <c r="G2484">
        <v>0.12870888269636599</v>
      </c>
      <c r="H2484">
        <v>5.4085876942885899E-2</v>
      </c>
      <c r="I2484">
        <v>4.4020768511035702E-2</v>
      </c>
      <c r="J2484">
        <v>5.05419953973794E-2</v>
      </c>
      <c r="K2484">
        <v>4.0370732986143097E-2</v>
      </c>
      <c r="L2484">
        <v>1717.0229569718199</v>
      </c>
      <c r="M2484">
        <v>33.140825442416798</v>
      </c>
      <c r="N2484">
        <v>51.979744346210502</v>
      </c>
      <c r="O2484">
        <v>51.622351534321098</v>
      </c>
      <c r="P2484">
        <v>-0.152261539840161</v>
      </c>
      <c r="Q2484">
        <v>5.1313392408336302E-2</v>
      </c>
      <c r="R2484">
        <v>0.997460703435051</v>
      </c>
      <c r="S2484" t="s">
        <v>6316</v>
      </c>
      <c r="T2484" t="s">
        <v>7662</v>
      </c>
      <c r="U2484" t="s">
        <v>7662</v>
      </c>
      <c r="V2484" t="s">
        <v>7662</v>
      </c>
      <c r="W2484">
        <v>14</v>
      </c>
      <c r="X2484" t="s">
        <v>10146</v>
      </c>
      <c r="Y2484">
        <v>0.42973141901954293</v>
      </c>
      <c r="Z2484" t="str">
        <f>HYPERLINK("Melting_Curves/meltCurve_sp_Q99797_MIPEP_HUMAN_.pdf", "Melting_Curves/meltCurve_sp_Q99797_MIPEP_HUMAN_.pdf")</f>
        <v>Melting_Curves/meltCurve_sp_Q99797_MIPEP_HUMAN_.pdf</v>
      </c>
      <c r="AA2484" t="s">
        <v>13944</v>
      </c>
      <c r="AB2484" t="s">
        <v>17724</v>
      </c>
    </row>
    <row r="2485" spans="1:28" x14ac:dyDescent="0.25">
      <c r="A2485" t="s">
        <v>2489</v>
      </c>
      <c r="B2485">
        <v>0.98876768158843997</v>
      </c>
      <c r="C2485">
        <v>0.97109066722473303</v>
      </c>
      <c r="D2485">
        <v>0.88848865843799096</v>
      </c>
      <c r="E2485">
        <v>0.828244785169852</v>
      </c>
      <c r="F2485">
        <v>0.38355375799324898</v>
      </c>
      <c r="G2485">
        <v>9.4044091947404401E-2</v>
      </c>
      <c r="H2485">
        <v>5.8472485914674403E-2</v>
      </c>
      <c r="I2485">
        <v>4.9669975103817099E-2</v>
      </c>
      <c r="J2485">
        <v>5.8996299039580598E-2</v>
      </c>
      <c r="K2485">
        <v>4.0362132802933097E-2</v>
      </c>
      <c r="L2485">
        <v>1738.1132499243299</v>
      </c>
      <c r="M2485">
        <v>33.372704347089901</v>
      </c>
      <c r="N2485">
        <v>52.239512599161799</v>
      </c>
      <c r="O2485">
        <v>51.895939241150799</v>
      </c>
      <c r="P2485">
        <v>-0.153066490182728</v>
      </c>
      <c r="Q2485">
        <v>4.7905059897771801E-2</v>
      </c>
      <c r="R2485">
        <v>0.99306670765665195</v>
      </c>
      <c r="S2485" t="s">
        <v>6317</v>
      </c>
      <c r="T2485" t="s">
        <v>7662</v>
      </c>
      <c r="U2485" t="s">
        <v>7662</v>
      </c>
      <c r="V2485" t="s">
        <v>7662</v>
      </c>
      <c r="W2485">
        <v>44</v>
      </c>
      <c r="X2485" t="s">
        <v>10147</v>
      </c>
      <c r="Y2485">
        <v>0.43626865706077639</v>
      </c>
      <c r="Z2485" t="str">
        <f>HYPERLINK("Melting_Curves/meltCurve_sp_Q99798_ACON_HUMAN_.pdf", "Melting_Curves/meltCurve_sp_Q99798_ACON_HUMAN_.pdf")</f>
        <v>Melting_Curves/meltCurve_sp_Q99798_ACON_HUMAN_.pdf</v>
      </c>
      <c r="AA2485" t="s">
        <v>13945</v>
      </c>
      <c r="AB2485" t="s">
        <v>17725</v>
      </c>
    </row>
    <row r="2486" spans="1:28" x14ac:dyDescent="0.25">
      <c r="A2486" t="s">
        <v>2490</v>
      </c>
      <c r="B2486">
        <v>0.98876768158843997</v>
      </c>
      <c r="C2486">
        <v>0.88277797070073505</v>
      </c>
      <c r="D2486">
        <v>0.86944340283388399</v>
      </c>
      <c r="E2486">
        <v>0.316355705390373</v>
      </c>
      <c r="F2486">
        <v>0.123754404386254</v>
      </c>
      <c r="G2486">
        <v>5.4478134612790503E-2</v>
      </c>
      <c r="H2486">
        <v>2.31681829943946E-2</v>
      </c>
      <c r="I2486">
        <v>2.0105248387393599E-2</v>
      </c>
      <c r="J2486">
        <v>5.4102173121154402E-2</v>
      </c>
      <c r="K2486">
        <v>2.5367739805270399E-2</v>
      </c>
      <c r="L2486">
        <v>1377.7592651599</v>
      </c>
      <c r="M2486">
        <v>28.3573439353707</v>
      </c>
      <c r="N2486">
        <v>48.698327000379699</v>
      </c>
      <c r="O2486">
        <v>48.345945083150603</v>
      </c>
      <c r="P2486">
        <v>-0.14198163633014399</v>
      </c>
      <c r="Q2486">
        <v>3.1760022811914701E-2</v>
      </c>
      <c r="R2486">
        <v>0.99243340054142104</v>
      </c>
      <c r="S2486" t="s">
        <v>6318</v>
      </c>
      <c r="T2486" t="s">
        <v>7662</v>
      </c>
      <c r="U2486" t="s">
        <v>7662</v>
      </c>
      <c r="V2486" t="s">
        <v>7662</v>
      </c>
      <c r="W2486">
        <v>1</v>
      </c>
      <c r="X2486" t="s">
        <v>10148</v>
      </c>
      <c r="Y2486">
        <v>0.31544689936654452</v>
      </c>
      <c r="Z2486" t="str">
        <f>HYPERLINK("Melting_Curves/meltCurve_sp_Q99807_2_COQ7_HUMAN_.pdf", "Melting_Curves/meltCurve_sp_Q99807_2_COQ7_HUMAN_.pdf")</f>
        <v>Melting_Curves/meltCurve_sp_Q99807_2_COQ7_HUMAN_.pdf</v>
      </c>
      <c r="AA2486" t="s">
        <v>13946</v>
      </c>
      <c r="AB2486" t="s">
        <v>17726</v>
      </c>
    </row>
    <row r="2487" spans="1:28" x14ac:dyDescent="0.25">
      <c r="A2487" t="s">
        <v>2491</v>
      </c>
      <c r="B2487">
        <v>0.98876768158843997</v>
      </c>
      <c r="C2487">
        <v>1.04412107130975</v>
      </c>
      <c r="D2487">
        <v>1.1571877495207601</v>
      </c>
      <c r="E2487">
        <v>1.03661751476036</v>
      </c>
      <c r="F2487">
        <v>0.48128251685374601</v>
      </c>
      <c r="G2487">
        <v>0.12948471065210301</v>
      </c>
      <c r="H2487">
        <v>4.6746982162292297E-2</v>
      </c>
      <c r="I2487">
        <v>3.8190306713241501E-2</v>
      </c>
      <c r="J2487">
        <v>3.9118814412479698E-2</v>
      </c>
      <c r="K2487">
        <v>3.4878751936480198E-2</v>
      </c>
      <c r="L2487">
        <v>13239.2636431264</v>
      </c>
      <c r="M2487">
        <v>250</v>
      </c>
      <c r="N2487">
        <v>52.983033971297097</v>
      </c>
      <c r="O2487">
        <v>52.953665785826402</v>
      </c>
      <c r="P2487">
        <v>-1.11219412807153</v>
      </c>
      <c r="Q2487">
        <v>5.7683904775495197E-2</v>
      </c>
      <c r="R2487">
        <v>0.98453441370056605</v>
      </c>
      <c r="S2487" t="s">
        <v>6319</v>
      </c>
      <c r="T2487" t="s">
        <v>7662</v>
      </c>
      <c r="U2487" t="s">
        <v>7662</v>
      </c>
      <c r="V2487" t="s">
        <v>7662</v>
      </c>
      <c r="W2487">
        <v>17</v>
      </c>
      <c r="X2487" t="s">
        <v>10149</v>
      </c>
      <c r="Y2487">
        <v>0.4647595181879503</v>
      </c>
      <c r="Z2487" t="str">
        <f>HYPERLINK("Melting_Curves/meltCurve_sp_Q99832_TCPH_HUMAN_.pdf", "Melting_Curves/meltCurve_sp_Q99832_TCPH_HUMAN_.pdf")</f>
        <v>Melting_Curves/meltCurve_sp_Q99832_TCPH_HUMAN_.pdf</v>
      </c>
      <c r="AA2487" t="s">
        <v>13947</v>
      </c>
      <c r="AB2487" t="s">
        <v>17727</v>
      </c>
    </row>
    <row r="2488" spans="1:28" x14ac:dyDescent="0.25">
      <c r="A2488" t="s">
        <v>2492</v>
      </c>
      <c r="B2488">
        <v>0.98876768158843997</v>
      </c>
      <c r="C2488">
        <v>1.0082545012258799</v>
      </c>
      <c r="D2488">
        <v>0.72642187616230403</v>
      </c>
      <c r="E2488">
        <v>0.41994683147221901</v>
      </c>
      <c r="F2488">
        <v>0.17106404694939301</v>
      </c>
      <c r="G2488">
        <v>6.9287547383181602E-2</v>
      </c>
      <c r="H2488">
        <v>4.4387612751617497E-2</v>
      </c>
      <c r="I2488">
        <v>3.5407628145665899E-2</v>
      </c>
      <c r="J2488">
        <v>7.6307148011796194E-2</v>
      </c>
      <c r="K2488">
        <v>3.7586607937344502E-2</v>
      </c>
      <c r="L2488">
        <v>1012.98634733551</v>
      </c>
      <c r="M2488">
        <v>20.831798245447501</v>
      </c>
      <c r="N2488">
        <v>48.819560802489598</v>
      </c>
      <c r="O2488">
        <v>48.185492433919798</v>
      </c>
      <c r="P2488">
        <v>-0.10381978358105</v>
      </c>
      <c r="Q2488">
        <v>3.9455425062949301E-2</v>
      </c>
      <c r="R2488">
        <v>0.99353770109347495</v>
      </c>
      <c r="S2488" t="s">
        <v>6320</v>
      </c>
      <c r="T2488" t="s">
        <v>7662</v>
      </c>
      <c r="U2488" t="s">
        <v>7662</v>
      </c>
      <c r="V2488" t="s">
        <v>7662</v>
      </c>
      <c r="W2488">
        <v>2</v>
      </c>
      <c r="X2488" t="s">
        <v>10150</v>
      </c>
      <c r="Y2488">
        <v>0.32809146516123833</v>
      </c>
      <c r="Z2488" t="str">
        <f>HYPERLINK("Melting_Curves/meltCurve_sp_Q99836_MYD88_HUMAN_.pdf", "Melting_Curves/meltCurve_sp_Q99836_MYD88_HUMAN_.pdf")</f>
        <v>Melting_Curves/meltCurve_sp_Q99836_MYD88_HUMAN_.pdf</v>
      </c>
      <c r="AA2488" t="s">
        <v>13948</v>
      </c>
      <c r="AB2488" t="s">
        <v>17728</v>
      </c>
    </row>
    <row r="2489" spans="1:28" x14ac:dyDescent="0.25">
      <c r="A2489" t="s">
        <v>2493</v>
      </c>
      <c r="B2489">
        <v>0.98876768158843997</v>
      </c>
      <c r="C2489">
        <v>0.98699419191593296</v>
      </c>
      <c r="D2489">
        <v>0.86496282893038301</v>
      </c>
      <c r="E2489">
        <v>0.60451939098791696</v>
      </c>
      <c r="F2489">
        <v>0.38612679241619702</v>
      </c>
      <c r="G2489">
        <v>0.24183140069035899</v>
      </c>
      <c r="H2489">
        <v>0.186551750412455</v>
      </c>
      <c r="I2489">
        <v>0.17332673638453999</v>
      </c>
      <c r="J2489">
        <v>0.196625317848452</v>
      </c>
      <c r="K2489">
        <v>0.140794617618028</v>
      </c>
      <c r="L2489">
        <v>952.47356324022098</v>
      </c>
      <c r="M2489">
        <v>18.957186137033201</v>
      </c>
      <c r="N2489">
        <v>51.293732807360698</v>
      </c>
      <c r="O2489">
        <v>49.694338335606801</v>
      </c>
      <c r="P2489">
        <v>-8.0031300220807303E-2</v>
      </c>
      <c r="Q2489">
        <v>0.160858178981101</v>
      </c>
      <c r="R2489">
        <v>0.99829635496664704</v>
      </c>
      <c r="S2489" t="s">
        <v>6321</v>
      </c>
      <c r="T2489" t="s">
        <v>7662</v>
      </c>
      <c r="U2489" t="s">
        <v>7662</v>
      </c>
      <c r="V2489" t="s">
        <v>7662</v>
      </c>
      <c r="W2489">
        <v>4</v>
      </c>
      <c r="X2489" t="s">
        <v>10151</v>
      </c>
      <c r="Y2489">
        <v>0.46031540909705682</v>
      </c>
      <c r="Z2489" t="str">
        <f>HYPERLINK("Melting_Curves/meltCurve_sp_Q99880_H2B1L_HUMAN_.pdf", "Melting_Curves/meltCurve_sp_Q99880_H2B1L_HUMAN_.pdf")</f>
        <v>Melting_Curves/meltCurve_sp_Q99880_H2B1L_HUMAN_.pdf</v>
      </c>
      <c r="AA2489" t="s">
        <v>13949</v>
      </c>
      <c r="AB2489" t="s">
        <v>17729</v>
      </c>
    </row>
    <row r="2490" spans="1:28" x14ac:dyDescent="0.25">
      <c r="A2490" t="s">
        <v>2494</v>
      </c>
      <c r="B2490">
        <v>0.98876768158843997</v>
      </c>
      <c r="C2490">
        <v>1.1443339346669701</v>
      </c>
      <c r="D2490">
        <v>0.98624720599748095</v>
      </c>
      <c r="E2490">
        <v>0.85053010271426499</v>
      </c>
      <c r="F2490">
        <v>0.71294127583917</v>
      </c>
      <c r="G2490">
        <v>0.69211473818442204</v>
      </c>
      <c r="H2490">
        <v>0.67208916934863605</v>
      </c>
      <c r="I2490">
        <v>0.65573608264984795</v>
      </c>
      <c r="J2490">
        <v>1.1519614280423101</v>
      </c>
      <c r="K2490">
        <v>0.72141316919760301</v>
      </c>
      <c r="L2490">
        <v>12470.4791210519</v>
      </c>
      <c r="M2490">
        <v>250</v>
      </c>
      <c r="O2490">
        <v>49.878725017326801</v>
      </c>
      <c r="P2490">
        <v>-0.291069357337431</v>
      </c>
      <c r="Q2490">
        <v>0.76770930830546602</v>
      </c>
      <c r="R2490">
        <v>0.41589571550193899</v>
      </c>
      <c r="S2490" t="s">
        <v>6322</v>
      </c>
      <c r="T2490" t="s">
        <v>7662</v>
      </c>
      <c r="U2490" t="s">
        <v>7662</v>
      </c>
      <c r="V2490" t="s">
        <v>7662</v>
      </c>
      <c r="W2490">
        <v>3</v>
      </c>
      <c r="X2490" t="s">
        <v>10152</v>
      </c>
      <c r="Y2490">
        <v>0.84424555067367413</v>
      </c>
      <c r="Z2490" t="str">
        <f>HYPERLINK("Melting_Curves/meltCurve_sp_Q99933_4_BAG1_HUMAN_.pdf", "Melting_Curves/meltCurve_sp_Q99933_4_BAG1_HUMAN_.pdf")</f>
        <v>Melting_Curves/meltCurve_sp_Q99933_4_BAG1_HUMAN_.pdf</v>
      </c>
      <c r="AA2490" t="s">
        <v>13950</v>
      </c>
      <c r="AB2490" t="s">
        <v>17730</v>
      </c>
    </row>
    <row r="2491" spans="1:28" x14ac:dyDescent="0.25">
      <c r="A2491" t="s">
        <v>2495</v>
      </c>
      <c r="B2491">
        <v>0.98876768158843997</v>
      </c>
      <c r="C2491">
        <v>0.97707838402011304</v>
      </c>
      <c r="D2491">
        <v>0.78684109053663798</v>
      </c>
      <c r="E2491">
        <v>0.42285845882058698</v>
      </c>
      <c r="F2491">
        <v>0.20233745421188201</v>
      </c>
      <c r="G2491">
        <v>0.14404529865924701</v>
      </c>
      <c r="H2491">
        <v>0.111956033405955</v>
      </c>
      <c r="I2491">
        <v>0.119617702916011</v>
      </c>
      <c r="J2491">
        <v>0.108772865448304</v>
      </c>
      <c r="K2491">
        <v>0.135713546522335</v>
      </c>
      <c r="L2491">
        <v>1129.60249194892</v>
      </c>
      <c r="M2491">
        <v>23.308944013639501</v>
      </c>
      <c r="N2491">
        <v>49.0110744544154</v>
      </c>
      <c r="O2491">
        <v>48.109713667961302</v>
      </c>
      <c r="P2491">
        <v>-0.107211651794937</v>
      </c>
      <c r="Q2491">
        <v>0.11487533846723701</v>
      </c>
      <c r="R2491">
        <v>0.99853770011189802</v>
      </c>
      <c r="S2491" t="s">
        <v>6323</v>
      </c>
      <c r="T2491" t="s">
        <v>7662</v>
      </c>
      <c r="U2491" t="s">
        <v>7662</v>
      </c>
      <c r="V2491" t="s">
        <v>7662</v>
      </c>
      <c r="W2491">
        <v>4</v>
      </c>
      <c r="X2491" t="s">
        <v>10153</v>
      </c>
      <c r="Y2491">
        <v>0.37360532831438847</v>
      </c>
      <c r="Z2491" t="str">
        <f>HYPERLINK("Melting_Curves/meltCurve_sp_Q99952_PTN18_HUMAN_.pdf", "Melting_Curves/meltCurve_sp_Q99952_PTN18_HUMAN_.pdf")</f>
        <v>Melting_Curves/meltCurve_sp_Q99952_PTN18_HUMAN_.pdf</v>
      </c>
      <c r="AA2491" t="s">
        <v>13951</v>
      </c>
      <c r="AB2491" t="s">
        <v>17731</v>
      </c>
    </row>
    <row r="2492" spans="1:28" x14ac:dyDescent="0.25">
      <c r="A2492" t="s">
        <v>2496</v>
      </c>
      <c r="B2492">
        <v>0.98876768158843997</v>
      </c>
      <c r="C2492">
        <v>0.91158100077626902</v>
      </c>
      <c r="D2492">
        <v>0.75606465616610696</v>
      </c>
      <c r="E2492">
        <v>0.393277947207888</v>
      </c>
      <c r="F2492">
        <v>0.33904087766422403</v>
      </c>
      <c r="G2492">
        <v>0.20468922798709599</v>
      </c>
      <c r="H2492">
        <v>0.12088665127780999</v>
      </c>
      <c r="I2492">
        <v>0.145439365618934</v>
      </c>
      <c r="J2492">
        <v>0.233095302284341</v>
      </c>
      <c r="K2492">
        <v>0.23211024100885499</v>
      </c>
      <c r="L2492">
        <v>945.76451574796999</v>
      </c>
      <c r="M2492">
        <v>19.781535927305502</v>
      </c>
      <c r="N2492">
        <v>48.933620918059901</v>
      </c>
      <c r="O2492">
        <v>47.329912128721197</v>
      </c>
      <c r="P2492">
        <v>-8.5424527404533296E-2</v>
      </c>
      <c r="Q2492">
        <v>0.18247036806095701</v>
      </c>
      <c r="R2492">
        <v>0.98343861462452498</v>
      </c>
      <c r="S2492" t="s">
        <v>6324</v>
      </c>
      <c r="T2492" t="s">
        <v>7662</v>
      </c>
      <c r="U2492" t="s">
        <v>7662</v>
      </c>
      <c r="V2492" t="s">
        <v>7662</v>
      </c>
      <c r="W2492">
        <v>5</v>
      </c>
      <c r="X2492" t="s">
        <v>10154</v>
      </c>
      <c r="Y2492">
        <v>0.4072574792216232</v>
      </c>
      <c r="Z2492" t="str">
        <f>HYPERLINK("Melting_Curves/meltCurve_sp_Q99959_2_PKP2_HUMAN_.pdf", "Melting_Curves/meltCurve_sp_Q99959_2_PKP2_HUMAN_.pdf")</f>
        <v>Melting_Curves/meltCurve_sp_Q99959_2_PKP2_HUMAN_.pdf</v>
      </c>
      <c r="AA2492" t="s">
        <v>13952</v>
      </c>
      <c r="AB2492" t="s">
        <v>17732</v>
      </c>
    </row>
    <row r="2493" spans="1:28" x14ac:dyDescent="0.25">
      <c r="A2493" t="s">
        <v>2497</v>
      </c>
      <c r="B2493">
        <v>0.98876768158843997</v>
      </c>
      <c r="C2493">
        <v>1.0439840033238501</v>
      </c>
      <c r="D2493">
        <v>0.883397417346931</v>
      </c>
      <c r="E2493">
        <v>0.74224687181325399</v>
      </c>
      <c r="F2493">
        <v>0.68354139776871004</v>
      </c>
      <c r="G2493">
        <v>0.46308971504859497</v>
      </c>
      <c r="H2493">
        <v>0.35976817892282598</v>
      </c>
      <c r="I2493">
        <v>0.42832223393400298</v>
      </c>
      <c r="J2493">
        <v>0.54000008035147096</v>
      </c>
      <c r="K2493">
        <v>0.63005822058694805</v>
      </c>
      <c r="L2493">
        <v>1056.4149870767501</v>
      </c>
      <c r="M2493">
        <v>21.048901641474298</v>
      </c>
      <c r="N2493">
        <v>59.7635314079183</v>
      </c>
      <c r="O2493">
        <v>49.742192882608002</v>
      </c>
      <c r="P2493">
        <v>-5.4711271863958903E-2</v>
      </c>
      <c r="Q2493">
        <v>0.48284498054064001</v>
      </c>
      <c r="R2493">
        <v>0.88000006126693697</v>
      </c>
      <c r="S2493" t="s">
        <v>6325</v>
      </c>
      <c r="T2493" t="s">
        <v>7662</v>
      </c>
      <c r="U2493" t="s">
        <v>7662</v>
      </c>
      <c r="V2493" t="s">
        <v>7662</v>
      </c>
      <c r="W2493">
        <v>13</v>
      </c>
      <c r="X2493" t="s">
        <v>10155</v>
      </c>
      <c r="Y2493">
        <v>0.66499451362448991</v>
      </c>
      <c r="Z2493" t="str">
        <f>HYPERLINK("Melting_Curves/meltCurve_sp_Q99961_SH3G1_HUMAN_.pdf", "Melting_Curves/meltCurve_sp_Q99961_SH3G1_HUMAN_.pdf")</f>
        <v>Melting_Curves/meltCurve_sp_Q99961_SH3G1_HUMAN_.pdf</v>
      </c>
      <c r="AA2493" t="s">
        <v>13953</v>
      </c>
      <c r="AB2493" t="s">
        <v>17733</v>
      </c>
    </row>
    <row r="2494" spans="1:28" x14ac:dyDescent="0.25">
      <c r="A2494" t="s">
        <v>2498</v>
      </c>
      <c r="B2494">
        <v>0.98876768158843997</v>
      </c>
      <c r="C2494">
        <v>0.97649615199371398</v>
      </c>
      <c r="D2494">
        <v>1.0142135965790899</v>
      </c>
      <c r="E2494">
        <v>0.745665948574879</v>
      </c>
      <c r="F2494">
        <v>0.50825372239667599</v>
      </c>
      <c r="G2494">
        <v>0.35184219554028701</v>
      </c>
      <c r="H2494">
        <v>0.279501732752159</v>
      </c>
      <c r="I2494">
        <v>0.26795121809322903</v>
      </c>
      <c r="J2494">
        <v>0.33318518564352101</v>
      </c>
      <c r="K2494">
        <v>0.34380520180880902</v>
      </c>
      <c r="L2494">
        <v>1454.9319336496801</v>
      </c>
      <c r="M2494">
        <v>28.438489976919399</v>
      </c>
      <c r="N2494">
        <v>52.932456920212097</v>
      </c>
      <c r="O2494">
        <v>50.909690953145798</v>
      </c>
      <c r="P2494">
        <v>-9.6779319572465897E-2</v>
      </c>
      <c r="Q2494">
        <v>0.30700040747914598</v>
      </c>
      <c r="R2494">
        <v>0.99142211727868201</v>
      </c>
      <c r="S2494" t="s">
        <v>6326</v>
      </c>
      <c r="T2494" t="s">
        <v>7662</v>
      </c>
      <c r="U2494" t="s">
        <v>7662</v>
      </c>
      <c r="V2494" t="s">
        <v>7662</v>
      </c>
      <c r="W2494">
        <v>12</v>
      </c>
      <c r="X2494" t="s">
        <v>10156</v>
      </c>
      <c r="Y2494">
        <v>0.56967205521700959</v>
      </c>
      <c r="Z2494" t="str">
        <f>HYPERLINK("Melting_Curves/meltCurve_sp_Q99996_5_AKAP9_HUMAN_.pdf", "Melting_Curves/meltCurve_sp_Q99996_5_AKAP9_HUMAN_.pdf")</f>
        <v>Melting_Curves/meltCurve_sp_Q99996_5_AKAP9_HUMAN_.pdf</v>
      </c>
      <c r="AA2494" t="s">
        <v>13954</v>
      </c>
      <c r="AB2494" t="s">
        <v>17734</v>
      </c>
    </row>
    <row r="2495" spans="1:28" x14ac:dyDescent="0.25">
      <c r="A2495" t="s">
        <v>2499</v>
      </c>
      <c r="B2495">
        <v>0.98876768158843997</v>
      </c>
      <c r="C2495">
        <v>0.94447128562108495</v>
      </c>
      <c r="D2495">
        <v>0.95590924606555605</v>
      </c>
      <c r="E2495">
        <v>0.80661781115734399</v>
      </c>
      <c r="F2495">
        <v>0.30551848302429302</v>
      </c>
      <c r="G2495">
        <v>0.100837369688082</v>
      </c>
      <c r="H2495">
        <v>5.4072321683729198E-2</v>
      </c>
      <c r="I2495">
        <v>4.7429929292126999E-2</v>
      </c>
      <c r="J2495">
        <v>5.0860928447400401E-2</v>
      </c>
      <c r="K2495">
        <v>4.46516140659887E-2</v>
      </c>
      <c r="L2495">
        <v>2002.6028259361501</v>
      </c>
      <c r="M2495">
        <v>38.748871643859196</v>
      </c>
      <c r="N2495">
        <v>51.831099145357797</v>
      </c>
      <c r="O2495">
        <v>51.544503916521599</v>
      </c>
      <c r="P2495">
        <v>-0.178002329613629</v>
      </c>
      <c r="Q2495">
        <v>5.2873560878918598E-2</v>
      </c>
      <c r="R2495">
        <v>0.99688609918096005</v>
      </c>
      <c r="S2495" t="s">
        <v>6327</v>
      </c>
      <c r="T2495" t="s">
        <v>7662</v>
      </c>
      <c r="U2495" t="s">
        <v>7662</v>
      </c>
      <c r="V2495" t="s">
        <v>7662</v>
      </c>
      <c r="W2495">
        <v>12</v>
      </c>
      <c r="X2495" t="s">
        <v>10157</v>
      </c>
      <c r="Y2495">
        <v>0.42527694363570312</v>
      </c>
      <c r="Z2495" t="str">
        <f>HYPERLINK("Melting_Curves/meltCurve_sp_Q9BPW8_NIPS1_HUMAN_.pdf", "Melting_Curves/meltCurve_sp_Q9BPW8_NIPS1_HUMAN_.pdf")</f>
        <v>Melting_Curves/meltCurve_sp_Q9BPW8_NIPS1_HUMAN_.pdf</v>
      </c>
      <c r="AA2495" t="s">
        <v>13955</v>
      </c>
      <c r="AB2495" t="s">
        <v>17735</v>
      </c>
    </row>
    <row r="2496" spans="1:28" x14ac:dyDescent="0.25">
      <c r="A2496" t="s">
        <v>2500</v>
      </c>
      <c r="B2496">
        <v>0.98876768158843997</v>
      </c>
      <c r="C2496">
        <v>0.85885714893125098</v>
      </c>
      <c r="D2496">
        <v>1.00088711557346</v>
      </c>
      <c r="E2496">
        <v>0.88605920662911897</v>
      </c>
      <c r="F2496">
        <v>0.46633920803769902</v>
      </c>
      <c r="G2496">
        <v>0.314893788237048</v>
      </c>
      <c r="H2496">
        <v>0.13949132520303301</v>
      </c>
      <c r="I2496">
        <v>6.4324446101524005E-2</v>
      </c>
      <c r="J2496">
        <v>1.48393549226426E-2</v>
      </c>
      <c r="K2496">
        <v>2.3425047720455401E-2</v>
      </c>
      <c r="L2496">
        <v>1000.87930309972</v>
      </c>
      <c r="M2496">
        <v>18.644771078326599</v>
      </c>
      <c r="N2496">
        <v>53.788339754264101</v>
      </c>
      <c r="O2496">
        <v>53.075394249573499</v>
      </c>
      <c r="P2496">
        <v>-8.6229377518110994E-2</v>
      </c>
      <c r="Q2496">
        <v>1.8177852717670601E-2</v>
      </c>
      <c r="R2496">
        <v>0.974255372968445</v>
      </c>
      <c r="S2496" t="s">
        <v>6328</v>
      </c>
      <c r="T2496" t="s">
        <v>7662</v>
      </c>
      <c r="U2496" t="s">
        <v>7662</v>
      </c>
      <c r="V2496" t="s">
        <v>7662</v>
      </c>
      <c r="W2496">
        <v>5</v>
      </c>
      <c r="X2496" t="s">
        <v>10158</v>
      </c>
      <c r="Y2496">
        <v>0.48094040375139641</v>
      </c>
      <c r="Z2496" t="str">
        <f>HYPERLINK("Melting_Curves/meltCurve_sp_Q9BPX5_ARP5L_HUMAN_.pdf", "Melting_Curves/meltCurve_sp_Q9BPX5_ARP5L_HUMAN_.pdf")</f>
        <v>Melting_Curves/meltCurve_sp_Q9BPX5_ARP5L_HUMAN_.pdf</v>
      </c>
      <c r="AA2496" t="s">
        <v>13956</v>
      </c>
      <c r="AB2496" t="s">
        <v>17736</v>
      </c>
    </row>
    <row r="2497" spans="1:28" x14ac:dyDescent="0.25">
      <c r="A2497" t="s">
        <v>2501</v>
      </c>
      <c r="B2497">
        <v>0.98876768158843997</v>
      </c>
      <c r="C2497">
        <v>0.91975679991507397</v>
      </c>
      <c r="D2497">
        <v>0.92673616778403001</v>
      </c>
      <c r="E2497">
        <v>0.81688867486324102</v>
      </c>
      <c r="F2497">
        <v>0.59658347497213704</v>
      </c>
      <c r="G2497">
        <v>0.44156350479009199</v>
      </c>
      <c r="H2497">
        <v>0.35561245881338999</v>
      </c>
      <c r="I2497">
        <v>0.295233430332355</v>
      </c>
      <c r="J2497">
        <v>0.21981437256820199</v>
      </c>
      <c r="K2497">
        <v>9.4506451945670797E-2</v>
      </c>
      <c r="L2497">
        <v>531.75501371965402</v>
      </c>
      <c r="M2497">
        <v>9.4436078959725105</v>
      </c>
      <c r="N2497">
        <v>56.4590347810989</v>
      </c>
      <c r="O2497">
        <v>53.956802508746001</v>
      </c>
      <c r="P2497">
        <v>-4.3237421794791703E-2</v>
      </c>
      <c r="Q2497">
        <v>1.2435768026321599E-2</v>
      </c>
      <c r="R2497">
        <v>0.98551009711340998</v>
      </c>
      <c r="S2497" t="s">
        <v>6329</v>
      </c>
      <c r="T2497" t="s">
        <v>7662</v>
      </c>
      <c r="U2497" t="s">
        <v>7662</v>
      </c>
      <c r="V2497" t="s">
        <v>7662</v>
      </c>
      <c r="W2497">
        <v>10</v>
      </c>
      <c r="X2497" t="s">
        <v>10159</v>
      </c>
      <c r="Y2497">
        <v>0.56828924264054437</v>
      </c>
      <c r="Z2497" t="str">
        <f>HYPERLINK("Melting_Curves/meltCurve_sp_Q9BQ52_RNZ2_HUMAN_.pdf", "Melting_Curves/meltCurve_sp_Q9BQ52_RNZ2_HUMAN_.pdf")</f>
        <v>Melting_Curves/meltCurve_sp_Q9BQ52_RNZ2_HUMAN_.pdf</v>
      </c>
      <c r="AA2497" t="s">
        <v>13957</v>
      </c>
      <c r="AB2497" t="s">
        <v>17737</v>
      </c>
    </row>
    <row r="2498" spans="1:28" x14ac:dyDescent="0.25">
      <c r="A2498" t="s">
        <v>2502</v>
      </c>
      <c r="B2498">
        <v>0.98876768158843997</v>
      </c>
      <c r="C2498">
        <v>1.09463316456622</v>
      </c>
      <c r="D2498">
        <v>0.88804264819637102</v>
      </c>
      <c r="E2498">
        <v>0.77900452986137403</v>
      </c>
      <c r="F2498">
        <v>0.89150526820623199</v>
      </c>
      <c r="G2498">
        <v>0.71265860747781196</v>
      </c>
      <c r="H2498">
        <v>0.52445151501228304</v>
      </c>
      <c r="I2498">
        <v>0.64487227268098002</v>
      </c>
      <c r="J2498">
        <v>0.67681566858559605</v>
      </c>
      <c r="K2498">
        <v>0.83074930067494301</v>
      </c>
      <c r="L2498">
        <v>857.87332514544403</v>
      </c>
      <c r="M2498">
        <v>17.126836187463599</v>
      </c>
      <c r="O2498">
        <v>49.421497232610697</v>
      </c>
      <c r="P2498">
        <v>-2.79543719122269E-2</v>
      </c>
      <c r="Q2498">
        <v>0.67735684111287497</v>
      </c>
      <c r="R2498">
        <v>0.66857261454165196</v>
      </c>
      <c r="S2498" t="s">
        <v>6330</v>
      </c>
      <c r="T2498" t="s">
        <v>7662</v>
      </c>
      <c r="U2498" t="s">
        <v>7662</v>
      </c>
      <c r="V2498" t="s">
        <v>7662</v>
      </c>
      <c r="W2498">
        <v>6</v>
      </c>
      <c r="X2498" t="s">
        <v>10160</v>
      </c>
      <c r="Y2498">
        <v>0.79189926650247677</v>
      </c>
      <c r="Z2498" t="str">
        <f>HYPERLINK("Melting_Curves/meltCurve_sp_Q9BQ61_CS043_HUMAN_.pdf", "Melting_Curves/meltCurve_sp_Q9BQ61_CS043_HUMAN_.pdf")</f>
        <v>Melting_Curves/meltCurve_sp_Q9BQ61_CS043_HUMAN_.pdf</v>
      </c>
      <c r="AA2498" t="s">
        <v>13958</v>
      </c>
      <c r="AB2498" t="s">
        <v>17738</v>
      </c>
    </row>
    <row r="2499" spans="1:28" x14ac:dyDescent="0.25">
      <c r="A2499" t="s">
        <v>2503</v>
      </c>
      <c r="B2499">
        <v>0.98876768158843997</v>
      </c>
      <c r="C2499">
        <v>0.85526539409193203</v>
      </c>
      <c r="D2499">
        <v>0.83013109379813899</v>
      </c>
      <c r="E2499">
        <v>0.64363811310975805</v>
      </c>
      <c r="F2499">
        <v>0.39656907397755897</v>
      </c>
      <c r="G2499">
        <v>0.175106971638994</v>
      </c>
      <c r="H2499">
        <v>0.11411144246667899</v>
      </c>
      <c r="I2499">
        <v>9.9085316358233505E-2</v>
      </c>
      <c r="J2499">
        <v>0.13890257866616099</v>
      </c>
      <c r="K2499">
        <v>9.6074720899582106E-2</v>
      </c>
      <c r="L2499">
        <v>751.93010616219703</v>
      </c>
      <c r="M2499">
        <v>14.798424254934901</v>
      </c>
      <c r="N2499">
        <v>51.316234398149398</v>
      </c>
      <c r="O2499">
        <v>49.910704325383598</v>
      </c>
      <c r="P2499">
        <v>-6.9111518551255399E-2</v>
      </c>
      <c r="Q2499">
        <v>6.77285387217198E-2</v>
      </c>
      <c r="R2499">
        <v>0.98627363150103697</v>
      </c>
      <c r="S2499" t="s">
        <v>6331</v>
      </c>
      <c r="T2499" t="s">
        <v>7662</v>
      </c>
      <c r="U2499" t="s">
        <v>7662</v>
      </c>
      <c r="V2499" t="s">
        <v>7662</v>
      </c>
      <c r="W2499">
        <v>1</v>
      </c>
      <c r="X2499" t="s">
        <v>10161</v>
      </c>
      <c r="Y2499">
        <v>0.42586701550601902</v>
      </c>
      <c r="Z2499" t="str">
        <f>HYPERLINK("Melting_Curves/meltCurve_sp_Q9BQ67_GRWD1_HUMAN_.pdf", "Melting_Curves/meltCurve_sp_Q9BQ67_GRWD1_HUMAN_.pdf")</f>
        <v>Melting_Curves/meltCurve_sp_Q9BQ67_GRWD1_HUMAN_.pdf</v>
      </c>
      <c r="AA2499" t="s">
        <v>13959</v>
      </c>
      <c r="AB2499" t="s">
        <v>17739</v>
      </c>
    </row>
    <row r="2500" spans="1:28" x14ac:dyDescent="0.25">
      <c r="A2500" t="s">
        <v>2504</v>
      </c>
      <c r="B2500">
        <v>0.98876768158843997</v>
      </c>
      <c r="C2500">
        <v>1.16610309703855</v>
      </c>
      <c r="D2500">
        <v>0.73706552271416803</v>
      </c>
      <c r="E2500">
        <v>0.32668928233076799</v>
      </c>
      <c r="F2500">
        <v>0.16775584805535801</v>
      </c>
      <c r="G2500">
        <v>0.109503593171041</v>
      </c>
      <c r="H2500">
        <v>6.7879074937908901E-2</v>
      </c>
      <c r="I2500">
        <v>6.0593620961764502E-2</v>
      </c>
      <c r="J2500">
        <v>4.7418770830039501E-2</v>
      </c>
      <c r="K2500">
        <v>4.9294541359099303E-2</v>
      </c>
      <c r="L2500">
        <v>1317.00642539403</v>
      </c>
      <c r="M2500">
        <v>27.343777540344799</v>
      </c>
      <c r="N2500">
        <v>48.425368375463599</v>
      </c>
      <c r="O2500">
        <v>47.909357148165697</v>
      </c>
      <c r="P2500">
        <v>-0.132923662817621</v>
      </c>
      <c r="Q2500">
        <v>6.8420267716508207E-2</v>
      </c>
      <c r="R2500">
        <v>0.97258170021493595</v>
      </c>
      <c r="S2500" t="s">
        <v>6332</v>
      </c>
      <c r="T2500" t="s">
        <v>7662</v>
      </c>
      <c r="U2500" t="s">
        <v>7662</v>
      </c>
      <c r="V2500" t="s">
        <v>7662</v>
      </c>
      <c r="W2500">
        <v>12</v>
      </c>
      <c r="X2500" t="s">
        <v>10162</v>
      </c>
      <c r="Y2500">
        <v>0.32877398681087039</v>
      </c>
      <c r="Z2500" t="str">
        <f>HYPERLINK("Melting_Curves/meltCurve_sp_Q9BQ69_MACD1_HUMAN_.pdf", "Melting_Curves/meltCurve_sp_Q9BQ69_MACD1_HUMAN_.pdf")</f>
        <v>Melting_Curves/meltCurve_sp_Q9BQ69_MACD1_HUMAN_.pdf</v>
      </c>
      <c r="AA2500" t="s">
        <v>13960</v>
      </c>
      <c r="AB2500" t="s">
        <v>17740</v>
      </c>
    </row>
    <row r="2501" spans="1:28" x14ac:dyDescent="0.25">
      <c r="A2501" t="s">
        <v>2505</v>
      </c>
      <c r="B2501">
        <v>0.98876768158843997</v>
      </c>
      <c r="C2501">
        <v>0.95654789461813705</v>
      </c>
      <c r="D2501">
        <v>0.89128387372665796</v>
      </c>
      <c r="E2501">
        <v>0.70124376184917703</v>
      </c>
      <c r="F2501">
        <v>0.62097541802936695</v>
      </c>
      <c r="G2501">
        <v>0.276262522836975</v>
      </c>
      <c r="H2501">
        <v>0.116281510035213</v>
      </c>
      <c r="I2501">
        <v>0.13085662357682301</v>
      </c>
      <c r="J2501">
        <v>0.15898737057429499</v>
      </c>
      <c r="K2501">
        <v>0.10019780089482901</v>
      </c>
      <c r="L2501">
        <v>817.29447263914199</v>
      </c>
      <c r="M2501">
        <v>15.416657123897499</v>
      </c>
      <c r="N2501">
        <v>53.557233545655798</v>
      </c>
      <c r="O2501">
        <v>52.145761272345098</v>
      </c>
      <c r="P2501">
        <v>-6.85654485816692E-2</v>
      </c>
      <c r="Q2501">
        <v>7.2412890695355905E-2</v>
      </c>
      <c r="R2501">
        <v>0.98625659921574804</v>
      </c>
      <c r="S2501" t="s">
        <v>6333</v>
      </c>
      <c r="T2501" t="s">
        <v>7662</v>
      </c>
      <c r="U2501" t="s">
        <v>7662</v>
      </c>
      <c r="V2501" t="s">
        <v>7662</v>
      </c>
      <c r="W2501">
        <v>2</v>
      </c>
      <c r="X2501" t="s">
        <v>10163</v>
      </c>
      <c r="Y2501">
        <v>0.49398661536428018</v>
      </c>
      <c r="Z2501" t="str">
        <f>HYPERLINK("Melting_Curves/meltCurve_sp_Q9BQC3_2_DPH2_HUMAN_.pdf", "Melting_Curves/meltCurve_sp_Q9BQC3_2_DPH2_HUMAN_.pdf")</f>
        <v>Melting_Curves/meltCurve_sp_Q9BQC3_2_DPH2_HUMAN_.pdf</v>
      </c>
      <c r="AA2501" t="s">
        <v>13961</v>
      </c>
      <c r="AB2501" t="s">
        <v>17741</v>
      </c>
    </row>
    <row r="2502" spans="1:28" x14ac:dyDescent="0.25">
      <c r="A2502" t="s">
        <v>2506</v>
      </c>
      <c r="B2502">
        <v>0.98876768158843997</v>
      </c>
      <c r="C2502">
        <v>1.2350984608240501</v>
      </c>
      <c r="D2502">
        <v>0.794344483757352</v>
      </c>
      <c r="E2502">
        <v>0.692943481671496</v>
      </c>
      <c r="F2502">
        <v>1.35989873736689</v>
      </c>
      <c r="G2502">
        <v>0.816676813096331</v>
      </c>
      <c r="H2502">
        <v>0.66879473160472103</v>
      </c>
      <c r="I2502">
        <v>0.72244313455625597</v>
      </c>
      <c r="J2502">
        <v>1.10602216761296</v>
      </c>
      <c r="K2502">
        <v>0.927551805314344</v>
      </c>
      <c r="L2502">
        <v>11121.4077473333</v>
      </c>
      <c r="M2502">
        <v>250</v>
      </c>
      <c r="O2502">
        <v>44.482784545440502</v>
      </c>
      <c r="P2502">
        <v>-0.16005110828267299</v>
      </c>
      <c r="Q2502">
        <v>0.88608769755179195</v>
      </c>
      <c r="R2502">
        <v>0.11063638214554899</v>
      </c>
      <c r="S2502" t="s">
        <v>6334</v>
      </c>
      <c r="T2502" t="s">
        <v>7662</v>
      </c>
      <c r="U2502" t="s">
        <v>7662</v>
      </c>
      <c r="V2502" t="s">
        <v>7662</v>
      </c>
      <c r="W2502">
        <v>5</v>
      </c>
      <c r="X2502" t="s">
        <v>10164</v>
      </c>
      <c r="Y2502">
        <v>0.90312887599730174</v>
      </c>
      <c r="Z2502" t="str">
        <f>HYPERLINK("Melting_Curves/meltCurve_sp_Q9BQE5_APOL2_HUMAN_.pdf", "Melting_Curves/meltCurve_sp_Q9BQE5_APOL2_HUMAN_.pdf")</f>
        <v>Melting_Curves/meltCurve_sp_Q9BQE5_APOL2_HUMAN_.pdf</v>
      </c>
      <c r="AA2502" t="s">
        <v>13962</v>
      </c>
      <c r="AB2502" t="s">
        <v>17742</v>
      </c>
    </row>
    <row r="2503" spans="1:28" x14ac:dyDescent="0.25">
      <c r="A2503" t="s">
        <v>2507</v>
      </c>
      <c r="B2503">
        <v>0.98876768158843997</v>
      </c>
      <c r="C2503">
        <v>0.76969863821110795</v>
      </c>
      <c r="D2503">
        <v>0.95046167320243902</v>
      </c>
      <c r="E2503">
        <v>0.77872352325052396</v>
      </c>
      <c r="F2503">
        <v>0.62832965636370697</v>
      </c>
      <c r="G2503">
        <v>0.47093505672026398</v>
      </c>
      <c r="H2503">
        <v>0.40519353085666499</v>
      </c>
      <c r="I2503">
        <v>0.34927233898969801</v>
      </c>
      <c r="J2503">
        <v>0.19895251498743499</v>
      </c>
      <c r="K2503">
        <v>7.8289430581869504E-2</v>
      </c>
      <c r="L2503">
        <v>473.683538157111</v>
      </c>
      <c r="M2503">
        <v>8.3370341832488393</v>
      </c>
      <c r="N2503">
        <v>56.8167760458945</v>
      </c>
      <c r="O2503">
        <v>53.8296746829282</v>
      </c>
      <c r="P2503">
        <v>-3.8757039769111302E-2</v>
      </c>
      <c r="Q2503">
        <v>0</v>
      </c>
      <c r="R2503">
        <v>0.94157183345112905</v>
      </c>
      <c r="S2503" t="s">
        <v>6335</v>
      </c>
      <c r="T2503" t="s">
        <v>7662</v>
      </c>
      <c r="U2503" t="s">
        <v>7662</v>
      </c>
      <c r="V2503" t="s">
        <v>7662</v>
      </c>
      <c r="W2503">
        <v>1</v>
      </c>
      <c r="X2503" t="s">
        <v>10165</v>
      </c>
      <c r="Y2503">
        <v>0.57484158309401334</v>
      </c>
      <c r="Z2503" t="str">
        <f>HYPERLINK("Melting_Curves/meltCurve_sp_Q9BQG0_MBB1A_HUMAN_.pdf", "Melting_Curves/meltCurve_sp_Q9BQG0_MBB1A_HUMAN_.pdf")</f>
        <v>Melting_Curves/meltCurve_sp_Q9BQG0_MBB1A_HUMAN_.pdf</v>
      </c>
      <c r="AA2503" t="s">
        <v>13963</v>
      </c>
      <c r="AB2503" t="s">
        <v>17743</v>
      </c>
    </row>
    <row r="2504" spans="1:28" x14ac:dyDescent="0.25">
      <c r="A2504" t="s">
        <v>2508</v>
      </c>
      <c r="B2504">
        <v>0.98876768158843997</v>
      </c>
      <c r="C2504">
        <v>0.921644447453281</v>
      </c>
      <c r="D2504">
        <v>0.94568051020682298</v>
      </c>
      <c r="E2504">
        <v>0.71874063022627699</v>
      </c>
      <c r="F2504">
        <v>0.28210659448750902</v>
      </c>
      <c r="G2504">
        <v>0.15177906027948401</v>
      </c>
      <c r="H2504">
        <v>0.10077472092519101</v>
      </c>
      <c r="I2504">
        <v>7.2035549631931997E-2</v>
      </c>
      <c r="J2504">
        <v>9.31550222681677E-2</v>
      </c>
      <c r="K2504">
        <v>8.2883432727834994E-2</v>
      </c>
      <c r="L2504">
        <v>1685.22544179683</v>
      </c>
      <c r="M2504">
        <v>32.985384028398002</v>
      </c>
      <c r="N2504">
        <v>51.401888534903598</v>
      </c>
      <c r="O2504">
        <v>50.903385234593003</v>
      </c>
      <c r="P2504">
        <v>-0.14731104193323999</v>
      </c>
      <c r="Q2504">
        <v>9.0676405157232201E-2</v>
      </c>
      <c r="R2504">
        <v>0.99373049635456501</v>
      </c>
      <c r="S2504" t="s">
        <v>6336</v>
      </c>
      <c r="T2504" t="s">
        <v>7662</v>
      </c>
      <c r="U2504" t="s">
        <v>7662</v>
      </c>
      <c r="V2504" t="s">
        <v>7662</v>
      </c>
      <c r="W2504">
        <v>9</v>
      </c>
      <c r="X2504" t="s">
        <v>10166</v>
      </c>
      <c r="Y2504">
        <v>0.43155860303899518</v>
      </c>
      <c r="Z2504" t="str">
        <f>HYPERLINK("Melting_Curves/meltCurve_sp_Q9BQG2_NUD12_HUMAN_.pdf", "Melting_Curves/meltCurve_sp_Q9BQG2_NUD12_HUMAN_.pdf")</f>
        <v>Melting_Curves/meltCurve_sp_Q9BQG2_NUD12_HUMAN_.pdf</v>
      </c>
      <c r="AA2504" t="s">
        <v>13964</v>
      </c>
      <c r="AB2504" t="s">
        <v>17744</v>
      </c>
    </row>
    <row r="2505" spans="1:28" x14ac:dyDescent="0.25">
      <c r="A2505" t="s">
        <v>2509</v>
      </c>
      <c r="B2505">
        <v>0.98876768158843997</v>
      </c>
      <c r="C2505">
        <v>0.75990774069436395</v>
      </c>
      <c r="D2505">
        <v>0.85645251702565595</v>
      </c>
      <c r="E2505">
        <v>0.59831347355791298</v>
      </c>
      <c r="F2505">
        <v>0.43682132153574899</v>
      </c>
      <c r="G2505">
        <v>0.31998913877021501</v>
      </c>
      <c r="H2505">
        <v>0.20047956867257399</v>
      </c>
      <c r="I2505">
        <v>0.240115574599117</v>
      </c>
      <c r="J2505">
        <v>0.29725089414941802</v>
      </c>
      <c r="K2505">
        <v>0.28188265721323003</v>
      </c>
      <c r="L2505">
        <v>637.08566448491297</v>
      </c>
      <c r="M2505">
        <v>12.933106909720699</v>
      </c>
      <c r="N2505">
        <v>51.594363594702699</v>
      </c>
      <c r="O2505">
        <v>48.126930072047699</v>
      </c>
      <c r="P2505">
        <v>-5.23118484138861E-2</v>
      </c>
      <c r="Q2505">
        <v>0.22148452689392101</v>
      </c>
      <c r="R2505">
        <v>0.946345203888451</v>
      </c>
      <c r="S2505" t="s">
        <v>6337</v>
      </c>
      <c r="T2505" t="s">
        <v>7662</v>
      </c>
      <c r="U2505" t="s">
        <v>7662</v>
      </c>
      <c r="V2505" t="s">
        <v>7662</v>
      </c>
      <c r="W2505">
        <v>1</v>
      </c>
      <c r="X2505" t="s">
        <v>10167</v>
      </c>
      <c r="Y2505">
        <v>0.48660676137574982</v>
      </c>
      <c r="Z2505" t="str">
        <f>HYPERLINK("Melting_Curves/meltCurve_sp_Q9BQK8_LPIN3_HUMAN_.pdf", "Melting_Curves/meltCurve_sp_Q9BQK8_LPIN3_HUMAN_.pdf")</f>
        <v>Melting_Curves/meltCurve_sp_Q9BQK8_LPIN3_HUMAN_.pdf</v>
      </c>
      <c r="AA2505" t="s">
        <v>13965</v>
      </c>
      <c r="AB2505" t="s">
        <v>17745</v>
      </c>
    </row>
    <row r="2506" spans="1:28" x14ac:dyDescent="0.25">
      <c r="A2506" t="s">
        <v>2510</v>
      </c>
      <c r="B2506">
        <v>0.98876768158843997</v>
      </c>
      <c r="C2506">
        <v>0.86719329253186805</v>
      </c>
      <c r="D2506">
        <v>0.66909770695387105</v>
      </c>
      <c r="E2506">
        <v>0.461069799181136</v>
      </c>
      <c r="F2506">
        <v>0.28700173783775301</v>
      </c>
      <c r="G2506">
        <v>0.108776107474918</v>
      </c>
      <c r="H2506">
        <v>6.8142407008205994E-2</v>
      </c>
      <c r="I2506">
        <v>6.2513640229251002E-2</v>
      </c>
      <c r="J2506">
        <v>7.4319284243768893E-2</v>
      </c>
      <c r="K2506">
        <v>8.5227237275906295E-2</v>
      </c>
      <c r="L2506">
        <v>687.02050769184802</v>
      </c>
      <c r="M2506">
        <v>14.133221056017399</v>
      </c>
      <c r="N2506">
        <v>48.910315402553003</v>
      </c>
      <c r="O2506">
        <v>47.668181527747798</v>
      </c>
      <c r="P2506">
        <v>-7.1054620951685799E-2</v>
      </c>
      <c r="Q2506">
        <v>4.1517061239364501E-2</v>
      </c>
      <c r="R2506">
        <v>0.99386383658423405</v>
      </c>
      <c r="S2506" t="s">
        <v>6338</v>
      </c>
      <c r="T2506" t="s">
        <v>7662</v>
      </c>
      <c r="U2506" t="s">
        <v>7662</v>
      </c>
      <c r="V2506" t="s">
        <v>7662</v>
      </c>
      <c r="W2506">
        <v>3</v>
      </c>
      <c r="X2506" t="s">
        <v>10168</v>
      </c>
      <c r="Y2506">
        <v>0.34349941040610832</v>
      </c>
      <c r="Z2506" t="str">
        <f>HYPERLINK("Melting_Curves/meltCurve_sp_Q9BQP7_MGME1_HUMAN_.pdf", "Melting_Curves/meltCurve_sp_Q9BQP7_MGME1_HUMAN_.pdf")</f>
        <v>Melting_Curves/meltCurve_sp_Q9BQP7_MGME1_HUMAN_.pdf</v>
      </c>
      <c r="AA2506" t="s">
        <v>13966</v>
      </c>
      <c r="AB2506" t="s">
        <v>17746</v>
      </c>
    </row>
    <row r="2507" spans="1:28" x14ac:dyDescent="0.25">
      <c r="A2507" t="s">
        <v>2511</v>
      </c>
      <c r="B2507">
        <v>0.98876768158843997</v>
      </c>
      <c r="C2507">
        <v>1.0107385672842</v>
      </c>
      <c r="D2507">
        <v>0.94089437753972205</v>
      </c>
      <c r="E2507">
        <v>0.79605495495655798</v>
      </c>
      <c r="F2507">
        <v>0.670212928957162</v>
      </c>
      <c r="G2507">
        <v>0.420467989709078</v>
      </c>
      <c r="H2507">
        <v>0.22745788917099699</v>
      </c>
      <c r="I2507">
        <v>0.205059131202777</v>
      </c>
      <c r="J2507">
        <v>0.230324357072235</v>
      </c>
      <c r="K2507">
        <v>0.241512502828785</v>
      </c>
      <c r="L2507">
        <v>951.24399284149501</v>
      </c>
      <c r="M2507">
        <v>17.727932360778901</v>
      </c>
      <c r="N2507">
        <v>55.157083753948498</v>
      </c>
      <c r="O2507">
        <v>52.989129727511397</v>
      </c>
      <c r="P2507">
        <v>-6.7652862375450401E-2</v>
      </c>
      <c r="Q2507">
        <v>0.191179556470641</v>
      </c>
      <c r="R2507">
        <v>0.99247863125948699</v>
      </c>
      <c r="S2507" t="s">
        <v>6339</v>
      </c>
      <c r="T2507" t="s">
        <v>7662</v>
      </c>
      <c r="U2507" t="s">
        <v>7662</v>
      </c>
      <c r="V2507" t="s">
        <v>7662</v>
      </c>
      <c r="W2507">
        <v>21</v>
      </c>
      <c r="X2507" t="s">
        <v>10169</v>
      </c>
      <c r="Y2507">
        <v>0.57276823522918829</v>
      </c>
      <c r="Z2507" t="str">
        <f>HYPERLINK("Melting_Curves/meltCurve_sp_Q9BQS8_FYCO1_HUMAN_.pdf", "Melting_Curves/meltCurve_sp_Q9BQS8_FYCO1_HUMAN_.pdf")</f>
        <v>Melting_Curves/meltCurve_sp_Q9BQS8_FYCO1_HUMAN_.pdf</v>
      </c>
      <c r="AA2507" t="s">
        <v>13967</v>
      </c>
      <c r="AB2507" t="s">
        <v>17747</v>
      </c>
    </row>
    <row r="2508" spans="1:28" x14ac:dyDescent="0.25">
      <c r="A2508" t="s">
        <v>2512</v>
      </c>
      <c r="B2508">
        <v>0.98876768158843997</v>
      </c>
      <c r="C2508">
        <v>0.97465052318565304</v>
      </c>
      <c r="D2508">
        <v>0.96708481052594997</v>
      </c>
      <c r="E2508">
        <v>0.84370817850100899</v>
      </c>
      <c r="F2508">
        <v>0.308108986160956</v>
      </c>
      <c r="G2508">
        <v>8.6004530296997603E-2</v>
      </c>
      <c r="H2508">
        <v>4.8585387325673197E-2</v>
      </c>
      <c r="I2508">
        <v>4.0949299735157499E-2</v>
      </c>
      <c r="J2508">
        <v>4.3197756369752899E-2</v>
      </c>
      <c r="K2508">
        <v>4.1161092133036398E-2</v>
      </c>
      <c r="L2508">
        <v>2240.65865188011</v>
      </c>
      <c r="M2508">
        <v>43.225421673291102</v>
      </c>
      <c r="N2508">
        <v>51.955921343059401</v>
      </c>
      <c r="O2508">
        <v>51.726035957250303</v>
      </c>
      <c r="P2508">
        <v>-0.19904381306777599</v>
      </c>
      <c r="Q2508">
        <v>4.72525350506608E-2</v>
      </c>
      <c r="R2508">
        <v>0.99879947526159596</v>
      </c>
      <c r="S2508" t="s">
        <v>6340</v>
      </c>
      <c r="T2508" t="s">
        <v>7662</v>
      </c>
      <c r="U2508" t="s">
        <v>7662</v>
      </c>
      <c r="V2508" t="s">
        <v>7662</v>
      </c>
      <c r="W2508">
        <v>11</v>
      </c>
      <c r="X2508" t="s">
        <v>10170</v>
      </c>
      <c r="Y2508">
        <v>0.42608154481166671</v>
      </c>
      <c r="Z2508" t="str">
        <f>HYPERLINK("Melting_Curves/meltCurve_sp_Q9BR76_COR1B_HUMAN_.pdf", "Melting_Curves/meltCurve_sp_Q9BR76_COR1B_HUMAN_.pdf")</f>
        <v>Melting_Curves/meltCurve_sp_Q9BR76_COR1B_HUMAN_.pdf</v>
      </c>
      <c r="AA2508" t="s">
        <v>13968</v>
      </c>
      <c r="AB2508" t="s">
        <v>17748</v>
      </c>
    </row>
    <row r="2509" spans="1:28" x14ac:dyDescent="0.25">
      <c r="A2509" t="s">
        <v>2513</v>
      </c>
      <c r="B2509">
        <v>0.98876768158843997</v>
      </c>
      <c r="C2509">
        <v>1.1384737609125799</v>
      </c>
      <c r="D2509">
        <v>0.87198783667333202</v>
      </c>
      <c r="E2509">
        <v>0.83132281924811102</v>
      </c>
      <c r="F2509">
        <v>0.94703821402226396</v>
      </c>
      <c r="G2509">
        <v>0.67240755661500395</v>
      </c>
      <c r="H2509">
        <v>0.49059440295944301</v>
      </c>
      <c r="I2509">
        <v>0.53712599817514195</v>
      </c>
      <c r="J2509">
        <v>0.66927967846184799</v>
      </c>
      <c r="K2509">
        <v>0.49794119900269401</v>
      </c>
      <c r="L2509">
        <v>1112.40881751806</v>
      </c>
      <c r="M2509">
        <v>20.293810029963801</v>
      </c>
      <c r="O2509">
        <v>54.291245683912102</v>
      </c>
      <c r="P2509">
        <v>-4.3830252806756703E-2</v>
      </c>
      <c r="Q2509">
        <v>0.53098489676283001</v>
      </c>
      <c r="R2509">
        <v>0.81665849799684398</v>
      </c>
      <c r="S2509" t="s">
        <v>6341</v>
      </c>
      <c r="T2509" t="s">
        <v>7662</v>
      </c>
      <c r="U2509" t="s">
        <v>7662</v>
      </c>
      <c r="V2509" t="s">
        <v>7662</v>
      </c>
      <c r="W2509">
        <v>5</v>
      </c>
      <c r="X2509" t="s">
        <v>10171</v>
      </c>
      <c r="Y2509">
        <v>0.76873828943997224</v>
      </c>
      <c r="Z2509" t="str">
        <f>HYPERLINK("Melting_Curves/meltCurve_sp_Q9BRA2_TXD17_HUMAN_.pdf", "Melting_Curves/meltCurve_sp_Q9BRA2_TXD17_HUMAN_.pdf")</f>
        <v>Melting_Curves/meltCurve_sp_Q9BRA2_TXD17_HUMAN_.pdf</v>
      </c>
      <c r="AA2509" t="s">
        <v>13969</v>
      </c>
      <c r="AB2509" t="s">
        <v>17749</v>
      </c>
    </row>
    <row r="2510" spans="1:28" x14ac:dyDescent="0.25">
      <c r="A2510" t="s">
        <v>2514</v>
      </c>
      <c r="B2510">
        <v>0.98876768158843997</v>
      </c>
      <c r="C2510">
        <v>0.96770360336459205</v>
      </c>
      <c r="D2510">
        <v>0.89238836718529002</v>
      </c>
      <c r="E2510">
        <v>0.71457903823190205</v>
      </c>
      <c r="F2510">
        <v>0.75326604958953103</v>
      </c>
      <c r="G2510">
        <v>0.47752471403271601</v>
      </c>
      <c r="H2510">
        <v>0.35993866971091798</v>
      </c>
      <c r="I2510">
        <v>0.39400522018829198</v>
      </c>
      <c r="J2510">
        <v>0.44360369261136701</v>
      </c>
      <c r="K2510">
        <v>0.45476063314361098</v>
      </c>
      <c r="L2510">
        <v>746.98428476094796</v>
      </c>
      <c r="M2510">
        <v>14.4473351018051</v>
      </c>
      <c r="N2510">
        <v>57.5906165070082</v>
      </c>
      <c r="O2510">
        <v>50.743646890868497</v>
      </c>
      <c r="P2510">
        <v>-4.3721975526765003E-2</v>
      </c>
      <c r="Q2510">
        <v>0.385810057642126</v>
      </c>
      <c r="R2510">
        <v>0.94517096212841001</v>
      </c>
      <c r="S2510" t="s">
        <v>6342</v>
      </c>
      <c r="T2510" t="s">
        <v>7662</v>
      </c>
      <c r="U2510" t="s">
        <v>7662</v>
      </c>
      <c r="V2510" t="s">
        <v>7662</v>
      </c>
      <c r="W2510">
        <v>9</v>
      </c>
      <c r="X2510" t="s">
        <v>10172</v>
      </c>
      <c r="Y2510">
        <v>0.64012530397559586</v>
      </c>
      <c r="Z2510" t="str">
        <f>HYPERLINK("Melting_Curves/meltCurve_sp_Q9BRF8_CPPED_HUMAN_.pdf", "Melting_Curves/meltCurve_sp_Q9BRF8_CPPED_HUMAN_.pdf")</f>
        <v>Melting_Curves/meltCurve_sp_Q9BRF8_CPPED_HUMAN_.pdf</v>
      </c>
      <c r="AA2510" t="s">
        <v>13970</v>
      </c>
      <c r="AB2510" t="s">
        <v>17750</v>
      </c>
    </row>
    <row r="2511" spans="1:28" x14ac:dyDescent="0.25">
      <c r="A2511" t="s">
        <v>2515</v>
      </c>
      <c r="B2511">
        <v>0.98876768158843997</v>
      </c>
      <c r="C2511">
        <v>0.90243555556013999</v>
      </c>
      <c r="D2511">
        <v>0.877359037363869</v>
      </c>
      <c r="E2511">
        <v>0.68411229989617095</v>
      </c>
      <c r="F2511">
        <v>0.36461250166845199</v>
      </c>
      <c r="G2511">
        <v>0.12695956798708699</v>
      </c>
      <c r="H2511">
        <v>7.3546668764785703E-2</v>
      </c>
      <c r="I2511">
        <v>6.9962775310030104E-2</v>
      </c>
      <c r="J2511">
        <v>8.4035924887677096E-2</v>
      </c>
      <c r="K2511">
        <v>0.102923344214835</v>
      </c>
      <c r="L2511">
        <v>1076.0548559056999</v>
      </c>
      <c r="M2511">
        <v>21.029440058981599</v>
      </c>
      <c r="N2511">
        <v>51.501293799636102</v>
      </c>
      <c r="O2511">
        <v>50.713006524414297</v>
      </c>
      <c r="P2511">
        <v>-9.7094295976697303E-2</v>
      </c>
      <c r="Q2511">
        <v>6.3443861795308795E-2</v>
      </c>
      <c r="R2511">
        <v>0.99041595584839803</v>
      </c>
      <c r="S2511" t="s">
        <v>6343</v>
      </c>
      <c r="T2511" t="s">
        <v>7662</v>
      </c>
      <c r="U2511" t="s">
        <v>7662</v>
      </c>
      <c r="V2511" t="s">
        <v>7662</v>
      </c>
      <c r="W2511">
        <v>5</v>
      </c>
      <c r="X2511" t="s">
        <v>10173</v>
      </c>
      <c r="Y2511">
        <v>0.42395213417682992</v>
      </c>
      <c r="Z2511" t="str">
        <f>HYPERLINK("Melting_Curves/meltCurve_sp_Q9BRG1_VPS25_HUMAN_.pdf", "Melting_Curves/meltCurve_sp_Q9BRG1_VPS25_HUMAN_.pdf")</f>
        <v>Melting_Curves/meltCurve_sp_Q9BRG1_VPS25_HUMAN_.pdf</v>
      </c>
      <c r="AA2511" t="s">
        <v>13971</v>
      </c>
      <c r="AB2511" t="s">
        <v>17751</v>
      </c>
    </row>
    <row r="2512" spans="1:28" x14ac:dyDescent="0.25">
      <c r="A2512" t="s">
        <v>2516</v>
      </c>
      <c r="B2512">
        <v>0.98876768158843997</v>
      </c>
      <c r="C2512">
        <v>0.98487794683215502</v>
      </c>
      <c r="D2512">
        <v>0.90151526938298299</v>
      </c>
      <c r="E2512">
        <v>0.70580799522141602</v>
      </c>
      <c r="F2512">
        <v>0.72045721306987498</v>
      </c>
      <c r="G2512">
        <v>0.498358786229045</v>
      </c>
      <c r="H2512">
        <v>0.37500598386738498</v>
      </c>
      <c r="I2512">
        <v>0.415556459685476</v>
      </c>
      <c r="J2512">
        <v>0.49405663174199399</v>
      </c>
      <c r="K2512">
        <v>0.48552299981285202</v>
      </c>
      <c r="L2512">
        <v>804.73663690363105</v>
      </c>
      <c r="M2512">
        <v>15.8053166015951</v>
      </c>
      <c r="N2512">
        <v>58.090981115756698</v>
      </c>
      <c r="O2512">
        <v>50.121400447273601</v>
      </c>
      <c r="P2512">
        <v>-4.5016625268188497E-2</v>
      </c>
      <c r="Q2512">
        <v>0.429024880385804</v>
      </c>
      <c r="R2512">
        <v>0.94702692621816398</v>
      </c>
      <c r="S2512" t="s">
        <v>6344</v>
      </c>
      <c r="T2512" t="s">
        <v>7662</v>
      </c>
      <c r="U2512" t="s">
        <v>7662</v>
      </c>
      <c r="V2512" t="s">
        <v>7662</v>
      </c>
      <c r="W2512">
        <v>4</v>
      </c>
      <c r="X2512" t="s">
        <v>10174</v>
      </c>
      <c r="Y2512">
        <v>0.64888580033608212</v>
      </c>
      <c r="Z2512" t="str">
        <f>HYPERLINK("Melting_Curves/meltCurve_sp_Q9BRK5_CAB45_HUMAN_.pdf", "Melting_Curves/meltCurve_sp_Q9BRK5_CAB45_HUMAN_.pdf")</f>
        <v>Melting_Curves/meltCurve_sp_Q9BRK5_CAB45_HUMAN_.pdf</v>
      </c>
      <c r="AA2512" t="s">
        <v>13972</v>
      </c>
      <c r="AB2512" t="s">
        <v>17752</v>
      </c>
    </row>
    <row r="2513" spans="1:28" x14ac:dyDescent="0.25">
      <c r="A2513" t="s">
        <v>2517</v>
      </c>
      <c r="B2513">
        <v>0.98876768158843997</v>
      </c>
      <c r="C2513">
        <v>0.938426971728471</v>
      </c>
      <c r="D2513">
        <v>1.05064111154812</v>
      </c>
      <c r="E2513">
        <v>0.73445002608148502</v>
      </c>
      <c r="F2513">
        <v>0.68139312213066106</v>
      </c>
      <c r="G2513">
        <v>0.44094786947069298</v>
      </c>
      <c r="H2513">
        <v>0.157698209668413</v>
      </c>
      <c r="I2513">
        <v>6.4369615595890106E-2</v>
      </c>
      <c r="J2513">
        <v>7.9637174880544295E-2</v>
      </c>
      <c r="K2513">
        <v>2.5069595617298601E-2</v>
      </c>
      <c r="L2513">
        <v>847.16912266751797</v>
      </c>
      <c r="M2513">
        <v>15.336935642817201</v>
      </c>
      <c r="N2513">
        <v>55.237181613652403</v>
      </c>
      <c r="O2513">
        <v>54.323643376056197</v>
      </c>
      <c r="P2513">
        <v>-7.0587845451643205E-2</v>
      </c>
      <c r="Q2513">
        <v>0</v>
      </c>
      <c r="R2513">
        <v>0.98135713373940603</v>
      </c>
      <c r="S2513" t="s">
        <v>6345</v>
      </c>
      <c r="T2513" t="s">
        <v>7662</v>
      </c>
      <c r="U2513" t="s">
        <v>7662</v>
      </c>
      <c r="V2513" t="s">
        <v>7662</v>
      </c>
      <c r="W2513">
        <v>3</v>
      </c>
      <c r="X2513" t="s">
        <v>10175</v>
      </c>
      <c r="Y2513">
        <v>0.52642307113586861</v>
      </c>
      <c r="Z2513" t="str">
        <f>HYPERLINK("Melting_Curves/meltCurve_sp_Q9BRP4_PAAF1_HUMAN_.pdf", "Melting_Curves/meltCurve_sp_Q9BRP4_PAAF1_HUMAN_.pdf")</f>
        <v>Melting_Curves/meltCurve_sp_Q9BRP4_PAAF1_HUMAN_.pdf</v>
      </c>
      <c r="AA2513" t="s">
        <v>13973</v>
      </c>
      <c r="AB2513" t="s">
        <v>17753</v>
      </c>
    </row>
    <row r="2514" spans="1:28" x14ac:dyDescent="0.25">
      <c r="A2514" t="s">
        <v>2518</v>
      </c>
      <c r="B2514">
        <v>0.98876768158843997</v>
      </c>
      <c r="C2514">
        <v>1.20935050475582</v>
      </c>
      <c r="D2514">
        <v>0.91609606286058298</v>
      </c>
      <c r="E2514">
        <v>0.91808540030812702</v>
      </c>
      <c r="F2514">
        <v>0.89435710063627605</v>
      </c>
      <c r="G2514">
        <v>0.66154903809307597</v>
      </c>
      <c r="H2514">
        <v>0.51670333572188498</v>
      </c>
      <c r="I2514">
        <v>0.66971825192716095</v>
      </c>
      <c r="J2514">
        <v>0.64178832902112903</v>
      </c>
      <c r="K2514">
        <v>0.87560142606564495</v>
      </c>
      <c r="L2514">
        <v>2773.9747286748302</v>
      </c>
      <c r="M2514">
        <v>51.766121217570003</v>
      </c>
      <c r="O2514">
        <v>53.506893328132101</v>
      </c>
      <c r="P2514">
        <v>-7.95891781431598E-2</v>
      </c>
      <c r="Q2514">
        <v>0.670937948527082</v>
      </c>
      <c r="R2514">
        <v>0.67232061126220899</v>
      </c>
      <c r="S2514" t="s">
        <v>6346</v>
      </c>
      <c r="T2514" t="s">
        <v>7662</v>
      </c>
      <c r="U2514" t="s">
        <v>7662</v>
      </c>
      <c r="V2514" t="s">
        <v>7662</v>
      </c>
      <c r="W2514">
        <v>8</v>
      </c>
      <c r="X2514" t="s">
        <v>10176</v>
      </c>
      <c r="Y2514">
        <v>0.82069193746556435</v>
      </c>
      <c r="Z2514" t="str">
        <f>HYPERLINK("Melting_Curves/meltCurve_sp_Q9BRP8_2_WIBG_HUMAN_.pdf", "Melting_Curves/meltCurve_sp_Q9BRP8_2_WIBG_HUMAN_.pdf")</f>
        <v>Melting_Curves/meltCurve_sp_Q9BRP8_2_WIBG_HUMAN_.pdf</v>
      </c>
      <c r="AA2514" t="s">
        <v>13974</v>
      </c>
      <c r="AB2514" t="s">
        <v>17754</v>
      </c>
    </row>
    <row r="2515" spans="1:28" x14ac:dyDescent="0.25">
      <c r="A2515" t="s">
        <v>2519</v>
      </c>
      <c r="B2515">
        <v>0.98876768158843997</v>
      </c>
      <c r="C2515">
        <v>0.95437673481638596</v>
      </c>
      <c r="D2515">
        <v>0.92492867641971099</v>
      </c>
      <c r="E2515">
        <v>0.77053097326884901</v>
      </c>
      <c r="F2515">
        <v>0.62951389962096205</v>
      </c>
      <c r="G2515">
        <v>0.48258828614322602</v>
      </c>
      <c r="H2515">
        <v>0.36081461412094201</v>
      </c>
      <c r="I2515">
        <v>0.38242236561148801</v>
      </c>
      <c r="J2515">
        <v>0.46194716703529598</v>
      </c>
      <c r="K2515">
        <v>0.45858899425244998</v>
      </c>
      <c r="L2515">
        <v>979.18028255993795</v>
      </c>
      <c r="M2515">
        <v>19.1379244766269</v>
      </c>
      <c r="N2515">
        <v>56.128609877191899</v>
      </c>
      <c r="O2515">
        <v>50.615578341504701</v>
      </c>
      <c r="P2515">
        <v>-5.5963149840786201E-2</v>
      </c>
      <c r="Q2515">
        <v>0.40798230884180298</v>
      </c>
      <c r="R2515">
        <v>0.97664367024714605</v>
      </c>
      <c r="S2515" t="s">
        <v>6347</v>
      </c>
      <c r="T2515" t="s">
        <v>7662</v>
      </c>
      <c r="U2515" t="s">
        <v>7662</v>
      </c>
      <c r="V2515" t="s">
        <v>7662</v>
      </c>
      <c r="W2515">
        <v>3</v>
      </c>
      <c r="X2515" t="s">
        <v>10177</v>
      </c>
      <c r="Y2515">
        <v>0.63721005888229099</v>
      </c>
      <c r="Z2515" t="str">
        <f>HYPERLINK("Melting_Curves/meltCurve_sp_Q9BRT3_MIEN1_HUMAN_.pdf", "Melting_Curves/meltCurve_sp_Q9BRT3_MIEN1_HUMAN_.pdf")</f>
        <v>Melting_Curves/meltCurve_sp_Q9BRT3_MIEN1_HUMAN_.pdf</v>
      </c>
      <c r="AA2515" t="s">
        <v>13975</v>
      </c>
      <c r="AB2515" t="s">
        <v>17755</v>
      </c>
    </row>
    <row r="2516" spans="1:28" x14ac:dyDescent="0.25">
      <c r="A2516" t="s">
        <v>2520</v>
      </c>
      <c r="B2516">
        <v>0.98876768158843997</v>
      </c>
      <c r="C2516">
        <v>0.959602496868459</v>
      </c>
      <c r="D2516">
        <v>1.0098017123012599</v>
      </c>
      <c r="E2516">
        <v>0.79247450714664902</v>
      </c>
      <c r="F2516">
        <v>0.79607042281417195</v>
      </c>
      <c r="G2516">
        <v>0.58785487728775498</v>
      </c>
      <c r="H2516">
        <v>0.40947720375959801</v>
      </c>
      <c r="I2516">
        <v>0.48691051206938002</v>
      </c>
      <c r="J2516">
        <v>0.52446899534742997</v>
      </c>
      <c r="K2516">
        <v>0.46705228143517202</v>
      </c>
      <c r="L2516">
        <v>954.10170340283503</v>
      </c>
      <c r="M2516">
        <v>17.976983722466901</v>
      </c>
      <c r="N2516">
        <v>61.415559581649298</v>
      </c>
      <c r="O2516">
        <v>52.429846366439797</v>
      </c>
      <c r="P2516">
        <v>-4.6590870339584298E-2</v>
      </c>
      <c r="Q2516">
        <v>0.45649815921340797</v>
      </c>
      <c r="R2516">
        <v>0.95013250201673505</v>
      </c>
      <c r="S2516" t="s">
        <v>6348</v>
      </c>
      <c r="T2516" t="s">
        <v>7662</v>
      </c>
      <c r="U2516" t="s">
        <v>7662</v>
      </c>
      <c r="V2516" t="s">
        <v>7662</v>
      </c>
      <c r="W2516">
        <v>1</v>
      </c>
      <c r="X2516" t="s">
        <v>10178</v>
      </c>
      <c r="Y2516">
        <v>0.70225219769054836</v>
      </c>
      <c r="Z2516" t="str">
        <f>HYPERLINK("Melting_Curves/meltCurve_sp_Q9BRV8_SIKE1_HUMAN_.pdf", "Melting_Curves/meltCurve_sp_Q9BRV8_SIKE1_HUMAN_.pdf")</f>
        <v>Melting_Curves/meltCurve_sp_Q9BRV8_SIKE1_HUMAN_.pdf</v>
      </c>
      <c r="AA2516" t="s">
        <v>13976</v>
      </c>
      <c r="AB2516" t="s">
        <v>17756</v>
      </c>
    </row>
    <row r="2517" spans="1:28" x14ac:dyDescent="0.25">
      <c r="A2517" t="s">
        <v>2521</v>
      </c>
      <c r="B2517">
        <v>0.98876768158843997</v>
      </c>
      <c r="C2517">
        <v>1.0080182871782599</v>
      </c>
      <c r="D2517">
        <v>0.92255667613916703</v>
      </c>
      <c r="E2517">
        <v>0.77541245313937002</v>
      </c>
      <c r="F2517">
        <v>0.53371796385103198</v>
      </c>
      <c r="G2517">
        <v>0.37243380871439302</v>
      </c>
      <c r="H2517">
        <v>0.20699807555212099</v>
      </c>
      <c r="I2517">
        <v>0.35084201838784501</v>
      </c>
      <c r="J2517">
        <v>0.25547493320762399</v>
      </c>
      <c r="K2517">
        <v>0.46078257664748001</v>
      </c>
      <c r="L2517">
        <v>1315.45132732301</v>
      </c>
      <c r="M2517">
        <v>25.644721223211601</v>
      </c>
      <c r="N2517">
        <v>53.393570612376799</v>
      </c>
      <c r="O2517">
        <v>50.986344992126803</v>
      </c>
      <c r="P2517">
        <v>-8.5821226210680002E-2</v>
      </c>
      <c r="Q2517">
        <v>0.31749580571258001</v>
      </c>
      <c r="R2517">
        <v>0.95078188419139498</v>
      </c>
      <c r="S2517" t="s">
        <v>6349</v>
      </c>
      <c r="T2517" t="s">
        <v>7662</v>
      </c>
      <c r="U2517" t="s">
        <v>7662</v>
      </c>
      <c r="V2517" t="s">
        <v>7662</v>
      </c>
      <c r="W2517">
        <v>2</v>
      </c>
      <c r="X2517" t="s">
        <v>10179</v>
      </c>
      <c r="Y2517">
        <v>0.58034786209828859</v>
      </c>
      <c r="Z2517" t="str">
        <f>HYPERLINK("Melting_Curves/meltCurve_sp_Q9BRZ2_TRI56_HUMAN_.pdf", "Melting_Curves/meltCurve_sp_Q9BRZ2_TRI56_HUMAN_.pdf")</f>
        <v>Melting_Curves/meltCurve_sp_Q9BRZ2_TRI56_HUMAN_.pdf</v>
      </c>
      <c r="AA2517" t="s">
        <v>13977</v>
      </c>
      <c r="AB2517" t="s">
        <v>17757</v>
      </c>
    </row>
    <row r="2518" spans="1:28" x14ac:dyDescent="0.25">
      <c r="A2518" t="s">
        <v>2522</v>
      </c>
      <c r="B2518">
        <v>0.98876768158843997</v>
      </c>
      <c r="C2518">
        <v>1.06245331641125</v>
      </c>
      <c r="D2518">
        <v>0.83457578752858297</v>
      </c>
      <c r="E2518">
        <v>0.734737357028734</v>
      </c>
      <c r="F2518">
        <v>0.67314673544965498</v>
      </c>
      <c r="G2518">
        <v>0.178112313935443</v>
      </c>
      <c r="H2518">
        <v>9.7504058342058095E-2</v>
      </c>
      <c r="I2518">
        <v>7.1195396763967606E-2</v>
      </c>
      <c r="J2518">
        <v>6.5152783879124904E-2</v>
      </c>
      <c r="K2518">
        <v>5.2948714685977803E-2</v>
      </c>
      <c r="L2518">
        <v>960.89048592556696</v>
      </c>
      <c r="M2518">
        <v>17.9561008875631</v>
      </c>
      <c r="N2518">
        <v>53.629188312462901</v>
      </c>
      <c r="O2518">
        <v>52.862851186897402</v>
      </c>
      <c r="P2518">
        <v>-8.3306833029714006E-2</v>
      </c>
      <c r="Q2518">
        <v>1.90263057196574E-2</v>
      </c>
      <c r="R2518">
        <v>0.97185405706013395</v>
      </c>
      <c r="S2518" t="s">
        <v>6350</v>
      </c>
      <c r="T2518" t="s">
        <v>7662</v>
      </c>
      <c r="U2518" t="s">
        <v>7662</v>
      </c>
      <c r="V2518" t="s">
        <v>7662</v>
      </c>
      <c r="W2518">
        <v>13</v>
      </c>
      <c r="X2518" t="s">
        <v>10180</v>
      </c>
      <c r="Y2518">
        <v>0.47684991225998219</v>
      </c>
      <c r="Z2518" t="str">
        <f>HYPERLINK("Melting_Curves/meltCurve_sp_Q9BS26_ERP44_HUMAN_.pdf", "Melting_Curves/meltCurve_sp_Q9BS26_ERP44_HUMAN_.pdf")</f>
        <v>Melting_Curves/meltCurve_sp_Q9BS26_ERP44_HUMAN_.pdf</v>
      </c>
      <c r="AA2518" t="s">
        <v>13978</v>
      </c>
      <c r="AB2518" t="s">
        <v>17758</v>
      </c>
    </row>
    <row r="2519" spans="1:28" x14ac:dyDescent="0.25">
      <c r="A2519" t="s">
        <v>2523</v>
      </c>
      <c r="B2519">
        <v>0.98876768158843997</v>
      </c>
      <c r="C2519">
        <v>1.00560952424894</v>
      </c>
      <c r="D2519">
        <v>0.68268100117651098</v>
      </c>
      <c r="E2519">
        <v>0.39194816289372197</v>
      </c>
      <c r="F2519">
        <v>0.16440446767163699</v>
      </c>
      <c r="G2519">
        <v>0.14349471720221199</v>
      </c>
      <c r="H2519">
        <v>0.15973770482917399</v>
      </c>
      <c r="I2519">
        <v>0.165513485630501</v>
      </c>
      <c r="J2519">
        <v>0.16102810366411799</v>
      </c>
      <c r="K2519">
        <v>1.6422781992635901E-2</v>
      </c>
      <c r="L2519">
        <v>1081.7810767702499</v>
      </c>
      <c r="M2519">
        <v>22.690175409623599</v>
      </c>
      <c r="N2519">
        <v>48.262950198919299</v>
      </c>
      <c r="O2519">
        <v>47.310499296121797</v>
      </c>
      <c r="P2519">
        <v>-0.105449607760096</v>
      </c>
      <c r="Q2519">
        <v>0.12054001874011</v>
      </c>
      <c r="R2519">
        <v>0.97866297511349898</v>
      </c>
      <c r="S2519" t="s">
        <v>6351</v>
      </c>
      <c r="T2519" t="s">
        <v>7662</v>
      </c>
      <c r="U2519" t="s">
        <v>7662</v>
      </c>
      <c r="V2519" t="s">
        <v>7662</v>
      </c>
      <c r="W2519">
        <v>2</v>
      </c>
      <c r="X2519" t="s">
        <v>10181</v>
      </c>
      <c r="Y2519">
        <v>0.35516245884266479</v>
      </c>
      <c r="Z2519" t="str">
        <f>HYPERLINK("Melting_Curves/meltCurve_sp_Q9BSE5_SPEB_HUMAN_.pdf", "Melting_Curves/meltCurve_sp_Q9BSE5_SPEB_HUMAN_.pdf")</f>
        <v>Melting_Curves/meltCurve_sp_Q9BSE5_SPEB_HUMAN_.pdf</v>
      </c>
      <c r="AA2519" t="s">
        <v>13979</v>
      </c>
      <c r="AB2519" t="s">
        <v>17759</v>
      </c>
    </row>
    <row r="2520" spans="1:28" x14ac:dyDescent="0.25">
      <c r="A2520" t="s">
        <v>2524</v>
      </c>
      <c r="B2520">
        <v>0.98876768158843997</v>
      </c>
      <c r="C2520">
        <v>1.1168600598124601</v>
      </c>
      <c r="D2520">
        <v>0.85079935747222801</v>
      </c>
      <c r="E2520">
        <v>0.71997711526038999</v>
      </c>
      <c r="F2520">
        <v>0.31245973188516102</v>
      </c>
      <c r="G2520">
        <v>0.119882006646425</v>
      </c>
      <c r="H2520">
        <v>6.6889113583951998E-2</v>
      </c>
      <c r="I2520">
        <v>7.0429222523484603E-2</v>
      </c>
      <c r="J2520">
        <v>7.59640742340979E-2</v>
      </c>
      <c r="K2520">
        <v>8.4360834617053404E-2</v>
      </c>
      <c r="L2520">
        <v>1389.45602536103</v>
      </c>
      <c r="M2520">
        <v>27.132677032906699</v>
      </c>
      <c r="N2520">
        <v>51.485060371552997</v>
      </c>
      <c r="O2520">
        <v>50.933941055118801</v>
      </c>
      <c r="P2520">
        <v>-0.124182254928631</v>
      </c>
      <c r="Q2520">
        <v>6.7540565641966394E-2</v>
      </c>
      <c r="R2520">
        <v>0.98253217223473899</v>
      </c>
      <c r="S2520" t="s">
        <v>6352</v>
      </c>
      <c r="T2520" t="s">
        <v>7662</v>
      </c>
      <c r="U2520" t="s">
        <v>7662</v>
      </c>
      <c r="V2520" t="s">
        <v>7662</v>
      </c>
      <c r="W2520">
        <v>8</v>
      </c>
      <c r="X2520" t="s">
        <v>10182</v>
      </c>
      <c r="Y2520">
        <v>0.4231452553664134</v>
      </c>
      <c r="Z2520" t="str">
        <f>HYPERLINK("Melting_Curves/meltCurve_sp_Q9BSH4_TACO1_HUMAN_.pdf", "Melting_Curves/meltCurve_sp_Q9BSH4_TACO1_HUMAN_.pdf")</f>
        <v>Melting_Curves/meltCurve_sp_Q9BSH4_TACO1_HUMAN_.pdf</v>
      </c>
      <c r="AA2520" t="s">
        <v>13980</v>
      </c>
      <c r="AB2520" t="s">
        <v>17760</v>
      </c>
    </row>
    <row r="2521" spans="1:28" x14ac:dyDescent="0.25">
      <c r="A2521" t="s">
        <v>2525</v>
      </c>
      <c r="B2521">
        <v>0.98876768158843997</v>
      </c>
      <c r="C2521">
        <v>1.123345842435</v>
      </c>
      <c r="D2521">
        <v>0.84568137493164297</v>
      </c>
      <c r="E2521">
        <v>0.75458384476389695</v>
      </c>
      <c r="F2521">
        <v>0.81778060263404995</v>
      </c>
      <c r="G2521">
        <v>0.53263711632329502</v>
      </c>
      <c r="H2521">
        <v>0.268287105296381</v>
      </c>
      <c r="I2521">
        <v>0.136017180349324</v>
      </c>
      <c r="J2521">
        <v>0.113064100181049</v>
      </c>
      <c r="K2521">
        <v>8.3823876140990794E-2</v>
      </c>
      <c r="L2521">
        <v>765.14824754619895</v>
      </c>
      <c r="M2521">
        <v>13.444306240372001</v>
      </c>
      <c r="N2521">
        <v>56.912423320756901</v>
      </c>
      <c r="O2521">
        <v>55.697526469848199</v>
      </c>
      <c r="P2521">
        <v>-6.0354520339298598E-2</v>
      </c>
      <c r="Q2521">
        <v>0</v>
      </c>
      <c r="R2521">
        <v>0.95947952760542399</v>
      </c>
      <c r="S2521" t="s">
        <v>6353</v>
      </c>
      <c r="T2521" t="s">
        <v>7662</v>
      </c>
      <c r="U2521" t="s">
        <v>7662</v>
      </c>
      <c r="V2521" t="s">
        <v>7662</v>
      </c>
      <c r="W2521">
        <v>14</v>
      </c>
      <c r="X2521" t="s">
        <v>10183</v>
      </c>
      <c r="Y2521">
        <v>0.58058584681745318</v>
      </c>
      <c r="Z2521" t="str">
        <f>HYPERLINK("Melting_Curves/meltCurve_sp_Q9BSH5_HDHD3_HUMAN_.pdf", "Melting_Curves/meltCurve_sp_Q9BSH5_HDHD3_HUMAN_.pdf")</f>
        <v>Melting_Curves/meltCurve_sp_Q9BSH5_HDHD3_HUMAN_.pdf</v>
      </c>
      <c r="AA2521" t="s">
        <v>13981</v>
      </c>
      <c r="AB2521" t="s">
        <v>17761</v>
      </c>
    </row>
    <row r="2522" spans="1:28" x14ac:dyDescent="0.25">
      <c r="A2522" t="s">
        <v>2526</v>
      </c>
      <c r="B2522">
        <v>0.98876768158843997</v>
      </c>
      <c r="C2522">
        <v>1.25363200272815</v>
      </c>
      <c r="D2522">
        <v>0.91221905757460797</v>
      </c>
      <c r="E2522">
        <v>0.69567737685519704</v>
      </c>
      <c r="F2522">
        <v>0.106326458620114</v>
      </c>
      <c r="G2522">
        <v>6.3967338495481099E-2</v>
      </c>
      <c r="H2522">
        <v>3.4009054108427597E-2</v>
      </c>
      <c r="I2522">
        <v>2.7199316899036E-2</v>
      </c>
      <c r="J2522">
        <v>2.15390787668308E-2</v>
      </c>
      <c r="K2522">
        <v>1.4451942290502499E-2</v>
      </c>
      <c r="L2522">
        <v>2757.7896486343502</v>
      </c>
      <c r="M2522">
        <v>54.392575042852002</v>
      </c>
      <c r="N2522">
        <v>50.760259418651302</v>
      </c>
      <c r="O2522">
        <v>50.633182916573503</v>
      </c>
      <c r="P2522">
        <v>-0.26037910598608999</v>
      </c>
      <c r="Q2522">
        <v>3.0469424777306599E-2</v>
      </c>
      <c r="R2522">
        <v>0.96665381277917695</v>
      </c>
      <c r="S2522" t="s">
        <v>6354</v>
      </c>
      <c r="T2522" t="s">
        <v>7662</v>
      </c>
      <c r="U2522" t="s">
        <v>7662</v>
      </c>
      <c r="V2522" t="s">
        <v>7662</v>
      </c>
      <c r="W2522">
        <v>1</v>
      </c>
      <c r="X2522" t="s">
        <v>10184</v>
      </c>
      <c r="Y2522">
        <v>0.37815046090176552</v>
      </c>
      <c r="Z2522" t="str">
        <f>HYPERLINK("Melting_Curves/meltCurve_sp_Q9BSJ5_3_CQ080_HUMAN_.pdf", "Melting_Curves/meltCurve_sp_Q9BSJ5_3_CQ080_HUMAN_.pdf")</f>
        <v>Melting_Curves/meltCurve_sp_Q9BSJ5_3_CQ080_HUMAN_.pdf</v>
      </c>
      <c r="AA2522" t="s">
        <v>13982</v>
      </c>
      <c r="AB2522" t="s">
        <v>17762</v>
      </c>
    </row>
    <row r="2523" spans="1:28" x14ac:dyDescent="0.25">
      <c r="A2523" t="s">
        <v>2527</v>
      </c>
      <c r="B2523">
        <v>0.98876768158843997</v>
      </c>
      <c r="C2523">
        <v>0.97259244472985795</v>
      </c>
      <c r="D2523">
        <v>0.93267146175735904</v>
      </c>
      <c r="E2523">
        <v>0.52762553996129802</v>
      </c>
      <c r="F2523">
        <v>0.30725305852680901</v>
      </c>
      <c r="G2523">
        <v>0.17126914341261301</v>
      </c>
      <c r="H2523">
        <v>0.10397949133493301</v>
      </c>
      <c r="I2523">
        <v>8.91270047763498E-2</v>
      </c>
      <c r="J2523">
        <v>7.55989121726134E-2</v>
      </c>
      <c r="K2523">
        <v>7.7897317058464699E-2</v>
      </c>
      <c r="L2523">
        <v>1132.40901744748</v>
      </c>
      <c r="M2523">
        <v>22.584262388739401</v>
      </c>
      <c r="N2523">
        <v>50.565499595236503</v>
      </c>
      <c r="O2523">
        <v>49.7533440159823</v>
      </c>
      <c r="P2523">
        <v>-0.10369448517792999</v>
      </c>
      <c r="Q2523">
        <v>8.6258643880171404E-2</v>
      </c>
      <c r="R2523">
        <v>0.99734603663911203</v>
      </c>
      <c r="S2523" t="s">
        <v>6355</v>
      </c>
      <c r="T2523" t="s">
        <v>7662</v>
      </c>
      <c r="U2523" t="s">
        <v>7662</v>
      </c>
      <c r="V2523" t="s">
        <v>7662</v>
      </c>
      <c r="W2523">
        <v>6</v>
      </c>
      <c r="X2523" t="s">
        <v>10185</v>
      </c>
      <c r="Y2523">
        <v>0.40516542196261218</v>
      </c>
      <c r="Z2523" t="str">
        <f>HYPERLINK("Melting_Curves/meltCurve_sp_Q9BSJ8_ESYT1_HUMAN_.pdf", "Melting_Curves/meltCurve_sp_Q9BSJ8_ESYT1_HUMAN_.pdf")</f>
        <v>Melting_Curves/meltCurve_sp_Q9BSJ8_ESYT1_HUMAN_.pdf</v>
      </c>
      <c r="AA2523" t="s">
        <v>13983</v>
      </c>
      <c r="AB2523" t="s">
        <v>17763</v>
      </c>
    </row>
    <row r="2524" spans="1:28" x14ac:dyDescent="0.25">
      <c r="A2524" t="s">
        <v>2528</v>
      </c>
      <c r="B2524">
        <v>0.98876768158843997</v>
      </c>
      <c r="C2524">
        <v>0.79651682739519403</v>
      </c>
      <c r="D2524">
        <v>0.90538179351134895</v>
      </c>
      <c r="E2524">
        <v>0.69977213347817002</v>
      </c>
      <c r="F2524">
        <v>0.48627721306323302</v>
      </c>
      <c r="G2524">
        <v>0.292437284630234</v>
      </c>
      <c r="H2524">
        <v>0.154778178327108</v>
      </c>
      <c r="I2524">
        <v>0.119738859937184</v>
      </c>
      <c r="J2524">
        <v>0.10793103760931801</v>
      </c>
      <c r="K2524">
        <v>0.115458596319928</v>
      </c>
      <c r="L2524">
        <v>652.99479410616402</v>
      </c>
      <c r="M2524">
        <v>12.4478237577057</v>
      </c>
      <c r="N2524">
        <v>52.834116125013999</v>
      </c>
      <c r="O2524">
        <v>51.159854896487403</v>
      </c>
      <c r="P2524">
        <v>-5.8264740865910103E-2</v>
      </c>
      <c r="Q2524">
        <v>4.2341101402658003E-2</v>
      </c>
      <c r="R2524">
        <v>0.97552313535499202</v>
      </c>
      <c r="S2524" t="s">
        <v>6356</v>
      </c>
      <c r="T2524" t="s">
        <v>7662</v>
      </c>
      <c r="U2524" t="s">
        <v>7662</v>
      </c>
      <c r="V2524" t="s">
        <v>7662</v>
      </c>
      <c r="W2524">
        <v>4</v>
      </c>
      <c r="X2524" t="s">
        <v>10186</v>
      </c>
      <c r="Y2524">
        <v>0.4671818583914582</v>
      </c>
      <c r="Z2524" t="str">
        <f>HYPERLINK("Melting_Curves/meltCurve_sp_Q9BSL1_UBAC1_HUMAN_.pdf", "Melting_Curves/meltCurve_sp_Q9BSL1_UBAC1_HUMAN_.pdf")</f>
        <v>Melting_Curves/meltCurve_sp_Q9BSL1_UBAC1_HUMAN_.pdf</v>
      </c>
      <c r="AA2524" t="s">
        <v>13984</v>
      </c>
      <c r="AB2524" t="s">
        <v>17764</v>
      </c>
    </row>
    <row r="2525" spans="1:28" x14ac:dyDescent="0.25">
      <c r="A2525" t="s">
        <v>2529</v>
      </c>
      <c r="B2525">
        <v>0.98876768158843997</v>
      </c>
      <c r="C2525">
        <v>0.93965754579957494</v>
      </c>
      <c r="D2525">
        <v>0.70901640739192895</v>
      </c>
      <c r="E2525">
        <v>0.38054812593971798</v>
      </c>
      <c r="F2525">
        <v>9.9001236438596193E-2</v>
      </c>
      <c r="G2525">
        <v>5.3579645463496403E-2</v>
      </c>
      <c r="H2525">
        <v>2.69139767299688E-2</v>
      </c>
      <c r="I2525">
        <v>2.4317140436775998E-2</v>
      </c>
      <c r="J2525">
        <v>2.6456899552775599E-2</v>
      </c>
      <c r="K2525">
        <v>1.6670593520166602E-2</v>
      </c>
      <c r="L2525">
        <v>990.79706164549395</v>
      </c>
      <c r="M2525">
        <v>20.539420493748</v>
      </c>
      <c r="N2525">
        <v>48.301263503887498</v>
      </c>
      <c r="O2525">
        <v>47.788518481469403</v>
      </c>
      <c r="P2525">
        <v>-0.106044713450151</v>
      </c>
      <c r="Q2525">
        <v>1.3103352169063999E-2</v>
      </c>
      <c r="R2525">
        <v>0.99635006475510102</v>
      </c>
      <c r="S2525" t="s">
        <v>6357</v>
      </c>
      <c r="T2525" t="s">
        <v>7662</v>
      </c>
      <c r="U2525" t="s">
        <v>7662</v>
      </c>
      <c r="V2525" t="s">
        <v>7662</v>
      </c>
      <c r="W2525">
        <v>4</v>
      </c>
      <c r="X2525" t="s">
        <v>10187</v>
      </c>
      <c r="Y2525">
        <v>0.29733385726884232</v>
      </c>
      <c r="Z2525" t="str">
        <f>HYPERLINK("Melting_Curves/meltCurve_sp_Q9BST9_3_RTKN_HUMAN_.pdf", "Melting_Curves/meltCurve_sp_Q9BST9_3_RTKN_HUMAN_.pdf")</f>
        <v>Melting_Curves/meltCurve_sp_Q9BST9_3_RTKN_HUMAN_.pdf</v>
      </c>
      <c r="AA2525" t="s">
        <v>13985</v>
      </c>
      <c r="AB2525" t="s">
        <v>17765</v>
      </c>
    </row>
    <row r="2526" spans="1:28" x14ac:dyDescent="0.25">
      <c r="A2526" t="s">
        <v>2530</v>
      </c>
      <c r="B2526">
        <v>0.98876768158843997</v>
      </c>
      <c r="C2526">
        <v>1.00442561960315</v>
      </c>
      <c r="D2526">
        <v>0.80834258772510303</v>
      </c>
      <c r="E2526">
        <v>0.71152060569795095</v>
      </c>
      <c r="F2526">
        <v>0.59948464715294403</v>
      </c>
      <c r="G2526">
        <v>8.6460495819985703E-2</v>
      </c>
      <c r="H2526">
        <v>0</v>
      </c>
      <c r="I2526">
        <v>0</v>
      </c>
      <c r="J2526">
        <v>0</v>
      </c>
      <c r="K2526">
        <v>0</v>
      </c>
      <c r="L2526">
        <v>1092.3950698558299</v>
      </c>
      <c r="M2526">
        <v>20.7146154479912</v>
      </c>
      <c r="N2526">
        <v>52.7354742602733</v>
      </c>
      <c r="O2526">
        <v>52.251384930558999</v>
      </c>
      <c r="P2526">
        <v>-9.9113180975151205E-2</v>
      </c>
      <c r="Q2526">
        <v>0</v>
      </c>
      <c r="R2526">
        <v>0.97076989518438805</v>
      </c>
      <c r="S2526" t="s">
        <v>6358</v>
      </c>
      <c r="T2526" t="s">
        <v>7662</v>
      </c>
      <c r="U2526" t="s">
        <v>7662</v>
      </c>
      <c r="V2526" t="s">
        <v>7662</v>
      </c>
      <c r="W2526">
        <v>1</v>
      </c>
      <c r="X2526" t="s">
        <v>10188</v>
      </c>
      <c r="Y2526">
        <v>0.43747904586112218</v>
      </c>
      <c r="Z2526" t="str">
        <f>HYPERLINK("Melting_Curves/meltCurve_sp_Q9BSU1_CP070_HUMAN_.pdf", "Melting_Curves/meltCurve_sp_Q9BSU1_CP070_HUMAN_.pdf")</f>
        <v>Melting_Curves/meltCurve_sp_Q9BSU1_CP070_HUMAN_.pdf</v>
      </c>
      <c r="AA2526" t="s">
        <v>13986</v>
      </c>
      <c r="AB2526" t="s">
        <v>17766</v>
      </c>
    </row>
    <row r="2527" spans="1:28" x14ac:dyDescent="0.25">
      <c r="A2527" t="s">
        <v>2531</v>
      </c>
      <c r="B2527">
        <v>0.98876768158843997</v>
      </c>
      <c r="C2527">
        <v>0.86957496127252198</v>
      </c>
      <c r="D2527">
        <v>0.88801330771152198</v>
      </c>
      <c r="E2527">
        <v>0.68340686015806695</v>
      </c>
      <c r="F2527">
        <v>0.52372427285114798</v>
      </c>
      <c r="G2527">
        <v>0.39166823075523299</v>
      </c>
      <c r="H2527">
        <v>0.30472546572820902</v>
      </c>
      <c r="I2527">
        <v>0.26605262881039199</v>
      </c>
      <c r="J2527">
        <v>0.45117708665900502</v>
      </c>
      <c r="K2527">
        <v>0.32180572487573</v>
      </c>
      <c r="L2527">
        <v>788.45703933258403</v>
      </c>
      <c r="M2527">
        <v>15.737950346839799</v>
      </c>
      <c r="N2527">
        <v>53.506723793050298</v>
      </c>
      <c r="O2527">
        <v>49.311111862053799</v>
      </c>
      <c r="P2527">
        <v>-5.4541926973330497E-2</v>
      </c>
      <c r="Q2527">
        <v>0.316480456440978</v>
      </c>
      <c r="R2527">
        <v>0.95244941424479301</v>
      </c>
      <c r="S2527" t="s">
        <v>6359</v>
      </c>
      <c r="T2527" t="s">
        <v>7662</v>
      </c>
      <c r="U2527" t="s">
        <v>7662</v>
      </c>
      <c r="V2527" t="s">
        <v>7662</v>
      </c>
      <c r="W2527">
        <v>7</v>
      </c>
      <c r="X2527" t="s">
        <v>10189</v>
      </c>
      <c r="Y2527">
        <v>0.56149486250159442</v>
      </c>
      <c r="Z2527" t="str">
        <f>HYPERLINK("Melting_Curves/meltCurve_sp_Q9BSY4_CHCH5_HUMAN_.pdf", "Melting_Curves/meltCurve_sp_Q9BSY4_CHCH5_HUMAN_.pdf")</f>
        <v>Melting_Curves/meltCurve_sp_Q9BSY4_CHCH5_HUMAN_.pdf</v>
      </c>
      <c r="AA2527" t="s">
        <v>13987</v>
      </c>
      <c r="AB2527" t="s">
        <v>17767</v>
      </c>
    </row>
    <row r="2528" spans="1:28" x14ac:dyDescent="0.25">
      <c r="A2528" t="s">
        <v>2532</v>
      </c>
      <c r="B2528">
        <v>0.98876768158843997</v>
      </c>
      <c r="C2528">
        <v>1.10650664924854</v>
      </c>
      <c r="D2528">
        <v>0.90333256316914001</v>
      </c>
      <c r="E2528">
        <v>0.725077174809037</v>
      </c>
      <c r="F2528">
        <v>0.75315397715440702</v>
      </c>
      <c r="G2528">
        <v>0.50027839542555497</v>
      </c>
      <c r="H2528">
        <v>0.37241244049033501</v>
      </c>
      <c r="I2528">
        <v>0.42451063533431899</v>
      </c>
      <c r="J2528">
        <v>0.48679083172348903</v>
      </c>
      <c r="K2528">
        <v>0.583849299541223</v>
      </c>
      <c r="L2528">
        <v>973.31476732667397</v>
      </c>
      <c r="M2528">
        <v>19.025474230402601</v>
      </c>
      <c r="N2528">
        <v>59.1701077845387</v>
      </c>
      <c r="O2528">
        <v>50.603362263262497</v>
      </c>
      <c r="P2528">
        <v>-5.0573811454219603E-2</v>
      </c>
      <c r="Q2528">
        <v>0.46196275642120899</v>
      </c>
      <c r="R2528">
        <v>0.89115935776514099</v>
      </c>
      <c r="S2528" t="s">
        <v>6360</v>
      </c>
      <c r="T2528" t="s">
        <v>7662</v>
      </c>
      <c r="U2528" t="s">
        <v>7662</v>
      </c>
      <c r="V2528" t="s">
        <v>7662</v>
      </c>
      <c r="W2528">
        <v>7</v>
      </c>
      <c r="X2528" t="s">
        <v>10190</v>
      </c>
      <c r="Y2528">
        <v>0.67027185109349052</v>
      </c>
      <c r="Z2528" t="str">
        <f>HYPERLINK("Melting_Curves/meltCurve_sp_Q9BT09_CNPY3_HUMAN_.pdf", "Melting_Curves/meltCurve_sp_Q9BT09_CNPY3_HUMAN_.pdf")</f>
        <v>Melting_Curves/meltCurve_sp_Q9BT09_CNPY3_HUMAN_.pdf</v>
      </c>
      <c r="AA2528" t="s">
        <v>13988</v>
      </c>
      <c r="AB2528" t="s">
        <v>17768</v>
      </c>
    </row>
    <row r="2529" spans="1:28" x14ac:dyDescent="0.25">
      <c r="A2529" t="s">
        <v>2533</v>
      </c>
      <c r="B2529">
        <v>0.98876768158843997</v>
      </c>
      <c r="C2529">
        <v>1.0534804028094</v>
      </c>
      <c r="D2529">
        <v>0.70724509688900306</v>
      </c>
      <c r="E2529">
        <v>0.34598586860323499</v>
      </c>
      <c r="F2529">
        <v>0.20508646955958701</v>
      </c>
      <c r="G2529">
        <v>0.1306986691914</v>
      </c>
      <c r="H2529">
        <v>9.7820288312960704E-2</v>
      </c>
      <c r="I2529">
        <v>0.10495485201422899</v>
      </c>
      <c r="J2529">
        <v>8.3006965344929406E-2</v>
      </c>
      <c r="K2529">
        <v>8.2468376302757398E-2</v>
      </c>
      <c r="L2529">
        <v>1145.3117734908999</v>
      </c>
      <c r="M2529">
        <v>23.914379429810602</v>
      </c>
      <c r="N2529">
        <v>48.334466072348</v>
      </c>
      <c r="O2529">
        <v>47.561063204072198</v>
      </c>
      <c r="P2529">
        <v>-0.113352453171368</v>
      </c>
      <c r="Q2529">
        <v>9.8270270583399794E-2</v>
      </c>
      <c r="R2529">
        <v>0.98901173083963201</v>
      </c>
      <c r="S2529" t="s">
        <v>6361</v>
      </c>
      <c r="T2529" t="s">
        <v>7662</v>
      </c>
      <c r="U2529" t="s">
        <v>7662</v>
      </c>
      <c r="V2529" t="s">
        <v>7662</v>
      </c>
      <c r="W2529">
        <v>3</v>
      </c>
      <c r="X2529" t="s">
        <v>10191</v>
      </c>
      <c r="Y2529">
        <v>0.34425577638274918</v>
      </c>
      <c r="Z2529" t="str">
        <f>HYPERLINK("Melting_Curves/meltCurve_sp_Q9BT30_ALKB7_HUMAN_.pdf", "Melting_Curves/meltCurve_sp_Q9BT30_ALKB7_HUMAN_.pdf")</f>
        <v>Melting_Curves/meltCurve_sp_Q9BT30_ALKB7_HUMAN_.pdf</v>
      </c>
      <c r="AA2529" t="s">
        <v>13989</v>
      </c>
      <c r="AB2529" t="s">
        <v>17769</v>
      </c>
    </row>
    <row r="2530" spans="1:28" x14ac:dyDescent="0.25">
      <c r="A2530" t="s">
        <v>2534</v>
      </c>
      <c r="B2530">
        <v>0.98876768158843997</v>
      </c>
      <c r="C2530">
        <v>1.1456242754822099</v>
      </c>
      <c r="D2530">
        <v>0.93025494560167099</v>
      </c>
      <c r="E2530">
        <v>0.82758973027246496</v>
      </c>
      <c r="F2530">
        <v>0.90515472486732496</v>
      </c>
      <c r="G2530">
        <v>0.63270114785803599</v>
      </c>
      <c r="H2530">
        <v>0.43950036615860599</v>
      </c>
      <c r="I2530">
        <v>0.43370597206428102</v>
      </c>
      <c r="J2530">
        <v>0.46716944878873201</v>
      </c>
      <c r="K2530">
        <v>0.24940816130947999</v>
      </c>
      <c r="L2530">
        <v>757.505113515164</v>
      </c>
      <c r="M2530">
        <v>13.1865180401059</v>
      </c>
      <c r="N2530">
        <v>60.907157662073999</v>
      </c>
      <c r="O2530">
        <v>56.172487756557103</v>
      </c>
      <c r="P2530">
        <v>-4.3219380875674701E-2</v>
      </c>
      <c r="Q2530">
        <v>0.26369207276726903</v>
      </c>
      <c r="R2530">
        <v>0.92274429658682899</v>
      </c>
      <c r="S2530" t="s">
        <v>6362</v>
      </c>
      <c r="T2530" t="s">
        <v>7662</v>
      </c>
      <c r="U2530" t="s">
        <v>7662</v>
      </c>
      <c r="V2530" t="s">
        <v>7662</v>
      </c>
      <c r="W2530">
        <v>1</v>
      </c>
      <c r="X2530" t="s">
        <v>10192</v>
      </c>
      <c r="Y2530">
        <v>0.70310022667362726</v>
      </c>
      <c r="Z2530" t="str">
        <f>HYPERLINK("Melting_Curves/meltCurve_sp_Q9BT73_PSMG3_HUMAN_.pdf", "Melting_Curves/meltCurve_sp_Q9BT73_PSMG3_HUMAN_.pdf")</f>
        <v>Melting_Curves/meltCurve_sp_Q9BT73_PSMG3_HUMAN_.pdf</v>
      </c>
      <c r="AA2530" t="s">
        <v>13990</v>
      </c>
      <c r="AB2530" t="s">
        <v>17770</v>
      </c>
    </row>
    <row r="2531" spans="1:28" x14ac:dyDescent="0.25">
      <c r="A2531" t="s">
        <v>2535</v>
      </c>
      <c r="B2531">
        <v>0.98876768158843997</v>
      </c>
      <c r="C2531">
        <v>0.91995314198028</v>
      </c>
      <c r="D2531">
        <v>1.09576490548618</v>
      </c>
      <c r="E2531">
        <v>0.96847420101697101</v>
      </c>
      <c r="F2531">
        <v>0.554579172584866</v>
      </c>
      <c r="G2531">
        <v>0.18525362416463101</v>
      </c>
      <c r="H2531">
        <v>7.0160310093105596E-2</v>
      </c>
      <c r="I2531">
        <v>5.47309451895516E-2</v>
      </c>
      <c r="J2531">
        <v>5.8965930336226602E-2</v>
      </c>
      <c r="K2531">
        <v>5.3478545962049602E-2</v>
      </c>
      <c r="L2531">
        <v>1983.1047328632001</v>
      </c>
      <c r="M2531">
        <v>37.206934427233897</v>
      </c>
      <c r="N2531">
        <v>53.498312816647001</v>
      </c>
      <c r="O2531">
        <v>53.146071264369702</v>
      </c>
      <c r="P2531">
        <v>-0.16371229442222099</v>
      </c>
      <c r="Q2531">
        <v>6.4621665248671495E-2</v>
      </c>
      <c r="R2531">
        <v>0.98879525842969795</v>
      </c>
      <c r="S2531" t="s">
        <v>6363</v>
      </c>
      <c r="T2531" t="s">
        <v>7662</v>
      </c>
      <c r="U2531" t="s">
        <v>7662</v>
      </c>
      <c r="V2531" t="s">
        <v>7662</v>
      </c>
      <c r="W2531">
        <v>12</v>
      </c>
      <c r="X2531" t="s">
        <v>10193</v>
      </c>
      <c r="Y2531">
        <v>0.4832633459904816</v>
      </c>
      <c r="Z2531" t="str">
        <f>HYPERLINK("Melting_Curves/meltCurve_sp_Q9BT78_CSN4_HUMAN_.pdf", "Melting_Curves/meltCurve_sp_Q9BT78_CSN4_HUMAN_.pdf")</f>
        <v>Melting_Curves/meltCurve_sp_Q9BT78_CSN4_HUMAN_.pdf</v>
      </c>
      <c r="AA2531" t="s">
        <v>13991</v>
      </c>
      <c r="AB2531" t="s">
        <v>17771</v>
      </c>
    </row>
    <row r="2532" spans="1:28" x14ac:dyDescent="0.25">
      <c r="A2532" t="s">
        <v>2536</v>
      </c>
      <c r="B2532">
        <v>0.98876768158843997</v>
      </c>
      <c r="C2532">
        <v>1.08506710313792</v>
      </c>
      <c r="D2532">
        <v>0.89091290278984003</v>
      </c>
      <c r="E2532">
        <v>0.76533312795076203</v>
      </c>
      <c r="F2532">
        <v>0.85619133274105497</v>
      </c>
      <c r="G2532">
        <v>0.600596091107234</v>
      </c>
      <c r="H2532">
        <v>0.50260366155999003</v>
      </c>
      <c r="I2532">
        <v>0.613784016888831</v>
      </c>
      <c r="J2532">
        <v>0.70141116288713101</v>
      </c>
      <c r="K2532">
        <v>0.84019707225092199</v>
      </c>
      <c r="L2532">
        <v>1014.56737823936</v>
      </c>
      <c r="M2532">
        <v>20.5975134607291</v>
      </c>
      <c r="O2532">
        <v>48.799552474886099</v>
      </c>
      <c r="P2532">
        <v>-3.5597948021512102E-2</v>
      </c>
      <c r="Q2532">
        <v>0.66265566832619904</v>
      </c>
      <c r="R2532">
        <v>0.66726100303862301</v>
      </c>
      <c r="S2532" t="s">
        <v>6364</v>
      </c>
      <c r="T2532" t="s">
        <v>7662</v>
      </c>
      <c r="U2532" t="s">
        <v>7662</v>
      </c>
      <c r="V2532" t="s">
        <v>7662</v>
      </c>
      <c r="W2532">
        <v>13</v>
      </c>
      <c r="X2532" t="s">
        <v>10194</v>
      </c>
      <c r="Y2532">
        <v>0.77119014540381348</v>
      </c>
      <c r="Z2532" t="str">
        <f>HYPERLINK("Melting_Curves/meltCurve_sp_Q9BTC0_DIDO1_HUMAN_.pdf", "Melting_Curves/meltCurve_sp_Q9BTC0_DIDO1_HUMAN_.pdf")</f>
        <v>Melting_Curves/meltCurve_sp_Q9BTC0_DIDO1_HUMAN_.pdf</v>
      </c>
      <c r="AA2532" t="s">
        <v>13992</v>
      </c>
      <c r="AB2532" t="s">
        <v>17772</v>
      </c>
    </row>
    <row r="2533" spans="1:28" x14ac:dyDescent="0.25">
      <c r="A2533" t="s">
        <v>2537</v>
      </c>
      <c r="B2533">
        <v>0.98876768158843997</v>
      </c>
      <c r="C2533">
        <v>0.91332209278988397</v>
      </c>
      <c r="D2533">
        <v>1.0360878824981501</v>
      </c>
      <c r="E2533">
        <v>0.60270491680828098</v>
      </c>
      <c r="F2533">
        <v>0.54449650628514601</v>
      </c>
      <c r="G2533">
        <v>0.42002432493345998</v>
      </c>
      <c r="H2533">
        <v>0.347968857735246</v>
      </c>
      <c r="I2533">
        <v>0.24505473989830301</v>
      </c>
      <c r="J2533">
        <v>8.3345137782540005E-2</v>
      </c>
      <c r="K2533">
        <v>6.3182075119432399E-2</v>
      </c>
      <c r="L2533">
        <v>542.34786994802096</v>
      </c>
      <c r="M2533">
        <v>9.8937347138520693</v>
      </c>
      <c r="N2533">
        <v>54.817304619518097</v>
      </c>
      <c r="O2533">
        <v>52.718773072203803</v>
      </c>
      <c r="P2533">
        <v>-4.6941282903009703E-2</v>
      </c>
      <c r="Q2533">
        <v>0</v>
      </c>
      <c r="R2533">
        <v>0.94959872932706701</v>
      </c>
      <c r="S2533" t="s">
        <v>6365</v>
      </c>
      <c r="T2533" t="s">
        <v>7662</v>
      </c>
      <c r="U2533" t="s">
        <v>7662</v>
      </c>
      <c r="V2533" t="s">
        <v>7662</v>
      </c>
      <c r="W2533">
        <v>2</v>
      </c>
      <c r="X2533" t="s">
        <v>10195</v>
      </c>
      <c r="Y2533">
        <v>0.52073016431242336</v>
      </c>
      <c r="Z2533" t="str">
        <f>HYPERLINK("Melting_Curves/meltCurve_sp_Q9BTE1_2_DCTN5_HUMAN_.pdf", "Melting_Curves/meltCurve_sp_Q9BTE1_2_DCTN5_HUMAN_.pdf")</f>
        <v>Melting_Curves/meltCurve_sp_Q9BTE1_2_DCTN5_HUMAN_.pdf</v>
      </c>
      <c r="AA2533" t="s">
        <v>13993</v>
      </c>
      <c r="AB2533" t="s">
        <v>17773</v>
      </c>
    </row>
    <row r="2534" spans="1:28" x14ac:dyDescent="0.25">
      <c r="A2534" t="s">
        <v>2538</v>
      </c>
      <c r="B2534">
        <v>0.98876768158843997</v>
      </c>
      <c r="C2534">
        <v>0.881186325771249</v>
      </c>
      <c r="D2534">
        <v>0.95629631882018595</v>
      </c>
      <c r="E2534">
        <v>0.38676894000930001</v>
      </c>
      <c r="F2534">
        <v>0.11981228496737401</v>
      </c>
      <c r="G2534">
        <v>6.0084748544165997E-2</v>
      </c>
      <c r="H2534">
        <v>3.8869714200014102E-2</v>
      </c>
      <c r="I2534">
        <v>2.9464152372372002E-2</v>
      </c>
      <c r="J2534">
        <v>5.1271056723624503E-2</v>
      </c>
      <c r="K2534">
        <v>3.88008344171831E-2</v>
      </c>
      <c r="L2534">
        <v>1809.2430087422499</v>
      </c>
      <c r="M2534">
        <v>36.732229052972897</v>
      </c>
      <c r="N2534">
        <v>49.376839310123898</v>
      </c>
      <c r="O2534">
        <v>49.109616975544803</v>
      </c>
      <c r="P2534">
        <v>-0.17888552605618499</v>
      </c>
      <c r="Q2534">
        <v>4.3349747123127599E-2</v>
      </c>
      <c r="R2534">
        <v>0.99092810414678101</v>
      </c>
      <c r="S2534" t="s">
        <v>6366</v>
      </c>
      <c r="T2534" t="s">
        <v>7662</v>
      </c>
      <c r="U2534" t="s">
        <v>7662</v>
      </c>
      <c r="V2534" t="s">
        <v>7662</v>
      </c>
      <c r="W2534">
        <v>6</v>
      </c>
      <c r="X2534" t="s">
        <v>10196</v>
      </c>
      <c r="Y2534">
        <v>0.34234742389829109</v>
      </c>
      <c r="Z2534" t="str">
        <f>HYPERLINK("Melting_Curves/meltCurve_sp_Q9BTE3_2_MCMBP_HUMAN_.pdf", "Melting_Curves/meltCurve_sp_Q9BTE3_2_MCMBP_HUMAN_.pdf")</f>
        <v>Melting_Curves/meltCurve_sp_Q9BTE3_2_MCMBP_HUMAN_.pdf</v>
      </c>
      <c r="AA2534" t="s">
        <v>13994</v>
      </c>
      <c r="AB2534" t="s">
        <v>17774</v>
      </c>
    </row>
    <row r="2535" spans="1:28" x14ac:dyDescent="0.25">
      <c r="A2535" t="s">
        <v>2539</v>
      </c>
      <c r="B2535">
        <v>0.98876768158843997</v>
      </c>
      <c r="C2535">
        <v>1.03999123775532</v>
      </c>
      <c r="D2535">
        <v>0.882975886947022</v>
      </c>
      <c r="E2535">
        <v>0.57417561537123696</v>
      </c>
      <c r="F2535">
        <v>0.244653728739642</v>
      </c>
      <c r="G2535">
        <v>0.115708352010125</v>
      </c>
      <c r="H2535">
        <v>6.3930167877603097E-2</v>
      </c>
      <c r="I2535">
        <v>5.5097805041665601E-2</v>
      </c>
      <c r="J2535">
        <v>6.4451079847537396E-2</v>
      </c>
      <c r="K2535">
        <v>7.3865350116061004E-2</v>
      </c>
      <c r="L2535">
        <v>1258.89071106501</v>
      </c>
      <c r="M2535">
        <v>25.062599937425698</v>
      </c>
      <c r="N2535">
        <v>50.4899161647011</v>
      </c>
      <c r="O2535">
        <v>49.913339000348202</v>
      </c>
      <c r="P2535">
        <v>-0.117930816233403</v>
      </c>
      <c r="Q2535">
        <v>6.0553566296847799E-2</v>
      </c>
      <c r="R2535">
        <v>0.99693639530764</v>
      </c>
      <c r="S2535" t="s">
        <v>6367</v>
      </c>
      <c r="T2535" t="s">
        <v>7662</v>
      </c>
      <c r="U2535" t="s">
        <v>7662</v>
      </c>
      <c r="V2535" t="s">
        <v>7662</v>
      </c>
      <c r="W2535">
        <v>8</v>
      </c>
      <c r="X2535" t="s">
        <v>10197</v>
      </c>
      <c r="Y2535">
        <v>0.3892746897590123</v>
      </c>
      <c r="Z2535" t="str">
        <f>HYPERLINK("Melting_Curves/meltCurve_sp_Q9BTE6_AASD1_HUMAN_.pdf", "Melting_Curves/meltCurve_sp_Q9BTE6_AASD1_HUMAN_.pdf")</f>
        <v>Melting_Curves/meltCurve_sp_Q9BTE6_AASD1_HUMAN_.pdf</v>
      </c>
      <c r="AA2535" t="s">
        <v>13995</v>
      </c>
      <c r="AB2535" t="s">
        <v>17775</v>
      </c>
    </row>
    <row r="2536" spans="1:28" x14ac:dyDescent="0.25">
      <c r="A2536" t="s">
        <v>2540</v>
      </c>
      <c r="B2536">
        <v>0.98876768158843997</v>
      </c>
      <c r="C2536">
        <v>0.961427352468331</v>
      </c>
      <c r="D2536">
        <v>0.86319214656677601</v>
      </c>
      <c r="E2536">
        <v>0.780043301670442</v>
      </c>
      <c r="F2536">
        <v>0.455233723515785</v>
      </c>
      <c r="G2536">
        <v>0.35148394500949398</v>
      </c>
      <c r="H2536">
        <v>0.212299946836011</v>
      </c>
      <c r="I2536">
        <v>0.160298083203919</v>
      </c>
      <c r="J2536">
        <v>0.230920501222978</v>
      </c>
      <c r="K2536">
        <v>0.143691315068154</v>
      </c>
      <c r="L2536">
        <v>835.029065652241</v>
      </c>
      <c r="M2536">
        <v>16.045470975892801</v>
      </c>
      <c r="N2536">
        <v>53.243880738120403</v>
      </c>
      <c r="O2536">
        <v>51.253204720859003</v>
      </c>
      <c r="P2536">
        <v>-6.6375269291906902E-2</v>
      </c>
      <c r="Q2536">
        <v>0.15198963686203501</v>
      </c>
      <c r="R2536">
        <v>0.98483430331768795</v>
      </c>
      <c r="S2536" t="s">
        <v>6368</v>
      </c>
      <c r="T2536" t="s">
        <v>7662</v>
      </c>
      <c r="U2536" t="s">
        <v>7662</v>
      </c>
      <c r="V2536" t="s">
        <v>7662</v>
      </c>
      <c r="W2536">
        <v>1</v>
      </c>
      <c r="X2536" t="s">
        <v>10198</v>
      </c>
      <c r="Y2536">
        <v>0.50940949829486681</v>
      </c>
      <c r="Z2536" t="str">
        <f>HYPERLINK("Melting_Curves/meltCurve_sp_Q9BTM9_URM1_HUMAN_.pdf", "Melting_Curves/meltCurve_sp_Q9BTM9_URM1_HUMAN_.pdf")</f>
        <v>Melting_Curves/meltCurve_sp_Q9BTM9_URM1_HUMAN_.pdf</v>
      </c>
      <c r="AA2536" t="s">
        <v>13996</v>
      </c>
      <c r="AB2536" t="s">
        <v>17776</v>
      </c>
    </row>
    <row r="2537" spans="1:28" x14ac:dyDescent="0.25">
      <c r="A2537" t="s">
        <v>2541</v>
      </c>
      <c r="B2537">
        <v>0.98876768158843997</v>
      </c>
      <c r="C2537">
        <v>1.05663512574851</v>
      </c>
      <c r="D2537">
        <v>0.91468597508266802</v>
      </c>
      <c r="E2537">
        <v>0.75539349653757204</v>
      </c>
      <c r="F2537">
        <v>0.65808825431115803</v>
      </c>
      <c r="G2537">
        <v>0.49610018159587199</v>
      </c>
      <c r="H2537">
        <v>0.38167339176168003</v>
      </c>
      <c r="I2537">
        <v>0.399988548258569</v>
      </c>
      <c r="J2537">
        <v>0.45267186240416701</v>
      </c>
      <c r="K2537">
        <v>0.55288848118966705</v>
      </c>
      <c r="L2537">
        <v>1050.53838914937</v>
      </c>
      <c r="M2537">
        <v>20.627698083153199</v>
      </c>
      <c r="N2537">
        <v>56.9654061427389</v>
      </c>
      <c r="O2537">
        <v>50.457125036051899</v>
      </c>
      <c r="P2537">
        <v>-5.6845710001049501E-2</v>
      </c>
      <c r="Q2537">
        <v>0.44381787243995402</v>
      </c>
      <c r="R2537">
        <v>0.94973790370488498</v>
      </c>
      <c r="S2537" t="s">
        <v>6369</v>
      </c>
      <c r="T2537" t="s">
        <v>7662</v>
      </c>
      <c r="U2537" t="s">
        <v>7662</v>
      </c>
      <c r="V2537" t="s">
        <v>7662</v>
      </c>
      <c r="W2537">
        <v>4</v>
      </c>
      <c r="X2537" t="s">
        <v>10199</v>
      </c>
      <c r="Y2537">
        <v>0.65371119754831875</v>
      </c>
      <c r="Z2537" t="str">
        <f>HYPERLINK("Melting_Curves/meltCurve_sp_Q9BTT0_3_AN32E_HUMAN_.pdf", "Melting_Curves/meltCurve_sp_Q9BTT0_3_AN32E_HUMAN_.pdf")</f>
        <v>Melting_Curves/meltCurve_sp_Q9BTT0_3_AN32E_HUMAN_.pdf</v>
      </c>
      <c r="AA2537" t="s">
        <v>13997</v>
      </c>
      <c r="AB2537" t="s">
        <v>17777</v>
      </c>
    </row>
    <row r="2538" spans="1:28" x14ac:dyDescent="0.25">
      <c r="A2538" t="s">
        <v>2542</v>
      </c>
      <c r="B2538">
        <v>0.98876768158843997</v>
      </c>
      <c r="C2538">
        <v>0.91868409506101201</v>
      </c>
      <c r="D2538">
        <v>1.00344079703012</v>
      </c>
      <c r="E2538">
        <v>0.76474286506155897</v>
      </c>
      <c r="F2538">
        <v>0.289273470132064</v>
      </c>
      <c r="G2538">
        <v>0.12379219413109099</v>
      </c>
      <c r="H2538">
        <v>6.29096000674947E-2</v>
      </c>
      <c r="I2538">
        <v>5.6624556576463897E-2</v>
      </c>
      <c r="J2538">
        <v>5.4545600311616198E-2</v>
      </c>
      <c r="K2538">
        <v>5.1034874255131701E-2</v>
      </c>
      <c r="L2538">
        <v>1905.39934164945</v>
      </c>
      <c r="M2538">
        <v>37.038103146497299</v>
      </c>
      <c r="N2538">
        <v>51.631060940317198</v>
      </c>
      <c r="O2538">
        <v>51.295023563238203</v>
      </c>
      <c r="P2538">
        <v>-0.169198425903961</v>
      </c>
      <c r="Q2538">
        <v>6.2693599484297396E-2</v>
      </c>
      <c r="R2538">
        <v>0.99485371180663296</v>
      </c>
      <c r="S2538" t="s">
        <v>6370</v>
      </c>
      <c r="T2538" t="s">
        <v>7662</v>
      </c>
      <c r="U2538" t="s">
        <v>7662</v>
      </c>
      <c r="V2538" t="s">
        <v>7662</v>
      </c>
      <c r="W2538">
        <v>8</v>
      </c>
      <c r="X2538" t="s">
        <v>10200</v>
      </c>
      <c r="Y2538">
        <v>0.4241443970533042</v>
      </c>
      <c r="Z2538" t="str">
        <f>HYPERLINK("Melting_Curves/meltCurve_sp_Q9BTW9_TBCD_HUMAN_.pdf", "Melting_Curves/meltCurve_sp_Q9BTW9_TBCD_HUMAN_.pdf")</f>
        <v>Melting_Curves/meltCurve_sp_Q9BTW9_TBCD_HUMAN_.pdf</v>
      </c>
      <c r="AA2538" t="s">
        <v>13998</v>
      </c>
      <c r="AB2538" t="s">
        <v>17778</v>
      </c>
    </row>
    <row r="2539" spans="1:28" x14ac:dyDescent="0.25">
      <c r="A2539" t="s">
        <v>2543</v>
      </c>
      <c r="B2539">
        <v>0.98876768158843997</v>
      </c>
      <c r="C2539">
        <v>1.2060832952976499</v>
      </c>
      <c r="D2539">
        <v>0.85920743743997996</v>
      </c>
      <c r="E2539">
        <v>0.79033048317766297</v>
      </c>
      <c r="F2539">
        <v>0.97957384872481401</v>
      </c>
      <c r="G2539">
        <v>0.61097532498799001</v>
      </c>
      <c r="H2539">
        <v>0.359235096970349</v>
      </c>
      <c r="I2539">
        <v>0.13255300523236599</v>
      </c>
      <c r="J2539">
        <v>5.7740273171530299E-2</v>
      </c>
      <c r="K2539">
        <v>0</v>
      </c>
      <c r="L2539">
        <v>1164.05065648097</v>
      </c>
      <c r="M2539">
        <v>19.859461434636099</v>
      </c>
      <c r="N2539">
        <v>58.614413380907898</v>
      </c>
      <c r="O2539">
        <v>58.0298152355412</v>
      </c>
      <c r="P2539">
        <v>-8.5560032470203704E-2</v>
      </c>
      <c r="Q2539">
        <v>0</v>
      </c>
      <c r="R2539">
        <v>0.93745366637241301</v>
      </c>
      <c r="S2539" t="s">
        <v>6371</v>
      </c>
      <c r="T2539" t="s">
        <v>7662</v>
      </c>
      <c r="U2539" t="s">
        <v>7662</v>
      </c>
      <c r="V2539" t="s">
        <v>7662</v>
      </c>
      <c r="W2539">
        <v>5</v>
      </c>
      <c r="X2539" t="s">
        <v>10201</v>
      </c>
      <c r="Y2539">
        <v>0.63114029166594543</v>
      </c>
      <c r="Z2539" t="str">
        <f>HYPERLINK("Melting_Curves/meltCurve_sp_Q9BTX7_TTPAL_HUMAN_.pdf", "Melting_Curves/meltCurve_sp_Q9BTX7_TTPAL_HUMAN_.pdf")</f>
        <v>Melting_Curves/meltCurve_sp_Q9BTX7_TTPAL_HUMAN_.pdf</v>
      </c>
      <c r="AA2539" t="s">
        <v>13999</v>
      </c>
      <c r="AB2539" t="s">
        <v>17779</v>
      </c>
    </row>
    <row r="2540" spans="1:28" x14ac:dyDescent="0.25">
      <c r="A2540" t="s">
        <v>2544</v>
      </c>
      <c r="B2540">
        <v>0.98876768158843997</v>
      </c>
      <c r="C2540">
        <v>0.99049908451999402</v>
      </c>
      <c r="D2540">
        <v>0.94565388038366205</v>
      </c>
      <c r="E2540">
        <v>0.96447654266697103</v>
      </c>
      <c r="F2540">
        <v>0.703490826043074</v>
      </c>
      <c r="G2540">
        <v>0.432695233630499</v>
      </c>
      <c r="H2540">
        <v>0.167269087997548</v>
      </c>
      <c r="I2540">
        <v>6.4477823948215301E-2</v>
      </c>
      <c r="J2540">
        <v>5.8027097336038801E-2</v>
      </c>
      <c r="K2540">
        <v>4.6660692179289497E-2</v>
      </c>
      <c r="L2540">
        <v>1110.1682276737799</v>
      </c>
      <c r="M2540">
        <v>19.8950059802151</v>
      </c>
      <c r="N2540">
        <v>55.904337697292497</v>
      </c>
      <c r="O2540">
        <v>55.246750529003798</v>
      </c>
      <c r="P2540">
        <v>-8.8410676722706194E-2</v>
      </c>
      <c r="Q2540">
        <v>1.7996721454329598E-2</v>
      </c>
      <c r="R2540">
        <v>0.99518755605867304</v>
      </c>
      <c r="S2540" t="s">
        <v>6372</v>
      </c>
      <c r="T2540" t="s">
        <v>7662</v>
      </c>
      <c r="U2540" t="s">
        <v>7662</v>
      </c>
      <c r="V2540" t="s">
        <v>7662</v>
      </c>
      <c r="W2540">
        <v>6</v>
      </c>
      <c r="X2540" t="s">
        <v>10202</v>
      </c>
      <c r="Y2540">
        <v>0.54807125218753261</v>
      </c>
      <c r="Z2540" t="str">
        <f>HYPERLINK("Melting_Curves/meltCurve_sp_Q9BTY2_FUCO2_HUMAN_.pdf", "Melting_Curves/meltCurve_sp_Q9BTY2_FUCO2_HUMAN_.pdf")</f>
        <v>Melting_Curves/meltCurve_sp_Q9BTY2_FUCO2_HUMAN_.pdf</v>
      </c>
      <c r="AA2540" t="s">
        <v>14000</v>
      </c>
      <c r="AB2540" t="s">
        <v>17780</v>
      </c>
    </row>
    <row r="2541" spans="1:28" x14ac:dyDescent="0.25">
      <c r="A2541" t="s">
        <v>2545</v>
      </c>
      <c r="B2541">
        <v>0.98876768158843997</v>
      </c>
      <c r="C2541">
        <v>0.98784971890718798</v>
      </c>
      <c r="D2541">
        <v>0.79323510448911405</v>
      </c>
      <c r="E2541">
        <v>0.38700083450964901</v>
      </c>
      <c r="F2541">
        <v>0.16707764691871299</v>
      </c>
      <c r="G2541">
        <v>0.10016238580631701</v>
      </c>
      <c r="H2541">
        <v>6.8710131692777704E-2</v>
      </c>
      <c r="I2541">
        <v>6.0531065160024398E-2</v>
      </c>
      <c r="J2541">
        <v>8.9593090338802306E-2</v>
      </c>
      <c r="K2541">
        <v>4.5377457107019799E-2</v>
      </c>
      <c r="L2541">
        <v>1162.6661782722299</v>
      </c>
      <c r="M2541">
        <v>23.934460647884698</v>
      </c>
      <c r="N2541">
        <v>48.858208413692999</v>
      </c>
      <c r="O2541">
        <v>48.241792336016097</v>
      </c>
      <c r="P2541">
        <v>-0.116056869242015</v>
      </c>
      <c r="Q2541">
        <v>6.432805811398E-2</v>
      </c>
      <c r="R2541">
        <v>0.99852862243122997</v>
      </c>
      <c r="S2541" t="s">
        <v>6373</v>
      </c>
      <c r="T2541" t="s">
        <v>7662</v>
      </c>
      <c r="U2541" t="s">
        <v>7662</v>
      </c>
      <c r="V2541" t="s">
        <v>7662</v>
      </c>
      <c r="W2541">
        <v>6</v>
      </c>
      <c r="X2541" t="s">
        <v>10203</v>
      </c>
      <c r="Y2541">
        <v>0.34089995728429101</v>
      </c>
      <c r="Z2541" t="str">
        <f>HYPERLINK("Melting_Curves/meltCurve_sp_Q9BTY7_F203A_HUMAN_.pdf", "Melting_Curves/meltCurve_sp_Q9BTY7_F203A_HUMAN_.pdf")</f>
        <v>Melting_Curves/meltCurve_sp_Q9BTY7_F203A_HUMAN_.pdf</v>
      </c>
      <c r="AA2541" t="s">
        <v>14001</v>
      </c>
      <c r="AB2541" t="s">
        <v>17781</v>
      </c>
    </row>
    <row r="2542" spans="1:28" x14ac:dyDescent="0.25">
      <c r="A2542" t="s">
        <v>2546</v>
      </c>
      <c r="B2542">
        <v>0.98876768158843997</v>
      </c>
      <c r="C2542">
        <v>0.94429516245967704</v>
      </c>
      <c r="D2542">
        <v>0.70410920673593702</v>
      </c>
      <c r="E2542">
        <v>0.37091033198010798</v>
      </c>
      <c r="F2542">
        <v>0.22121905923642399</v>
      </c>
      <c r="G2542">
        <v>0.13690549932797599</v>
      </c>
      <c r="H2542">
        <v>9.5582216697802994E-2</v>
      </c>
      <c r="I2542">
        <v>8.7865186640395707E-2</v>
      </c>
      <c r="J2542">
        <v>6.8942985539437701E-2</v>
      </c>
      <c r="K2542">
        <v>4.4986945556879203E-2</v>
      </c>
      <c r="L2542">
        <v>894.96780549259302</v>
      </c>
      <c r="M2542">
        <v>18.604856481248401</v>
      </c>
      <c r="N2542">
        <v>48.499411027530201</v>
      </c>
      <c r="O2542">
        <v>47.558573655153303</v>
      </c>
      <c r="P2542">
        <v>-9.0920933764934403E-2</v>
      </c>
      <c r="Q2542">
        <v>7.0375489314587106E-2</v>
      </c>
      <c r="R2542">
        <v>0.99769752554987501</v>
      </c>
      <c r="S2542" t="s">
        <v>6374</v>
      </c>
      <c r="T2542" t="s">
        <v>7662</v>
      </c>
      <c r="U2542" t="s">
        <v>7662</v>
      </c>
      <c r="V2542" t="s">
        <v>7662</v>
      </c>
      <c r="W2542">
        <v>12</v>
      </c>
      <c r="X2542" t="s">
        <v>10204</v>
      </c>
      <c r="Y2542">
        <v>0.33684588094017309</v>
      </c>
      <c r="Z2542" t="str">
        <f>HYPERLINK("Melting_Curves/meltCurve_sp_Q9BTZ2_DHRS4_HUMAN_.pdf", "Melting_Curves/meltCurve_sp_Q9BTZ2_DHRS4_HUMAN_.pdf")</f>
        <v>Melting_Curves/meltCurve_sp_Q9BTZ2_DHRS4_HUMAN_.pdf</v>
      </c>
      <c r="AA2542" t="s">
        <v>14002</v>
      </c>
      <c r="AB2542" t="s">
        <v>17782</v>
      </c>
    </row>
    <row r="2543" spans="1:28" x14ac:dyDescent="0.25">
      <c r="A2543" t="s">
        <v>2547</v>
      </c>
      <c r="B2543">
        <v>0.98876768158843997</v>
      </c>
      <c r="C2543">
        <v>0.99286221024284604</v>
      </c>
      <c r="D2543">
        <v>0.775354592338792</v>
      </c>
      <c r="E2543">
        <v>0.68637100301606802</v>
      </c>
      <c r="F2543">
        <v>0.57023160459963995</v>
      </c>
      <c r="G2543">
        <v>0.32586433022600803</v>
      </c>
      <c r="H2543">
        <v>0.18544040652809801</v>
      </c>
      <c r="I2543">
        <v>0.117333345595551</v>
      </c>
      <c r="J2543">
        <v>0.136080880200526</v>
      </c>
      <c r="K2543">
        <v>0.188988487696435</v>
      </c>
      <c r="L2543">
        <v>648.03645610588001</v>
      </c>
      <c r="M2543">
        <v>12.348596826814999</v>
      </c>
      <c r="N2543">
        <v>53.248308029586397</v>
      </c>
      <c r="O2543">
        <v>51.159262169381002</v>
      </c>
      <c r="P2543">
        <v>-5.5423177021810002E-2</v>
      </c>
      <c r="Q2543">
        <v>8.1742725800128396E-2</v>
      </c>
      <c r="R2543">
        <v>0.97994547249591102</v>
      </c>
      <c r="S2543" t="s">
        <v>6375</v>
      </c>
      <c r="T2543" t="s">
        <v>7662</v>
      </c>
      <c r="U2543" t="s">
        <v>7662</v>
      </c>
      <c r="V2543" t="s">
        <v>7662</v>
      </c>
      <c r="W2543">
        <v>4</v>
      </c>
      <c r="X2543" t="s">
        <v>10205</v>
      </c>
      <c r="Y2543">
        <v>0.48994212410187837</v>
      </c>
      <c r="Z2543" t="str">
        <f>HYPERLINK("Melting_Curves/meltCurve_sp_Q9BU02_THTPA_HUMAN_.pdf", "Melting_Curves/meltCurve_sp_Q9BU02_THTPA_HUMAN_.pdf")</f>
        <v>Melting_Curves/meltCurve_sp_Q9BU02_THTPA_HUMAN_.pdf</v>
      </c>
      <c r="AA2543" t="s">
        <v>14003</v>
      </c>
      <c r="AB2543" t="s">
        <v>17783</v>
      </c>
    </row>
    <row r="2544" spans="1:28" x14ac:dyDescent="0.25">
      <c r="A2544" t="s">
        <v>2548</v>
      </c>
      <c r="B2544">
        <v>0.98876768158843997</v>
      </c>
      <c r="C2544">
        <v>1.04489119704628</v>
      </c>
      <c r="D2544">
        <v>0.86903020349540006</v>
      </c>
      <c r="E2544">
        <v>0.64703032907303104</v>
      </c>
      <c r="F2544">
        <v>0.49878632620802499</v>
      </c>
      <c r="G2544">
        <v>0.32446112764676599</v>
      </c>
      <c r="H2544">
        <v>0.208682021795841</v>
      </c>
      <c r="I2544">
        <v>0.17096153883904</v>
      </c>
      <c r="J2544">
        <v>0.26427675963172698</v>
      </c>
      <c r="K2544">
        <v>0.23033127118855401</v>
      </c>
      <c r="L2544">
        <v>898.70206738355398</v>
      </c>
      <c r="M2544">
        <v>17.644438266760201</v>
      </c>
      <c r="N2544">
        <v>52.500122524699897</v>
      </c>
      <c r="O2544">
        <v>50.293287029196897</v>
      </c>
      <c r="P2544">
        <v>-6.9764752051732895E-2</v>
      </c>
      <c r="Q2544">
        <v>0.204619451901802</v>
      </c>
      <c r="R2544">
        <v>0.98600477983575596</v>
      </c>
      <c r="S2544" t="s">
        <v>6376</v>
      </c>
      <c r="T2544" t="s">
        <v>7662</v>
      </c>
      <c r="U2544" t="s">
        <v>7662</v>
      </c>
      <c r="V2544" t="s">
        <v>7662</v>
      </c>
      <c r="W2544">
        <v>2</v>
      </c>
      <c r="X2544" t="s">
        <v>10206</v>
      </c>
      <c r="Y2544">
        <v>0.50841267353689856</v>
      </c>
      <c r="Z2544" t="str">
        <f>HYPERLINK("Melting_Curves/meltCurve_sp_Q9BU89_DOHH_HUMAN_.pdf", "Melting_Curves/meltCurve_sp_Q9BU89_DOHH_HUMAN_.pdf")</f>
        <v>Melting_Curves/meltCurve_sp_Q9BU89_DOHH_HUMAN_.pdf</v>
      </c>
      <c r="AA2544" t="s">
        <v>14004</v>
      </c>
      <c r="AB2544" t="s">
        <v>17784</v>
      </c>
    </row>
    <row r="2545" spans="1:28" x14ac:dyDescent="0.25">
      <c r="A2545" t="s">
        <v>2549</v>
      </c>
      <c r="B2545">
        <v>0.98876768158843997</v>
      </c>
      <c r="C2545">
        <v>0.993920168235774</v>
      </c>
      <c r="D2545">
        <v>0.93075453587230705</v>
      </c>
      <c r="E2545">
        <v>0.73197237529831105</v>
      </c>
      <c r="F2545">
        <v>0.52152983103492101</v>
      </c>
      <c r="G2545">
        <v>0.18714414586521499</v>
      </c>
      <c r="H2545">
        <v>0.100217701739563</v>
      </c>
      <c r="I2545">
        <v>0.104837496195375</v>
      </c>
      <c r="J2545">
        <v>9.77966501432736E-2</v>
      </c>
      <c r="K2545">
        <v>0.1347595648188</v>
      </c>
      <c r="L2545">
        <v>1127.18813967348</v>
      </c>
      <c r="M2545">
        <v>21.558832890309201</v>
      </c>
      <c r="N2545">
        <v>52.767980999299702</v>
      </c>
      <c r="O2545">
        <v>51.840681402240897</v>
      </c>
      <c r="P2545">
        <v>-9.4647633063008704E-2</v>
      </c>
      <c r="Q2545">
        <v>8.9658015682008999E-2</v>
      </c>
      <c r="R2545">
        <v>0.99538610448482601</v>
      </c>
      <c r="S2545" t="s">
        <v>6377</v>
      </c>
      <c r="T2545" t="s">
        <v>7662</v>
      </c>
      <c r="U2545" t="s">
        <v>7662</v>
      </c>
      <c r="V2545" t="s">
        <v>7662</v>
      </c>
      <c r="W2545">
        <v>1</v>
      </c>
      <c r="X2545" t="s">
        <v>10207</v>
      </c>
      <c r="Y2545">
        <v>0.47341490629798733</v>
      </c>
      <c r="Z2545" t="str">
        <f>HYPERLINK("Melting_Curves/meltCurve_sp_Q9BUE0_MED18_HUMAN_.pdf", "Melting_Curves/meltCurve_sp_Q9BUE0_MED18_HUMAN_.pdf")</f>
        <v>Melting_Curves/meltCurve_sp_Q9BUE0_MED18_HUMAN_.pdf</v>
      </c>
      <c r="AA2545" t="s">
        <v>14005</v>
      </c>
      <c r="AB2545" t="s">
        <v>17785</v>
      </c>
    </row>
    <row r="2546" spans="1:28" x14ac:dyDescent="0.25">
      <c r="A2546" t="s">
        <v>2550</v>
      </c>
      <c r="B2546">
        <v>0.98876768158843997</v>
      </c>
      <c r="C2546">
        <v>1.0266461314969899</v>
      </c>
      <c r="D2546">
        <v>0.94697550519319995</v>
      </c>
      <c r="E2546">
        <v>0.84974152204777298</v>
      </c>
      <c r="F2546">
        <v>0.69061500506965501</v>
      </c>
      <c r="G2546">
        <v>0.49455816192796098</v>
      </c>
      <c r="H2546">
        <v>0.256953482013836</v>
      </c>
      <c r="I2546">
        <v>0.215161804728881</v>
      </c>
      <c r="J2546">
        <v>0.157542864953537</v>
      </c>
      <c r="K2546">
        <v>0.14088476427395399</v>
      </c>
      <c r="L2546">
        <v>812.01686891785096</v>
      </c>
      <c r="M2546">
        <v>14.600902990903201</v>
      </c>
      <c r="N2546">
        <v>56.385432124898202</v>
      </c>
      <c r="O2546">
        <v>54.6021890078108</v>
      </c>
      <c r="P2546">
        <v>-6.0806716729348301E-2</v>
      </c>
      <c r="Q2546">
        <v>9.0520390296892406E-2</v>
      </c>
      <c r="R2546">
        <v>0.99691594691632301</v>
      </c>
      <c r="S2546" t="s">
        <v>6378</v>
      </c>
      <c r="T2546" t="s">
        <v>7662</v>
      </c>
      <c r="U2546" t="s">
        <v>7662</v>
      </c>
      <c r="V2546" t="s">
        <v>7662</v>
      </c>
      <c r="W2546">
        <v>2</v>
      </c>
      <c r="X2546" t="s">
        <v>10208</v>
      </c>
      <c r="Y2546">
        <v>0.58100901381087</v>
      </c>
      <c r="Z2546" t="str">
        <f>HYPERLINK("Melting_Curves/meltCurve_sp_Q9BUE6_ISCA1_HUMAN_.pdf", "Melting_Curves/meltCurve_sp_Q9BUE6_ISCA1_HUMAN_.pdf")</f>
        <v>Melting_Curves/meltCurve_sp_Q9BUE6_ISCA1_HUMAN_.pdf</v>
      </c>
      <c r="AA2546" t="s">
        <v>14006</v>
      </c>
      <c r="AB2546" t="s">
        <v>17786</v>
      </c>
    </row>
    <row r="2547" spans="1:28" x14ac:dyDescent="0.25">
      <c r="A2547" t="s">
        <v>2551</v>
      </c>
      <c r="B2547">
        <v>0.98876768158843997</v>
      </c>
      <c r="C2547">
        <v>1.08144553350573</v>
      </c>
      <c r="D2547">
        <v>0.85824603359029195</v>
      </c>
      <c r="E2547">
        <v>0.76586914632841097</v>
      </c>
      <c r="F2547">
        <v>0.87467381758516305</v>
      </c>
      <c r="G2547">
        <v>0.59135567309410597</v>
      </c>
      <c r="H2547">
        <v>0.44486195260745498</v>
      </c>
      <c r="I2547">
        <v>0.424415306695554</v>
      </c>
      <c r="J2547">
        <v>0.41484870222756498</v>
      </c>
      <c r="K2547">
        <v>0.38645496893146097</v>
      </c>
      <c r="L2547">
        <v>639.243832060503</v>
      </c>
      <c r="M2547">
        <v>11.5094809466373</v>
      </c>
      <c r="N2547">
        <v>60.720944068484897</v>
      </c>
      <c r="O2547">
        <v>53.943322468047498</v>
      </c>
      <c r="P2547">
        <v>-3.6671201015345802E-2</v>
      </c>
      <c r="Q2547">
        <v>0.31270360676244602</v>
      </c>
      <c r="R2547">
        <v>0.92882286915828505</v>
      </c>
      <c r="S2547" t="s">
        <v>6379</v>
      </c>
      <c r="T2547" t="s">
        <v>7662</v>
      </c>
      <c r="U2547" t="s">
        <v>7662</v>
      </c>
      <c r="V2547" t="s">
        <v>7662</v>
      </c>
      <c r="W2547">
        <v>10</v>
      </c>
      <c r="X2547" t="s">
        <v>10209</v>
      </c>
      <c r="Y2547">
        <v>0.68406977737354147</v>
      </c>
      <c r="Z2547" t="str">
        <f>HYPERLINK("Melting_Curves/meltCurve_sp_Q9BUH6_CI142_HUMAN_.pdf", "Melting_Curves/meltCurve_sp_Q9BUH6_CI142_HUMAN_.pdf")</f>
        <v>Melting_Curves/meltCurve_sp_Q9BUH6_CI142_HUMAN_.pdf</v>
      </c>
      <c r="AA2547" t="s">
        <v>14007</v>
      </c>
      <c r="AB2547" t="s">
        <v>17787</v>
      </c>
    </row>
    <row r="2548" spans="1:28" x14ac:dyDescent="0.25">
      <c r="A2548" t="s">
        <v>2552</v>
      </c>
      <c r="B2548">
        <v>0.98876768158843997</v>
      </c>
      <c r="C2548">
        <v>0.95657341612768398</v>
      </c>
      <c r="D2548">
        <v>0.88380787044956099</v>
      </c>
      <c r="E2548">
        <v>0.67694346488305501</v>
      </c>
      <c r="F2548">
        <v>0.46356673605307902</v>
      </c>
      <c r="G2548">
        <v>0.29222473676034399</v>
      </c>
      <c r="H2548">
        <v>0.19053745098075001</v>
      </c>
      <c r="I2548">
        <v>0.18814541447268099</v>
      </c>
      <c r="J2548">
        <v>0.19697136907801899</v>
      </c>
      <c r="K2548">
        <v>0.23951375933114999</v>
      </c>
      <c r="L2548">
        <v>919.58044288201802</v>
      </c>
      <c r="M2548">
        <v>18.036503076760798</v>
      </c>
      <c r="N2548">
        <v>52.338623634993297</v>
      </c>
      <c r="O2548">
        <v>50.370071636086102</v>
      </c>
      <c r="P2548">
        <v>-7.2831700697064197E-2</v>
      </c>
      <c r="Q2548">
        <v>0.186459122755675</v>
      </c>
      <c r="R2548">
        <v>0.99552381242727805</v>
      </c>
      <c r="S2548" t="s">
        <v>6380</v>
      </c>
      <c r="T2548" t="s">
        <v>7662</v>
      </c>
      <c r="U2548" t="s">
        <v>7662</v>
      </c>
      <c r="V2548" t="s">
        <v>7662</v>
      </c>
      <c r="W2548">
        <v>20</v>
      </c>
      <c r="X2548" t="s">
        <v>10210</v>
      </c>
      <c r="Y2548">
        <v>0.49799470978547661</v>
      </c>
      <c r="Z2548" t="str">
        <f>HYPERLINK("Melting_Curves/meltCurve_sp_Q9BUJ2_2_HNRL1_HUMAN_.pdf", "Melting_Curves/meltCurve_sp_Q9BUJ2_2_HNRL1_HUMAN_.pdf")</f>
        <v>Melting_Curves/meltCurve_sp_Q9BUJ2_2_HNRL1_HUMAN_.pdf</v>
      </c>
      <c r="AA2548" t="s">
        <v>14008</v>
      </c>
      <c r="AB2548" t="s">
        <v>17788</v>
      </c>
    </row>
    <row r="2549" spans="1:28" x14ac:dyDescent="0.25">
      <c r="A2549" t="s">
        <v>2553</v>
      </c>
      <c r="B2549">
        <v>0.98876768158843997</v>
      </c>
      <c r="C2549">
        <v>0.988666989460389</v>
      </c>
      <c r="D2549">
        <v>0.82494829558038396</v>
      </c>
      <c r="E2549">
        <v>0.41632323067709398</v>
      </c>
      <c r="F2549">
        <v>0.31348641327761501</v>
      </c>
      <c r="G2549">
        <v>0.188047864417063</v>
      </c>
      <c r="H2549">
        <v>0.133901910454439</v>
      </c>
      <c r="I2549">
        <v>0.128243778778348</v>
      </c>
      <c r="J2549">
        <v>0.14293392474467001</v>
      </c>
      <c r="K2549">
        <v>0.127599058194307</v>
      </c>
      <c r="L2549">
        <v>1055.9528561177799</v>
      </c>
      <c r="M2549">
        <v>21.6502557849951</v>
      </c>
      <c r="N2549">
        <v>49.5018671422864</v>
      </c>
      <c r="O2549">
        <v>48.362842362295503</v>
      </c>
      <c r="P2549">
        <v>-9.66476518042549E-2</v>
      </c>
      <c r="Q2549">
        <v>0.136445551403409</v>
      </c>
      <c r="R2549">
        <v>0.99540723548790799</v>
      </c>
      <c r="S2549" t="s">
        <v>6381</v>
      </c>
      <c r="T2549" t="s">
        <v>7662</v>
      </c>
      <c r="U2549" t="s">
        <v>7662</v>
      </c>
      <c r="V2549" t="s">
        <v>7662</v>
      </c>
      <c r="W2549">
        <v>8</v>
      </c>
      <c r="X2549" t="s">
        <v>10211</v>
      </c>
      <c r="Y2549">
        <v>0.39928131790310728</v>
      </c>
      <c r="Z2549" t="str">
        <f>HYPERLINK("Melting_Curves/meltCurve_sp_Q9BUP0_EFHD1_HUMAN_.pdf", "Melting_Curves/meltCurve_sp_Q9BUP0_EFHD1_HUMAN_.pdf")</f>
        <v>Melting_Curves/meltCurve_sp_Q9BUP0_EFHD1_HUMAN_.pdf</v>
      </c>
      <c r="AA2549" t="s">
        <v>14009</v>
      </c>
      <c r="AB2549" t="s">
        <v>17789</v>
      </c>
    </row>
    <row r="2550" spans="1:28" x14ac:dyDescent="0.25">
      <c r="A2550" t="s">
        <v>2554</v>
      </c>
      <c r="B2550">
        <v>0.98876768158843997</v>
      </c>
      <c r="C2550">
        <v>0.99226362738408203</v>
      </c>
      <c r="D2550">
        <v>0.87966885214819701</v>
      </c>
      <c r="E2550">
        <v>0.75718567207253795</v>
      </c>
      <c r="F2550">
        <v>0.481205771037098</v>
      </c>
      <c r="G2550">
        <v>0.34527779874026299</v>
      </c>
      <c r="H2550">
        <v>0.33228085568951499</v>
      </c>
      <c r="I2550">
        <v>0.34325179053080801</v>
      </c>
      <c r="J2550">
        <v>0.39405170142833701</v>
      </c>
      <c r="K2550">
        <v>0.44909670846106498</v>
      </c>
      <c r="L2550">
        <v>1379.2589697394601</v>
      </c>
      <c r="M2550">
        <v>27.366300354426301</v>
      </c>
      <c r="N2550">
        <v>52.952546102417401</v>
      </c>
      <c r="O2550">
        <v>50.133094905168399</v>
      </c>
      <c r="P2550">
        <v>-8.6476777729138699E-2</v>
      </c>
      <c r="Q2550">
        <v>0.36632906411907801</v>
      </c>
      <c r="R2550">
        <v>0.97129196599924095</v>
      </c>
      <c r="S2550" t="s">
        <v>6382</v>
      </c>
      <c r="T2550" t="s">
        <v>7662</v>
      </c>
      <c r="U2550" t="s">
        <v>7662</v>
      </c>
      <c r="V2550" t="s">
        <v>7662</v>
      </c>
      <c r="W2550">
        <v>1</v>
      </c>
      <c r="X2550" t="s">
        <v>10212</v>
      </c>
      <c r="Y2550">
        <v>0.5907456333239629</v>
      </c>
      <c r="Z2550" t="str">
        <f>HYPERLINK("Melting_Curves/meltCurve_sp_Q9BUQ8_DDX23_HUMAN_.pdf", "Melting_Curves/meltCurve_sp_Q9BUQ8_DDX23_HUMAN_.pdf")</f>
        <v>Melting_Curves/meltCurve_sp_Q9BUQ8_DDX23_HUMAN_.pdf</v>
      </c>
      <c r="AA2550" t="s">
        <v>14010</v>
      </c>
      <c r="AB2550" t="s">
        <v>17790</v>
      </c>
    </row>
    <row r="2551" spans="1:28" x14ac:dyDescent="0.25">
      <c r="A2551" t="s">
        <v>2555</v>
      </c>
      <c r="B2551">
        <v>0.98876768158843997</v>
      </c>
      <c r="C2551">
        <v>0.90021606404911503</v>
      </c>
      <c r="D2551">
        <v>0.93098640748019101</v>
      </c>
      <c r="E2551">
        <v>0.67545196293913401</v>
      </c>
      <c r="F2551">
        <v>0.118308894174004</v>
      </c>
      <c r="G2551">
        <v>5.3277095423490899E-2</v>
      </c>
      <c r="H2551">
        <v>3.2449063194751999E-2</v>
      </c>
      <c r="I2551">
        <v>2.5957640388653301E-2</v>
      </c>
      <c r="J2551">
        <v>2.69296020549043E-2</v>
      </c>
      <c r="K2551">
        <v>2.45669532854794E-2</v>
      </c>
      <c r="L2551">
        <v>2529.2868239971399</v>
      </c>
      <c r="M2551">
        <v>49.922212093988797</v>
      </c>
      <c r="N2551">
        <v>50.7284720466075</v>
      </c>
      <c r="O2551">
        <v>50.583459407002699</v>
      </c>
      <c r="P2551">
        <v>-0.23921162795404</v>
      </c>
      <c r="Q2551">
        <v>3.0480363654517999E-2</v>
      </c>
      <c r="R2551">
        <v>0.99145945765948296</v>
      </c>
      <c r="S2551" t="s">
        <v>6383</v>
      </c>
      <c r="T2551" t="s">
        <v>7662</v>
      </c>
      <c r="U2551" t="s">
        <v>7662</v>
      </c>
      <c r="V2551" t="s">
        <v>7662</v>
      </c>
      <c r="W2551">
        <v>11</v>
      </c>
      <c r="X2551" t="s">
        <v>10213</v>
      </c>
      <c r="Y2551">
        <v>0.37730379730910962</v>
      </c>
      <c r="Z2551" t="str">
        <f>HYPERLINK("Melting_Curves/meltCurve_sp_Q9BUT1_BDH2_HUMAN_.pdf", "Melting_Curves/meltCurve_sp_Q9BUT1_BDH2_HUMAN_.pdf")</f>
        <v>Melting_Curves/meltCurve_sp_Q9BUT1_BDH2_HUMAN_.pdf</v>
      </c>
      <c r="AA2551" t="s">
        <v>14011</v>
      </c>
      <c r="AB2551" t="s">
        <v>17791</v>
      </c>
    </row>
    <row r="2552" spans="1:28" x14ac:dyDescent="0.25">
      <c r="A2552" t="s">
        <v>2556</v>
      </c>
      <c r="B2552">
        <v>0.98876768158843997</v>
      </c>
      <c r="C2552">
        <v>1.07354306100646</v>
      </c>
      <c r="D2552">
        <v>0.86481973771674903</v>
      </c>
      <c r="E2552">
        <v>0.63310832887434099</v>
      </c>
      <c r="F2552">
        <v>0.72034847691383896</v>
      </c>
      <c r="G2552">
        <v>0.44953929112904201</v>
      </c>
      <c r="H2552">
        <v>0.31210615690818699</v>
      </c>
      <c r="I2552">
        <v>0.40714283021370201</v>
      </c>
      <c r="J2552">
        <v>0.59852766953550096</v>
      </c>
      <c r="K2552">
        <v>0.62549989279429796</v>
      </c>
      <c r="L2552">
        <v>1026.69942769253</v>
      </c>
      <c r="M2552">
        <v>20.9531389463998</v>
      </c>
      <c r="N2552">
        <v>59.719466424060101</v>
      </c>
      <c r="O2552">
        <v>48.560029951986998</v>
      </c>
      <c r="P2552">
        <v>-5.5192128743185201E-2</v>
      </c>
      <c r="Q2552">
        <v>0.48837100554379198</v>
      </c>
      <c r="R2552">
        <v>0.80204027145059198</v>
      </c>
      <c r="S2552" t="s">
        <v>6384</v>
      </c>
      <c r="T2552" t="s">
        <v>7662</v>
      </c>
      <c r="U2552" t="s">
        <v>7662</v>
      </c>
      <c r="V2552" t="s">
        <v>7662</v>
      </c>
      <c r="W2552">
        <v>5</v>
      </c>
      <c r="X2552" t="s">
        <v>10214</v>
      </c>
      <c r="Y2552">
        <v>0.64837391526079824</v>
      </c>
      <c r="Z2552" t="str">
        <f>HYPERLINK("Melting_Curves/meltCurve_sp_Q9BUT9_F195A_HUMAN_.pdf", "Melting_Curves/meltCurve_sp_Q9BUT9_F195A_HUMAN_.pdf")</f>
        <v>Melting_Curves/meltCurve_sp_Q9BUT9_F195A_HUMAN_.pdf</v>
      </c>
      <c r="AA2552" t="s">
        <v>14012</v>
      </c>
      <c r="AB2552" t="s">
        <v>17792</v>
      </c>
    </row>
    <row r="2553" spans="1:28" x14ac:dyDescent="0.25">
      <c r="A2553" t="s">
        <v>2557</v>
      </c>
      <c r="B2553">
        <v>0.98876768158843997</v>
      </c>
      <c r="C2553">
        <v>0.95948339810628203</v>
      </c>
      <c r="D2553">
        <v>1.0511117021719301</v>
      </c>
      <c r="E2553">
        <v>0.91052855502989605</v>
      </c>
      <c r="F2553">
        <v>0.348093907273057</v>
      </c>
      <c r="G2553">
        <v>0.26087024978872497</v>
      </c>
      <c r="H2553">
        <v>0.33365947700441401</v>
      </c>
      <c r="I2553">
        <v>0.47865346077465298</v>
      </c>
      <c r="J2553">
        <v>0.52113943573481303</v>
      </c>
      <c r="K2553">
        <v>0.52650113817952504</v>
      </c>
      <c r="L2553">
        <v>12585.937485824899</v>
      </c>
      <c r="M2553">
        <v>250</v>
      </c>
      <c r="N2553">
        <v>50.694849983780003</v>
      </c>
      <c r="O2553">
        <v>50.340528565233697</v>
      </c>
      <c r="P2553">
        <v>-0.73066624549429204</v>
      </c>
      <c r="Q2553">
        <v>0.41148600400922097</v>
      </c>
      <c r="R2553">
        <v>0.92051197515675898</v>
      </c>
      <c r="S2553" t="s">
        <v>6385</v>
      </c>
      <c r="T2553" t="s">
        <v>7662</v>
      </c>
      <c r="U2553" t="s">
        <v>7662</v>
      </c>
      <c r="V2553" t="s">
        <v>7662</v>
      </c>
      <c r="W2553">
        <v>4</v>
      </c>
      <c r="X2553" t="s">
        <v>10215</v>
      </c>
      <c r="Y2553">
        <v>0.61445272111267746</v>
      </c>
      <c r="Z2553" t="str">
        <f>HYPERLINK("Melting_Curves/meltCurve_sp_Q9BV19_CA050_HUMAN_.pdf", "Melting_Curves/meltCurve_sp_Q9BV19_CA050_HUMAN_.pdf")</f>
        <v>Melting_Curves/meltCurve_sp_Q9BV19_CA050_HUMAN_.pdf</v>
      </c>
      <c r="AA2553" t="s">
        <v>14013</v>
      </c>
      <c r="AB2553" t="s">
        <v>17793</v>
      </c>
    </row>
    <row r="2554" spans="1:28" x14ac:dyDescent="0.25">
      <c r="A2554" t="s">
        <v>2558</v>
      </c>
      <c r="B2554">
        <v>0.98876768158843997</v>
      </c>
      <c r="C2554">
        <v>1.01081166635641</v>
      </c>
      <c r="D2554">
        <v>0.91250904414326195</v>
      </c>
      <c r="E2554">
        <v>0.85844335417486595</v>
      </c>
      <c r="F2554">
        <v>0.79578811630325497</v>
      </c>
      <c r="G2554">
        <v>0.48580316675645602</v>
      </c>
      <c r="H2554">
        <v>0.12539024700958401</v>
      </c>
      <c r="I2554">
        <v>5.6284685762565297E-2</v>
      </c>
      <c r="J2554">
        <v>4.4216207593029001E-2</v>
      </c>
      <c r="K2554">
        <v>3.8110125222111803E-2</v>
      </c>
      <c r="L2554">
        <v>1129.42529926822</v>
      </c>
      <c r="M2554">
        <v>20.055333716512202</v>
      </c>
      <c r="N2554">
        <v>56.315457722563501</v>
      </c>
      <c r="O2554">
        <v>55.764515457737701</v>
      </c>
      <c r="P2554">
        <v>-8.9913716912378094E-2</v>
      </c>
      <c r="Q2554">
        <v>0</v>
      </c>
      <c r="R2554">
        <v>0.98970071329093601</v>
      </c>
      <c r="S2554" t="s">
        <v>6386</v>
      </c>
      <c r="T2554" t="s">
        <v>7662</v>
      </c>
      <c r="U2554" t="s">
        <v>7662</v>
      </c>
      <c r="V2554" t="s">
        <v>7662</v>
      </c>
      <c r="W2554">
        <v>5</v>
      </c>
      <c r="X2554" t="s">
        <v>10216</v>
      </c>
      <c r="Y2554">
        <v>0.55650722504915962</v>
      </c>
      <c r="Z2554" t="str">
        <f>HYPERLINK("Melting_Curves/meltCurve_sp_Q9BV20_MTNA_HUMAN_.pdf", "Melting_Curves/meltCurve_sp_Q9BV20_MTNA_HUMAN_.pdf")</f>
        <v>Melting_Curves/meltCurve_sp_Q9BV20_MTNA_HUMAN_.pdf</v>
      </c>
      <c r="AA2554" t="s">
        <v>14014</v>
      </c>
      <c r="AB2554" t="s">
        <v>17794</v>
      </c>
    </row>
    <row r="2555" spans="1:28" x14ac:dyDescent="0.25">
      <c r="A2555" t="s">
        <v>2559</v>
      </c>
      <c r="B2555">
        <v>0.98876768158843997</v>
      </c>
      <c r="C2555">
        <v>0.88850134878105402</v>
      </c>
      <c r="D2555">
        <v>0.81951663721343604</v>
      </c>
      <c r="E2555">
        <v>0.75784127606471396</v>
      </c>
      <c r="F2555">
        <v>0.57559166264054895</v>
      </c>
      <c r="G2555">
        <v>0.349355095722305</v>
      </c>
      <c r="H2555">
        <v>0.18055953253410001</v>
      </c>
      <c r="I2555">
        <v>6.76485485005026E-2</v>
      </c>
      <c r="J2555">
        <v>4.6282571433355797E-2</v>
      </c>
      <c r="K2555">
        <v>6.0111921142613399E-2</v>
      </c>
      <c r="L2555">
        <v>669.90896559279702</v>
      </c>
      <c r="M2555">
        <v>12.4512367230416</v>
      </c>
      <c r="N2555">
        <v>53.8026040805522</v>
      </c>
      <c r="O2555">
        <v>52.471332795403697</v>
      </c>
      <c r="P2555">
        <v>-5.9336390568830999E-2</v>
      </c>
      <c r="Q2555">
        <v>0</v>
      </c>
      <c r="R2555">
        <v>0.98673040654965605</v>
      </c>
      <c r="S2555" t="s">
        <v>6387</v>
      </c>
      <c r="T2555" t="s">
        <v>7662</v>
      </c>
      <c r="U2555" t="s">
        <v>7662</v>
      </c>
      <c r="V2555" t="s">
        <v>7662</v>
      </c>
      <c r="W2555">
        <v>2</v>
      </c>
      <c r="X2555" t="s">
        <v>10217</v>
      </c>
      <c r="Y2555">
        <v>0.48573676474763799</v>
      </c>
      <c r="Z2555" t="str">
        <f>HYPERLINK("Melting_Curves/meltCurve_sp_Q9BV44_THUM3_HUMAN_.pdf", "Melting_Curves/meltCurve_sp_Q9BV44_THUM3_HUMAN_.pdf")</f>
        <v>Melting_Curves/meltCurve_sp_Q9BV44_THUM3_HUMAN_.pdf</v>
      </c>
      <c r="AA2555" t="s">
        <v>14015</v>
      </c>
      <c r="AB2555" t="s">
        <v>17795</v>
      </c>
    </row>
    <row r="2556" spans="1:28" x14ac:dyDescent="0.25">
      <c r="A2556" t="s">
        <v>2560</v>
      </c>
      <c r="B2556">
        <v>0.98876768158843997</v>
      </c>
      <c r="C2556">
        <v>1.1115136715309799</v>
      </c>
      <c r="D2556">
        <v>0.87343529550848298</v>
      </c>
      <c r="E2556">
        <v>0.73130424947179395</v>
      </c>
      <c r="F2556">
        <v>0.51366226306774898</v>
      </c>
      <c r="G2556">
        <v>0.208871874827604</v>
      </c>
      <c r="H2556">
        <v>0.113737880898146</v>
      </c>
      <c r="I2556">
        <v>9.6715344613408499E-2</v>
      </c>
      <c r="J2556">
        <v>0.110493759821541</v>
      </c>
      <c r="K2556">
        <v>9.6691939274106603E-2</v>
      </c>
      <c r="L2556">
        <v>1029.6932639101699</v>
      </c>
      <c r="M2556">
        <v>19.6772667335375</v>
      </c>
      <c r="N2556">
        <v>52.790559071495998</v>
      </c>
      <c r="O2556">
        <v>51.797591233225297</v>
      </c>
      <c r="P2556">
        <v>-8.7470660633777605E-2</v>
      </c>
      <c r="Q2556">
        <v>7.9015602483929706E-2</v>
      </c>
      <c r="R2556">
        <v>0.98512483126404204</v>
      </c>
      <c r="S2556" t="s">
        <v>6388</v>
      </c>
      <c r="T2556" t="s">
        <v>7662</v>
      </c>
      <c r="U2556" t="s">
        <v>7662</v>
      </c>
      <c r="V2556" t="s">
        <v>7662</v>
      </c>
      <c r="W2556">
        <v>10</v>
      </c>
      <c r="X2556" t="s">
        <v>10218</v>
      </c>
      <c r="Y2556">
        <v>0.47060661620043542</v>
      </c>
      <c r="Z2556" t="str">
        <f>HYPERLINK("Melting_Curves/meltCurve_sp_Q9BV57_MTND_HUMAN_.pdf", "Melting_Curves/meltCurve_sp_Q9BV57_MTND_HUMAN_.pdf")</f>
        <v>Melting_Curves/meltCurve_sp_Q9BV57_MTND_HUMAN_.pdf</v>
      </c>
      <c r="AA2556" t="s">
        <v>14016</v>
      </c>
      <c r="AB2556" t="s">
        <v>17796</v>
      </c>
    </row>
    <row r="2557" spans="1:28" x14ac:dyDescent="0.25">
      <c r="A2557" t="s">
        <v>2561</v>
      </c>
      <c r="B2557">
        <v>0.98876768158843997</v>
      </c>
      <c r="C2557">
        <v>1.0673497461239501</v>
      </c>
      <c r="D2557">
        <v>0.79792545846134699</v>
      </c>
      <c r="E2557">
        <v>0.44641602283323101</v>
      </c>
      <c r="F2557">
        <v>0.114897098104632</v>
      </c>
      <c r="G2557">
        <v>6.1597411203948897E-2</v>
      </c>
      <c r="H2557">
        <v>3.4980722024281097E-2</v>
      </c>
      <c r="I2557">
        <v>3.0427613350526302E-2</v>
      </c>
      <c r="J2557">
        <v>4.2072333649573197E-2</v>
      </c>
      <c r="K2557">
        <v>2.8580472273417E-2</v>
      </c>
      <c r="L2557">
        <v>1250.86818262367</v>
      </c>
      <c r="M2557">
        <v>25.4711453941866</v>
      </c>
      <c r="N2557">
        <v>49.220927745591602</v>
      </c>
      <c r="O2557">
        <v>48.809519579896303</v>
      </c>
      <c r="P2557">
        <v>-0.12679978947260001</v>
      </c>
      <c r="Q2557">
        <v>2.8083043015679501E-2</v>
      </c>
      <c r="R2557">
        <v>0.990971937621418</v>
      </c>
      <c r="S2557" t="s">
        <v>6389</v>
      </c>
      <c r="T2557" t="s">
        <v>7662</v>
      </c>
      <c r="U2557" t="s">
        <v>7662</v>
      </c>
      <c r="V2557" t="s">
        <v>7662</v>
      </c>
      <c r="W2557">
        <v>7</v>
      </c>
      <c r="X2557" t="s">
        <v>10219</v>
      </c>
      <c r="Y2557">
        <v>0.33149118233117592</v>
      </c>
      <c r="Z2557" t="str">
        <f>HYPERLINK("Melting_Curves/meltCurve_sp_Q9BV79_MECR_HUMAN_.pdf", "Melting_Curves/meltCurve_sp_Q9BV79_MECR_HUMAN_.pdf")</f>
        <v>Melting_Curves/meltCurve_sp_Q9BV79_MECR_HUMAN_.pdf</v>
      </c>
      <c r="AA2557" t="s">
        <v>14017</v>
      </c>
      <c r="AB2557" t="s">
        <v>17797</v>
      </c>
    </row>
    <row r="2558" spans="1:28" x14ac:dyDescent="0.25">
      <c r="A2558" t="s">
        <v>2562</v>
      </c>
      <c r="B2558">
        <v>0.98876768158843997</v>
      </c>
      <c r="C2558">
        <v>1.0960327140156301</v>
      </c>
      <c r="D2558">
        <v>0.48429884545544799</v>
      </c>
      <c r="E2558">
        <v>0.18009450319986101</v>
      </c>
      <c r="F2558">
        <v>9.1555268412935598E-2</v>
      </c>
      <c r="G2558">
        <v>5.4363714630260802E-2</v>
      </c>
      <c r="H2558">
        <v>3.8316683628126402E-2</v>
      </c>
      <c r="I2558">
        <v>3.6381423994977902E-2</v>
      </c>
      <c r="J2558">
        <v>4.4785682245864003E-2</v>
      </c>
      <c r="K2558">
        <v>3.1933578834670198E-2</v>
      </c>
      <c r="L2558">
        <v>11490.127702931</v>
      </c>
      <c r="M2558">
        <v>250</v>
      </c>
      <c r="N2558">
        <v>45.987488372003099</v>
      </c>
      <c r="O2558">
        <v>45.957569861828198</v>
      </c>
      <c r="P2558">
        <v>-1.2671954826402001</v>
      </c>
      <c r="Q2558">
        <v>6.8204406758302596E-2</v>
      </c>
      <c r="R2558">
        <v>0.98281724244516599</v>
      </c>
      <c r="S2558" t="s">
        <v>6390</v>
      </c>
      <c r="T2558" t="s">
        <v>7662</v>
      </c>
      <c r="U2558" t="s">
        <v>7662</v>
      </c>
      <c r="V2558" t="s">
        <v>7662</v>
      </c>
      <c r="W2558">
        <v>4</v>
      </c>
      <c r="X2558" t="s">
        <v>10220</v>
      </c>
      <c r="Y2558">
        <v>0.25341215563443931</v>
      </c>
      <c r="Z2558" t="str">
        <f>HYPERLINK("Melting_Curves/meltCurve_sp_Q9BV86_NTM1A_HUMAN_.pdf", "Melting_Curves/meltCurve_sp_Q9BV86_NTM1A_HUMAN_.pdf")</f>
        <v>Melting_Curves/meltCurve_sp_Q9BV86_NTM1A_HUMAN_.pdf</v>
      </c>
      <c r="AA2558" t="s">
        <v>14018</v>
      </c>
      <c r="AB2558" t="s">
        <v>17798</v>
      </c>
    </row>
    <row r="2559" spans="1:28" x14ac:dyDescent="0.25">
      <c r="A2559" t="s">
        <v>2563</v>
      </c>
      <c r="B2559">
        <v>0.98876768158843997</v>
      </c>
      <c r="C2559">
        <v>1.0250689302261899</v>
      </c>
      <c r="D2559">
        <v>0.89668295666024</v>
      </c>
      <c r="E2559">
        <v>0.72574037775219502</v>
      </c>
      <c r="F2559">
        <v>0.77772107741165297</v>
      </c>
      <c r="G2559">
        <v>0.48582143312357601</v>
      </c>
      <c r="H2559">
        <v>0.25259200390502501</v>
      </c>
      <c r="I2559">
        <v>0.17281614331898401</v>
      </c>
      <c r="J2559">
        <v>0.17382222680408499</v>
      </c>
      <c r="K2559">
        <v>0.199494133915675</v>
      </c>
      <c r="L2559">
        <v>718.53223556183798</v>
      </c>
      <c r="M2559">
        <v>12.9575236206216</v>
      </c>
      <c r="N2559">
        <v>56.271976743410001</v>
      </c>
      <c r="O2559">
        <v>54.181953551105998</v>
      </c>
      <c r="P2559">
        <v>-5.4658540255526897E-2</v>
      </c>
      <c r="Q2559">
        <v>8.5943652093959794E-2</v>
      </c>
      <c r="R2559">
        <v>0.97140114215412698</v>
      </c>
      <c r="S2559" t="s">
        <v>6391</v>
      </c>
      <c r="T2559" t="s">
        <v>7662</v>
      </c>
      <c r="U2559" t="s">
        <v>7662</v>
      </c>
      <c r="V2559" t="s">
        <v>7662</v>
      </c>
      <c r="W2559">
        <v>11</v>
      </c>
      <c r="X2559" t="s">
        <v>10221</v>
      </c>
      <c r="Y2559">
        <v>0.5760245875240898</v>
      </c>
      <c r="Z2559" t="str">
        <f>HYPERLINK("Melting_Curves/meltCurve_sp_Q9BVG4_PBDC1_HUMAN_.pdf", "Melting_Curves/meltCurve_sp_Q9BVG4_PBDC1_HUMAN_.pdf")</f>
        <v>Melting_Curves/meltCurve_sp_Q9BVG4_PBDC1_HUMAN_.pdf</v>
      </c>
      <c r="AA2559" t="s">
        <v>14019</v>
      </c>
      <c r="AB2559" t="s">
        <v>17799</v>
      </c>
    </row>
    <row r="2560" spans="1:28" x14ac:dyDescent="0.25">
      <c r="A2560" t="s">
        <v>2564</v>
      </c>
      <c r="B2560">
        <v>0.98876768158843997</v>
      </c>
      <c r="C2560">
        <v>1.03080271399892</v>
      </c>
      <c r="D2560">
        <v>0.88887530472713305</v>
      </c>
      <c r="E2560">
        <v>0.75201718376660898</v>
      </c>
      <c r="F2560">
        <v>0.74179655038188796</v>
      </c>
      <c r="G2560">
        <v>0.388615908327963</v>
      </c>
      <c r="H2560">
        <v>0.119500221570969</v>
      </c>
      <c r="I2560">
        <v>5.3807810428549201E-2</v>
      </c>
      <c r="J2560">
        <v>6.5097068827048299E-2</v>
      </c>
      <c r="K2560">
        <v>5.0581034960267703E-2</v>
      </c>
      <c r="L2560">
        <v>891.85218745212603</v>
      </c>
      <c r="M2560">
        <v>16.184619665567599</v>
      </c>
      <c r="N2560">
        <v>55.1049180842979</v>
      </c>
      <c r="O2560">
        <v>54.284246458096703</v>
      </c>
      <c r="P2560">
        <v>-7.4542037750543494E-2</v>
      </c>
      <c r="Q2560">
        <v>0</v>
      </c>
      <c r="R2560">
        <v>0.98213349604841504</v>
      </c>
      <c r="S2560" t="s">
        <v>6392</v>
      </c>
      <c r="T2560" t="s">
        <v>7662</v>
      </c>
      <c r="U2560" t="s">
        <v>7662</v>
      </c>
      <c r="V2560" t="s">
        <v>7662</v>
      </c>
      <c r="W2560">
        <v>14</v>
      </c>
      <c r="X2560" t="s">
        <v>10222</v>
      </c>
      <c r="Y2560">
        <v>0.52109199641301607</v>
      </c>
      <c r="Z2560" t="str">
        <f>HYPERLINK("Melting_Curves/meltCurve_sp_Q9BVJ7_DUS23_HUMAN_.pdf", "Melting_Curves/meltCurve_sp_Q9BVJ7_DUS23_HUMAN_.pdf")</f>
        <v>Melting_Curves/meltCurve_sp_Q9BVJ7_DUS23_HUMAN_.pdf</v>
      </c>
      <c r="AA2560" t="s">
        <v>14020</v>
      </c>
      <c r="AB2560" t="s">
        <v>17800</v>
      </c>
    </row>
    <row r="2561" spans="1:28" x14ac:dyDescent="0.25">
      <c r="A2561" t="s">
        <v>2565</v>
      </c>
      <c r="B2561">
        <v>0.98876768158843997</v>
      </c>
      <c r="C2561">
        <v>0.798748562847301</v>
      </c>
      <c r="D2561">
        <v>0.40512393711975903</v>
      </c>
      <c r="E2561">
        <v>0.15701890691655601</v>
      </c>
      <c r="F2561">
        <v>9.3810015294745794E-2</v>
      </c>
      <c r="G2561">
        <v>5.6159055916496198E-2</v>
      </c>
      <c r="H2561">
        <v>4.28920090953692E-2</v>
      </c>
      <c r="I2561">
        <v>3.3382805618474398E-2</v>
      </c>
      <c r="J2561">
        <v>4.7619973976378703E-2</v>
      </c>
      <c r="K2561">
        <v>4.0728650526695699E-2</v>
      </c>
      <c r="L2561">
        <v>1096.2839291825801</v>
      </c>
      <c r="M2561">
        <v>24.264993306682701</v>
      </c>
      <c r="N2561">
        <v>45.3716233913268</v>
      </c>
      <c r="O2561">
        <v>44.8761648802138</v>
      </c>
      <c r="P2561">
        <v>-0.128584584442691</v>
      </c>
      <c r="Q2561">
        <v>4.8787099136112302E-2</v>
      </c>
      <c r="R2561">
        <v>0.99775630234743296</v>
      </c>
      <c r="S2561" t="s">
        <v>6393</v>
      </c>
      <c r="T2561" t="s">
        <v>7662</v>
      </c>
      <c r="U2561" t="s">
        <v>7662</v>
      </c>
      <c r="V2561" t="s">
        <v>7662</v>
      </c>
      <c r="W2561">
        <v>16</v>
      </c>
      <c r="X2561" t="s">
        <v>10223</v>
      </c>
      <c r="Y2561">
        <v>0.22301810901807381</v>
      </c>
      <c r="Z2561" t="str">
        <f>HYPERLINK("Melting_Curves/meltCurve_sp_Q9BVL4_SELO_HUMAN_.pdf", "Melting_Curves/meltCurve_sp_Q9BVL4_SELO_HUMAN_.pdf")</f>
        <v>Melting_Curves/meltCurve_sp_Q9BVL4_SELO_HUMAN_.pdf</v>
      </c>
      <c r="AA2561" t="s">
        <v>14021</v>
      </c>
      <c r="AB2561" t="s">
        <v>17801</v>
      </c>
    </row>
    <row r="2562" spans="1:28" x14ac:dyDescent="0.25">
      <c r="A2562" t="s">
        <v>2566</v>
      </c>
      <c r="B2562">
        <v>0.98876768158843997</v>
      </c>
      <c r="C2562">
        <v>1.0965154701300099</v>
      </c>
      <c r="D2562">
        <v>0.87114172103352705</v>
      </c>
      <c r="E2562">
        <v>0.71577920193651101</v>
      </c>
      <c r="F2562">
        <v>0.43394062902310598</v>
      </c>
      <c r="G2562">
        <v>0.18191683534698799</v>
      </c>
      <c r="H2562">
        <v>0.14694589314541301</v>
      </c>
      <c r="I2562">
        <v>0.10424311822837901</v>
      </c>
      <c r="J2562">
        <v>0.195464736871683</v>
      </c>
      <c r="K2562">
        <v>9.7749539453970996E-2</v>
      </c>
      <c r="L2562">
        <v>1151.7059523783701</v>
      </c>
      <c r="M2562">
        <v>22.3748673619965</v>
      </c>
      <c r="N2562">
        <v>52.117145575202301</v>
      </c>
      <c r="O2562">
        <v>51.067335307140297</v>
      </c>
      <c r="P2562">
        <v>-9.6309700285183195E-2</v>
      </c>
      <c r="Q2562">
        <v>0.120767740559071</v>
      </c>
      <c r="R2562">
        <v>0.98307033147549205</v>
      </c>
      <c r="S2562" t="s">
        <v>6394</v>
      </c>
      <c r="T2562" t="s">
        <v>7662</v>
      </c>
      <c r="U2562" t="s">
        <v>7662</v>
      </c>
      <c r="V2562" t="s">
        <v>7662</v>
      </c>
      <c r="W2562">
        <v>4</v>
      </c>
      <c r="X2562" t="s">
        <v>10224</v>
      </c>
      <c r="Y2562">
        <v>0.46690544878455609</v>
      </c>
      <c r="Z2562" t="str">
        <f>HYPERLINK("Melting_Curves/meltCurve_sp_Q9BVM4_GGACT_HUMAN_.pdf", "Melting_Curves/meltCurve_sp_Q9BVM4_GGACT_HUMAN_.pdf")</f>
        <v>Melting_Curves/meltCurve_sp_Q9BVM4_GGACT_HUMAN_.pdf</v>
      </c>
      <c r="AA2562" t="s">
        <v>14022</v>
      </c>
      <c r="AB2562" t="s">
        <v>17802</v>
      </c>
    </row>
    <row r="2563" spans="1:28" x14ac:dyDescent="0.25">
      <c r="A2563" t="s">
        <v>2567</v>
      </c>
      <c r="B2563">
        <v>0.98876768158843997</v>
      </c>
      <c r="C2563">
        <v>0.88688948547729796</v>
      </c>
      <c r="D2563">
        <v>0.94208861385927101</v>
      </c>
      <c r="E2563">
        <v>0.68370275154360804</v>
      </c>
      <c r="F2563">
        <v>0.41590824269870702</v>
      </c>
      <c r="G2563">
        <v>0.28673499490332199</v>
      </c>
      <c r="H2563">
        <v>8.9068935641545E-2</v>
      </c>
      <c r="I2563">
        <v>6.3040849790717099E-2</v>
      </c>
      <c r="J2563">
        <v>0.11308160120968801</v>
      </c>
      <c r="K2563">
        <v>7.1304340072393099E-2</v>
      </c>
      <c r="L2563">
        <v>854.64113997432298</v>
      </c>
      <c r="M2563">
        <v>16.449030103492799</v>
      </c>
      <c r="N2563">
        <v>52.319397631014397</v>
      </c>
      <c r="O2563">
        <v>51.207227579184199</v>
      </c>
      <c r="P2563">
        <v>-7.5986876223860994E-2</v>
      </c>
      <c r="Q2563">
        <v>5.3852173058461503E-2</v>
      </c>
      <c r="R2563">
        <v>0.98717201308099201</v>
      </c>
      <c r="S2563" t="s">
        <v>6395</v>
      </c>
      <c r="T2563" t="s">
        <v>7662</v>
      </c>
      <c r="U2563" t="s">
        <v>7662</v>
      </c>
      <c r="V2563" t="s">
        <v>7662</v>
      </c>
      <c r="W2563">
        <v>4</v>
      </c>
      <c r="X2563" t="s">
        <v>10225</v>
      </c>
      <c r="Y2563">
        <v>0.4492637949847374</v>
      </c>
      <c r="Z2563" t="str">
        <f>HYPERLINK("Melting_Curves/meltCurve_sp_Q9BVS5_TR61B_HUMAN_.pdf", "Melting_Curves/meltCurve_sp_Q9BVS5_TR61B_HUMAN_.pdf")</f>
        <v>Melting_Curves/meltCurve_sp_Q9BVS5_TR61B_HUMAN_.pdf</v>
      </c>
      <c r="AA2563" t="s">
        <v>14023</v>
      </c>
      <c r="AB2563" t="s">
        <v>17803</v>
      </c>
    </row>
    <row r="2564" spans="1:28" x14ac:dyDescent="0.25">
      <c r="A2564" t="s">
        <v>2568</v>
      </c>
      <c r="B2564">
        <v>0.98876768158843997</v>
      </c>
      <c r="C2564">
        <v>0.93702512816314598</v>
      </c>
      <c r="D2564">
        <v>0.97395949301713902</v>
      </c>
      <c r="E2564">
        <v>0.76747937581887604</v>
      </c>
      <c r="F2564">
        <v>0.52319047063676605</v>
      </c>
      <c r="G2564">
        <v>0.38039031029592302</v>
      </c>
      <c r="H2564">
        <v>0.26078684711211297</v>
      </c>
      <c r="I2564">
        <v>0.199073756609013</v>
      </c>
      <c r="J2564">
        <v>0.232525429463939</v>
      </c>
      <c r="K2564">
        <v>0.30981634364960198</v>
      </c>
      <c r="L2564">
        <v>1087.5469298931901</v>
      </c>
      <c r="M2564">
        <v>20.955219164258601</v>
      </c>
      <c r="N2564">
        <v>53.598697239704499</v>
      </c>
      <c r="O2564">
        <v>51.432922920026797</v>
      </c>
      <c r="P2564">
        <v>-7.7130191918350799E-2</v>
      </c>
      <c r="Q2564">
        <v>0.24278074809976199</v>
      </c>
      <c r="R2564">
        <v>0.986484349068112</v>
      </c>
      <c r="S2564" t="s">
        <v>6396</v>
      </c>
      <c r="T2564" t="s">
        <v>7662</v>
      </c>
      <c r="U2564" t="s">
        <v>7662</v>
      </c>
      <c r="V2564" t="s">
        <v>7662</v>
      </c>
      <c r="W2564">
        <v>4</v>
      </c>
      <c r="X2564" t="s">
        <v>10226</v>
      </c>
      <c r="Y2564">
        <v>0.55274071019879578</v>
      </c>
      <c r="Z2564" t="str">
        <f>HYPERLINK("Melting_Curves/meltCurve_sp_Q9BW61_DDA1_HUMAN_.pdf", "Melting_Curves/meltCurve_sp_Q9BW61_DDA1_HUMAN_.pdf")</f>
        <v>Melting_Curves/meltCurve_sp_Q9BW61_DDA1_HUMAN_.pdf</v>
      </c>
      <c r="AA2564" t="s">
        <v>14024</v>
      </c>
      <c r="AB2564" t="s">
        <v>17804</v>
      </c>
    </row>
    <row r="2565" spans="1:28" x14ac:dyDescent="0.25">
      <c r="A2565" t="s">
        <v>2569</v>
      </c>
      <c r="B2565">
        <v>0.98876768158843997</v>
      </c>
      <c r="C2565">
        <v>1.0443995701233</v>
      </c>
      <c r="D2565">
        <v>0.95588925008735304</v>
      </c>
      <c r="E2565">
        <v>0.86256253178521902</v>
      </c>
      <c r="F2565">
        <v>0.69172845626747603</v>
      </c>
      <c r="G2565">
        <v>0.52256360340266295</v>
      </c>
      <c r="H2565">
        <v>0.36730399145831899</v>
      </c>
      <c r="I2565">
        <v>0.42107761234012298</v>
      </c>
      <c r="J2565">
        <v>0.58573043943485503</v>
      </c>
      <c r="K2565">
        <v>0.64533524582233204</v>
      </c>
      <c r="L2565">
        <v>1582.2398062248801</v>
      </c>
      <c r="M2565">
        <v>30.551453928998299</v>
      </c>
      <c r="O2565">
        <v>51.568981161921897</v>
      </c>
      <c r="P2565">
        <v>-7.3465130105964796E-2</v>
      </c>
      <c r="Q2565">
        <v>0.50398450020801799</v>
      </c>
      <c r="R2565">
        <v>0.89079940248518397</v>
      </c>
      <c r="S2565" t="s">
        <v>6397</v>
      </c>
      <c r="T2565" t="s">
        <v>7662</v>
      </c>
      <c r="U2565" t="s">
        <v>7662</v>
      </c>
      <c r="V2565" t="s">
        <v>7662</v>
      </c>
      <c r="W2565">
        <v>5</v>
      </c>
      <c r="X2565" t="s">
        <v>10227</v>
      </c>
      <c r="Y2565">
        <v>0.70195411887903336</v>
      </c>
      <c r="Z2565" t="str">
        <f>HYPERLINK("Melting_Curves/meltCurve_sp_Q9BW71_2_HIRP3_HUMAN_.pdf", "Melting_Curves/meltCurve_sp_Q9BW71_2_HIRP3_HUMAN_.pdf")</f>
        <v>Melting_Curves/meltCurve_sp_Q9BW71_2_HIRP3_HUMAN_.pdf</v>
      </c>
      <c r="AA2565" t="s">
        <v>14025</v>
      </c>
      <c r="AB2565" t="s">
        <v>17805</v>
      </c>
    </row>
    <row r="2566" spans="1:28" x14ac:dyDescent="0.25">
      <c r="A2566" t="s">
        <v>2570</v>
      </c>
      <c r="B2566">
        <v>0.98876768158843997</v>
      </c>
      <c r="C2566">
        <v>0.994453541420809</v>
      </c>
      <c r="D2566">
        <v>0.68750523315593104</v>
      </c>
      <c r="E2566">
        <v>0.342832481281929</v>
      </c>
      <c r="F2566">
        <v>0.11122587734666201</v>
      </c>
      <c r="G2566">
        <v>4.2735685927513201E-2</v>
      </c>
      <c r="H2566">
        <v>1.9474195482612901E-2</v>
      </c>
      <c r="I2566">
        <v>1.9817727520038401E-2</v>
      </c>
      <c r="J2566">
        <v>1.23819296275726E-2</v>
      </c>
      <c r="K2566">
        <v>2.2172084632172202E-2</v>
      </c>
      <c r="L2566">
        <v>1046.68038904117</v>
      </c>
      <c r="M2566">
        <v>21.772230821351599</v>
      </c>
      <c r="N2566">
        <v>48.134104759995701</v>
      </c>
      <c r="O2566">
        <v>47.674050696784903</v>
      </c>
      <c r="P2566">
        <v>-0.11264699001892001</v>
      </c>
      <c r="Q2566">
        <v>1.33829752134049E-2</v>
      </c>
      <c r="R2566">
        <v>0.99538626497427296</v>
      </c>
      <c r="S2566" t="s">
        <v>6398</v>
      </c>
      <c r="T2566" t="s">
        <v>7662</v>
      </c>
      <c r="U2566" t="s">
        <v>7662</v>
      </c>
      <c r="V2566" t="s">
        <v>7662</v>
      </c>
      <c r="W2566">
        <v>6</v>
      </c>
      <c r="X2566" t="s">
        <v>10228</v>
      </c>
      <c r="Y2566">
        <v>0.29061164680847779</v>
      </c>
      <c r="Z2566" t="str">
        <f>HYPERLINK("Melting_Curves/meltCurve_sp_Q9BW83_IFT27_HUMAN_.pdf", "Melting_Curves/meltCurve_sp_Q9BW83_IFT27_HUMAN_.pdf")</f>
        <v>Melting_Curves/meltCurve_sp_Q9BW83_IFT27_HUMAN_.pdf</v>
      </c>
      <c r="AA2566" t="s">
        <v>14026</v>
      </c>
      <c r="AB2566" t="s">
        <v>17806</v>
      </c>
    </row>
    <row r="2567" spans="1:28" x14ac:dyDescent="0.25">
      <c r="A2567" t="s">
        <v>2571</v>
      </c>
      <c r="B2567">
        <v>0.98876768158843997</v>
      </c>
      <c r="C2567">
        <v>1.1116340679874299</v>
      </c>
      <c r="D2567">
        <v>0.86165768982101398</v>
      </c>
      <c r="E2567">
        <v>0.76258321476385105</v>
      </c>
      <c r="F2567">
        <v>0.888041483683772</v>
      </c>
      <c r="G2567">
        <v>0.51504194476203002</v>
      </c>
      <c r="H2567">
        <v>0.28394086096447801</v>
      </c>
      <c r="I2567">
        <v>0.27597652056431099</v>
      </c>
      <c r="J2567">
        <v>0.31162329368994102</v>
      </c>
      <c r="K2567">
        <v>0.40474465080148597</v>
      </c>
      <c r="L2567">
        <v>1104.45668835027</v>
      </c>
      <c r="M2567">
        <v>20.161460212175601</v>
      </c>
      <c r="N2567">
        <v>57.268710592824803</v>
      </c>
      <c r="O2567">
        <v>54.250217983281303</v>
      </c>
      <c r="P2567">
        <v>-6.5803869009890506E-2</v>
      </c>
      <c r="Q2567">
        <v>0.29176547955229898</v>
      </c>
      <c r="R2567">
        <v>0.90346113307847198</v>
      </c>
      <c r="S2567" t="s">
        <v>6399</v>
      </c>
      <c r="T2567" t="s">
        <v>7662</v>
      </c>
      <c r="U2567" t="s">
        <v>7662</v>
      </c>
      <c r="V2567" t="s">
        <v>7662</v>
      </c>
      <c r="W2567">
        <v>13</v>
      </c>
      <c r="X2567" t="s">
        <v>10229</v>
      </c>
      <c r="Y2567">
        <v>0.65006836976975857</v>
      </c>
      <c r="Z2567" t="str">
        <f>HYPERLINK("Melting_Curves/meltCurve_sp_Q9BW91_2_NUDT9_HUMAN_.pdf", "Melting_Curves/meltCurve_sp_Q9BW91_2_NUDT9_HUMAN_.pdf")</f>
        <v>Melting_Curves/meltCurve_sp_Q9BW91_2_NUDT9_HUMAN_.pdf</v>
      </c>
      <c r="AA2567" t="s">
        <v>14027</v>
      </c>
      <c r="AB2567" t="s">
        <v>17807</v>
      </c>
    </row>
    <row r="2568" spans="1:28" x14ac:dyDescent="0.25">
      <c r="A2568" t="s">
        <v>2572</v>
      </c>
      <c r="B2568">
        <v>0.98876768158843997</v>
      </c>
      <c r="C2568">
        <v>0.845157084354628</v>
      </c>
      <c r="D2568">
        <v>0.87746003807393802</v>
      </c>
      <c r="E2568">
        <v>0.50078320228002104</v>
      </c>
      <c r="F2568">
        <v>0.132679340668304</v>
      </c>
      <c r="G2568">
        <v>7.8676040162177094E-2</v>
      </c>
      <c r="H2568">
        <v>4.3955274620590901E-2</v>
      </c>
      <c r="I2568">
        <v>3.4432375263938601E-2</v>
      </c>
      <c r="J2568">
        <v>3.9785481316349201E-2</v>
      </c>
      <c r="K2568">
        <v>3.66090912396718E-2</v>
      </c>
      <c r="L2568">
        <v>1205.44319129827</v>
      </c>
      <c r="M2568">
        <v>24.3382404791437</v>
      </c>
      <c r="N2568">
        <v>49.6538664513429</v>
      </c>
      <c r="O2568">
        <v>49.198033016273698</v>
      </c>
      <c r="P2568">
        <v>-0.119998971130547</v>
      </c>
      <c r="Q2568">
        <v>2.97367559344907E-2</v>
      </c>
      <c r="R2568">
        <v>0.98399432627334205</v>
      </c>
      <c r="S2568" t="s">
        <v>6400</v>
      </c>
      <c r="T2568" t="s">
        <v>7662</v>
      </c>
      <c r="U2568" t="s">
        <v>7662</v>
      </c>
      <c r="V2568" t="s">
        <v>7662</v>
      </c>
      <c r="W2568">
        <v>17</v>
      </c>
      <c r="X2568" t="s">
        <v>10230</v>
      </c>
      <c r="Y2568">
        <v>0.34703409956878278</v>
      </c>
      <c r="Z2568" t="str">
        <f>HYPERLINK("Melting_Curves/meltCurve_sp_Q9BW92_SYTM_HUMAN_.pdf", "Melting_Curves/meltCurve_sp_Q9BW92_SYTM_HUMAN_.pdf")</f>
        <v>Melting_Curves/meltCurve_sp_Q9BW92_SYTM_HUMAN_.pdf</v>
      </c>
      <c r="AA2568" t="s">
        <v>14028</v>
      </c>
      <c r="AB2568" t="s">
        <v>17808</v>
      </c>
    </row>
    <row r="2569" spans="1:28" x14ac:dyDescent="0.25">
      <c r="A2569" t="s">
        <v>2573</v>
      </c>
      <c r="B2569">
        <v>0.98876768158843997</v>
      </c>
      <c r="C2569">
        <v>1.01364118609735</v>
      </c>
      <c r="D2569">
        <v>0.97216803419574305</v>
      </c>
      <c r="E2569">
        <v>1.0508369846129499</v>
      </c>
      <c r="F2569">
        <v>0.81701081414236698</v>
      </c>
      <c r="G2569">
        <v>0.68659212684117399</v>
      </c>
      <c r="H2569">
        <v>0.59085605292557397</v>
      </c>
      <c r="I2569">
        <v>0.59903461144932402</v>
      </c>
      <c r="J2569">
        <v>0.11626732409623</v>
      </c>
      <c r="K2569">
        <v>6.0425011854615698E-2</v>
      </c>
      <c r="L2569">
        <v>884.103386350351</v>
      </c>
      <c r="M2569">
        <v>14.279550547207799</v>
      </c>
      <c r="N2569">
        <v>61.913950548030499</v>
      </c>
      <c r="O2569">
        <v>60.737642391540199</v>
      </c>
      <c r="P2569">
        <v>-5.8782719653795702E-2</v>
      </c>
      <c r="Q2569">
        <v>0</v>
      </c>
      <c r="R2569">
        <v>0.91318790225660096</v>
      </c>
      <c r="S2569" t="s">
        <v>6401</v>
      </c>
      <c r="T2569" t="s">
        <v>7662</v>
      </c>
      <c r="U2569" t="s">
        <v>7662</v>
      </c>
      <c r="V2569" t="s">
        <v>7662</v>
      </c>
      <c r="W2569">
        <v>21</v>
      </c>
      <c r="X2569" t="s">
        <v>10231</v>
      </c>
      <c r="Y2569">
        <v>0.72662293684542523</v>
      </c>
      <c r="Z2569" t="str">
        <f>HYPERLINK("Melting_Curves/meltCurve_sp_Q9BWD1_THIC_HUMAN_.pdf", "Melting_Curves/meltCurve_sp_Q9BWD1_THIC_HUMAN_.pdf")</f>
        <v>Melting_Curves/meltCurve_sp_Q9BWD1_THIC_HUMAN_.pdf</v>
      </c>
      <c r="AA2569" t="s">
        <v>14029</v>
      </c>
      <c r="AB2569" t="s">
        <v>17809</v>
      </c>
    </row>
    <row r="2570" spans="1:28" x14ac:dyDescent="0.25">
      <c r="A2570" t="s">
        <v>2574</v>
      </c>
      <c r="B2570">
        <v>0.98876768158843997</v>
      </c>
      <c r="C2570">
        <v>1.05302827113399</v>
      </c>
      <c r="D2570">
        <v>0.90168533188645805</v>
      </c>
      <c r="E2570">
        <v>0.80721659805718304</v>
      </c>
      <c r="F2570">
        <v>0.60986510690867202</v>
      </c>
      <c r="G2570">
        <v>0.48918693521079898</v>
      </c>
      <c r="H2570">
        <v>0.42801947618476599</v>
      </c>
      <c r="I2570">
        <v>0.41561400355758199</v>
      </c>
      <c r="J2570">
        <v>0.38408229666469101</v>
      </c>
      <c r="K2570">
        <v>0.73784652565058495</v>
      </c>
      <c r="L2570">
        <v>1352.49707616621</v>
      </c>
      <c r="M2570">
        <v>26.701381516537001</v>
      </c>
      <c r="N2570">
        <v>58.492798181534802</v>
      </c>
      <c r="O2570">
        <v>50.371142293412298</v>
      </c>
      <c r="P2570">
        <v>-6.8111355100142698E-2</v>
      </c>
      <c r="Q2570">
        <v>0.48604732013829299</v>
      </c>
      <c r="R2570">
        <v>0.83785335770371305</v>
      </c>
      <c r="S2570" t="s">
        <v>6402</v>
      </c>
      <c r="T2570" t="s">
        <v>7662</v>
      </c>
      <c r="U2570" t="s">
        <v>7662</v>
      </c>
      <c r="V2570" t="s">
        <v>7662</v>
      </c>
      <c r="W2570">
        <v>3</v>
      </c>
      <c r="X2570" t="s">
        <v>10232</v>
      </c>
      <c r="Y2570">
        <v>0.67260442501613216</v>
      </c>
      <c r="Z2570" t="str">
        <f>HYPERLINK("Melting_Curves/meltCurve_sp_Q9BWE0_REPI1_HUMAN_.pdf", "Melting_Curves/meltCurve_sp_Q9BWE0_REPI1_HUMAN_.pdf")</f>
        <v>Melting_Curves/meltCurve_sp_Q9BWE0_REPI1_HUMAN_.pdf</v>
      </c>
      <c r="AA2570" t="s">
        <v>14030</v>
      </c>
      <c r="AB2570" t="s">
        <v>17810</v>
      </c>
    </row>
    <row r="2571" spans="1:28" x14ac:dyDescent="0.25">
      <c r="A2571" t="s">
        <v>2575</v>
      </c>
      <c r="B2571">
        <v>0.98876768158843997</v>
      </c>
      <c r="C2571">
        <v>0.97562862918543103</v>
      </c>
      <c r="D2571">
        <v>0.90880707571641495</v>
      </c>
      <c r="E2571">
        <v>0.65645006962140295</v>
      </c>
      <c r="F2571">
        <v>0.60454599663937203</v>
      </c>
      <c r="G2571">
        <v>0.36475428255013898</v>
      </c>
      <c r="H2571">
        <v>0.25098049821163398</v>
      </c>
      <c r="I2571">
        <v>0.273747465543208</v>
      </c>
      <c r="J2571">
        <v>0.302678502434446</v>
      </c>
      <c r="K2571">
        <v>0.310343657043954</v>
      </c>
      <c r="L2571">
        <v>842.13557056903198</v>
      </c>
      <c r="M2571">
        <v>16.436987744212999</v>
      </c>
      <c r="N2571">
        <v>53.680382612362102</v>
      </c>
      <c r="O2571">
        <v>50.493845597151299</v>
      </c>
      <c r="P2571">
        <v>-5.9934300316754202E-2</v>
      </c>
      <c r="Q2571">
        <v>0.263587749887364</v>
      </c>
      <c r="R2571">
        <v>0.98326171823697595</v>
      </c>
      <c r="S2571" t="s">
        <v>6403</v>
      </c>
      <c r="T2571" t="s">
        <v>7662</v>
      </c>
      <c r="U2571" t="s">
        <v>7662</v>
      </c>
      <c r="V2571" t="s">
        <v>7662</v>
      </c>
      <c r="W2571">
        <v>3</v>
      </c>
      <c r="X2571" t="s">
        <v>10233</v>
      </c>
      <c r="Y2571">
        <v>0.55385364730861808</v>
      </c>
      <c r="Z2571" t="str">
        <f>HYPERLINK("Melting_Curves/meltCurve_sp_Q9BWF3_4_RBM4_HUMAN_.pdf", "Melting_Curves/meltCurve_sp_Q9BWF3_4_RBM4_HUMAN_.pdf")</f>
        <v>Melting_Curves/meltCurve_sp_Q9BWF3_4_RBM4_HUMAN_.pdf</v>
      </c>
      <c r="AA2571" t="s">
        <v>14031</v>
      </c>
      <c r="AB2571" t="s">
        <v>17811</v>
      </c>
    </row>
    <row r="2572" spans="1:28" x14ac:dyDescent="0.25">
      <c r="A2572" t="s">
        <v>2576</v>
      </c>
      <c r="B2572">
        <v>0.98876768158843997</v>
      </c>
      <c r="C2572">
        <v>0.95658739614851895</v>
      </c>
      <c r="D2572">
        <v>0.93666275521997699</v>
      </c>
      <c r="E2572">
        <v>0.71082129395023297</v>
      </c>
      <c r="F2572">
        <v>0.37404876178719598</v>
      </c>
      <c r="G2572">
        <v>0.11622002930447201</v>
      </c>
      <c r="H2572">
        <v>6.2798949664537404E-2</v>
      </c>
      <c r="I2572">
        <v>5.2494883938438798E-2</v>
      </c>
      <c r="J2572">
        <v>3.8082312830515101E-2</v>
      </c>
      <c r="K2572">
        <v>2.5456652255641601E-2</v>
      </c>
      <c r="L2572">
        <v>1228.92801288745</v>
      </c>
      <c r="M2572">
        <v>23.779076226352402</v>
      </c>
      <c r="N2572">
        <v>51.825777955243097</v>
      </c>
      <c r="O2572">
        <v>51.319722893939399</v>
      </c>
      <c r="P2572">
        <v>-0.112118959643127</v>
      </c>
      <c r="Q2572">
        <v>3.2120590639373399E-2</v>
      </c>
      <c r="R2572">
        <v>0.99871512561164699</v>
      </c>
      <c r="S2572" t="s">
        <v>6404</v>
      </c>
      <c r="T2572" t="s">
        <v>7662</v>
      </c>
      <c r="U2572" t="s">
        <v>7662</v>
      </c>
      <c r="V2572" t="s">
        <v>7662</v>
      </c>
      <c r="W2572">
        <v>2</v>
      </c>
      <c r="X2572" t="s">
        <v>10234</v>
      </c>
      <c r="Y2572">
        <v>0.41868305283207868</v>
      </c>
      <c r="Z2572" t="str">
        <f>HYPERLINK("Melting_Curves/meltCurve_sp_Q9BWH6_RPAP1_HUMAN_.pdf", "Melting_Curves/meltCurve_sp_Q9BWH6_RPAP1_HUMAN_.pdf")</f>
        <v>Melting_Curves/meltCurve_sp_Q9BWH6_RPAP1_HUMAN_.pdf</v>
      </c>
      <c r="AA2572" t="s">
        <v>14032</v>
      </c>
      <c r="AB2572" t="s">
        <v>17812</v>
      </c>
    </row>
    <row r="2573" spans="1:28" x14ac:dyDescent="0.25">
      <c r="A2573" t="s">
        <v>2577</v>
      </c>
      <c r="B2573">
        <v>0.98876768158843997</v>
      </c>
      <c r="C2573">
        <v>1.03858842320475</v>
      </c>
      <c r="D2573">
        <v>0.90419529692020195</v>
      </c>
      <c r="E2573">
        <v>0.72600363060724205</v>
      </c>
      <c r="F2573">
        <v>0.72121768192848701</v>
      </c>
      <c r="G2573">
        <v>0.38166057199009501</v>
      </c>
      <c r="H2573">
        <v>0.21855099261757099</v>
      </c>
      <c r="I2573">
        <v>0.224909005058613</v>
      </c>
      <c r="J2573">
        <v>0.208180852635621</v>
      </c>
      <c r="K2573">
        <v>0.32741319116701001</v>
      </c>
      <c r="L2573">
        <v>913.17300263159098</v>
      </c>
      <c r="M2573">
        <v>17.1812777869422</v>
      </c>
      <c r="N2573">
        <v>54.918762924891297</v>
      </c>
      <c r="O2573">
        <v>52.4449703739649</v>
      </c>
      <c r="P2573">
        <v>-6.4496809635018304E-2</v>
      </c>
      <c r="Q2573">
        <v>0.21255384388272799</v>
      </c>
      <c r="R2573">
        <v>0.96191945097445897</v>
      </c>
      <c r="S2573" t="s">
        <v>6405</v>
      </c>
      <c r="T2573" t="s">
        <v>7662</v>
      </c>
      <c r="U2573" t="s">
        <v>7662</v>
      </c>
      <c r="V2573" t="s">
        <v>7662</v>
      </c>
      <c r="W2573">
        <v>11</v>
      </c>
      <c r="X2573" t="s">
        <v>10235</v>
      </c>
      <c r="Y2573">
        <v>0.57152289844862358</v>
      </c>
      <c r="Z2573" t="str">
        <f>HYPERLINK("Melting_Curves/meltCurve_sp_Q9BWU0_NADAP_HUMAN_.pdf", "Melting_Curves/meltCurve_sp_Q9BWU0_NADAP_HUMAN_.pdf")</f>
        <v>Melting_Curves/meltCurve_sp_Q9BWU0_NADAP_HUMAN_.pdf</v>
      </c>
      <c r="AA2573" t="s">
        <v>14033</v>
      </c>
      <c r="AB2573" t="s">
        <v>17813</v>
      </c>
    </row>
    <row r="2574" spans="1:28" x14ac:dyDescent="0.25">
      <c r="A2574" t="s">
        <v>2578</v>
      </c>
      <c r="B2574">
        <v>0.98876768158843997</v>
      </c>
      <c r="C2574">
        <v>1.0097342408158201</v>
      </c>
      <c r="D2574">
        <v>0.84564330228929796</v>
      </c>
      <c r="E2574">
        <v>0.62305944713491002</v>
      </c>
      <c r="F2574">
        <v>0.65810873335768205</v>
      </c>
      <c r="G2574">
        <v>0.46980293373675702</v>
      </c>
      <c r="H2574">
        <v>0.32901930884519198</v>
      </c>
      <c r="I2574">
        <v>0.35836488158265101</v>
      </c>
      <c r="J2574">
        <v>0.39123220270957698</v>
      </c>
      <c r="K2574">
        <v>0.435554017815312</v>
      </c>
      <c r="L2574">
        <v>737.21503121202704</v>
      </c>
      <c r="M2574">
        <v>14.700915747042</v>
      </c>
      <c r="N2574">
        <v>55.107092540608598</v>
      </c>
      <c r="O2574">
        <v>49.247053378252801</v>
      </c>
      <c r="P2574">
        <v>-4.7256864391689801E-2</v>
      </c>
      <c r="Q2574">
        <v>0.36684027700774102</v>
      </c>
      <c r="R2574">
        <v>0.95247284393049403</v>
      </c>
      <c r="S2574" t="s">
        <v>6406</v>
      </c>
      <c r="T2574" t="s">
        <v>7662</v>
      </c>
      <c r="U2574" t="s">
        <v>7662</v>
      </c>
      <c r="V2574" t="s">
        <v>7662</v>
      </c>
      <c r="W2574">
        <v>21</v>
      </c>
      <c r="X2574" t="s">
        <v>10236</v>
      </c>
      <c r="Y2574">
        <v>0.59657278741350706</v>
      </c>
      <c r="Z2574" t="str">
        <f>HYPERLINK("Melting_Curves/meltCurve_sp_Q9BX66_9_SRBS1_HUMAN_.pdf", "Melting_Curves/meltCurve_sp_Q9BX66_9_SRBS1_HUMAN_.pdf")</f>
        <v>Melting_Curves/meltCurve_sp_Q9BX66_9_SRBS1_HUMAN_.pdf</v>
      </c>
      <c r="AA2574" t="s">
        <v>14034</v>
      </c>
      <c r="AB2574" t="s">
        <v>17814</v>
      </c>
    </row>
    <row r="2575" spans="1:28" x14ac:dyDescent="0.25">
      <c r="A2575" t="s">
        <v>2579</v>
      </c>
      <c r="B2575">
        <v>0.98876768158843997</v>
      </c>
      <c r="C2575">
        <v>1.21442493840291</v>
      </c>
      <c r="D2575">
        <v>0.89329060975364705</v>
      </c>
      <c r="E2575">
        <v>0.86201964049888102</v>
      </c>
      <c r="F2575">
        <v>1.17477032249816</v>
      </c>
      <c r="G2575">
        <v>0.77030730144668202</v>
      </c>
      <c r="H2575">
        <v>0.57451053222150605</v>
      </c>
      <c r="I2575">
        <v>0.52703622249605797</v>
      </c>
      <c r="J2575">
        <v>0.57567540231196301</v>
      </c>
      <c r="K2575">
        <v>0.63396589460950004</v>
      </c>
      <c r="L2575">
        <v>14239.9342195524</v>
      </c>
      <c r="M2575">
        <v>250</v>
      </c>
      <c r="O2575">
        <v>56.956091462993399</v>
      </c>
      <c r="P2575">
        <v>-0.4632987675911</v>
      </c>
      <c r="Q2575">
        <v>0.57779700604710904</v>
      </c>
      <c r="R2575">
        <v>0.79849614910578803</v>
      </c>
      <c r="S2575" t="s">
        <v>6407</v>
      </c>
      <c r="T2575" t="s">
        <v>7662</v>
      </c>
      <c r="U2575" t="s">
        <v>7662</v>
      </c>
      <c r="V2575" t="s">
        <v>7662</v>
      </c>
      <c r="W2575">
        <v>7</v>
      </c>
      <c r="X2575" t="s">
        <v>10237</v>
      </c>
      <c r="Y2575">
        <v>0.81652093380349455</v>
      </c>
      <c r="Z2575" t="str">
        <f>HYPERLINK("Melting_Curves/meltCurve_sp_Q9BX68_HINT2_HUMAN_.pdf", "Melting_Curves/meltCurve_sp_Q9BX68_HINT2_HUMAN_.pdf")</f>
        <v>Melting_Curves/meltCurve_sp_Q9BX68_HINT2_HUMAN_.pdf</v>
      </c>
      <c r="AA2575" t="s">
        <v>14035</v>
      </c>
      <c r="AB2575" t="s">
        <v>17815</v>
      </c>
    </row>
    <row r="2576" spans="1:28" x14ac:dyDescent="0.25">
      <c r="A2576" t="s">
        <v>2580</v>
      </c>
      <c r="B2576">
        <v>0.98876768158843997</v>
      </c>
      <c r="C2576">
        <v>0.78896480168725702</v>
      </c>
      <c r="D2576">
        <v>0.69792733845434096</v>
      </c>
      <c r="E2576">
        <v>0.51242035646188</v>
      </c>
      <c r="F2576">
        <v>0.44153375654170302</v>
      </c>
      <c r="G2576">
        <v>0.70091719367844496</v>
      </c>
      <c r="H2576">
        <v>0.2713643360927</v>
      </c>
      <c r="I2576">
        <v>0.56599107025591899</v>
      </c>
      <c r="J2576">
        <v>0.226381818619521</v>
      </c>
      <c r="K2576">
        <v>0.68132608065174005</v>
      </c>
      <c r="L2576">
        <v>854.69629551210301</v>
      </c>
      <c r="M2576">
        <v>19.162754958114999</v>
      </c>
      <c r="N2576">
        <v>52.747315535141702</v>
      </c>
      <c r="O2576">
        <v>44.124747731613702</v>
      </c>
      <c r="P2576">
        <v>-5.7103339740671201E-2</v>
      </c>
      <c r="Q2576">
        <v>0.47406865991774599</v>
      </c>
      <c r="R2576">
        <v>0.57147179601140696</v>
      </c>
      <c r="S2576" t="s">
        <v>6408</v>
      </c>
      <c r="T2576" t="s">
        <v>7662</v>
      </c>
      <c r="U2576" t="s">
        <v>7662</v>
      </c>
      <c r="V2576" t="s">
        <v>7662</v>
      </c>
      <c r="W2576">
        <v>1</v>
      </c>
      <c r="X2576" t="s">
        <v>10238</v>
      </c>
      <c r="Y2576">
        <v>0.56506709330909766</v>
      </c>
      <c r="Z2576" t="str">
        <f>HYPERLINK("Melting_Curves/meltCurve_sp_Q9BX95_SGPP1_HUMAN_.pdf", "Melting_Curves/meltCurve_sp_Q9BX95_SGPP1_HUMAN_.pdf")</f>
        <v>Melting_Curves/meltCurve_sp_Q9BX95_SGPP1_HUMAN_.pdf</v>
      </c>
      <c r="AA2576" t="s">
        <v>14036</v>
      </c>
      <c r="AB2576" t="s">
        <v>17816</v>
      </c>
    </row>
    <row r="2577" spans="1:28" x14ac:dyDescent="0.25">
      <c r="A2577" t="s">
        <v>2581</v>
      </c>
      <c r="B2577">
        <v>0.98876768158843997</v>
      </c>
      <c r="C2577">
        <v>1.0125964112611601</v>
      </c>
      <c r="D2577">
        <v>0.79860268022981495</v>
      </c>
      <c r="E2577">
        <v>0.48960075116903101</v>
      </c>
      <c r="F2577">
        <v>0.34027016766963702</v>
      </c>
      <c r="G2577">
        <v>0.22902671211193701</v>
      </c>
      <c r="H2577">
        <v>0.20044166774369199</v>
      </c>
      <c r="I2577">
        <v>0.28346227599820301</v>
      </c>
      <c r="J2577">
        <v>0.420562176503679</v>
      </c>
      <c r="K2577">
        <v>0.49217409684234797</v>
      </c>
      <c r="L2577">
        <v>1397.42800504614</v>
      </c>
      <c r="M2577">
        <v>29.3494394590154</v>
      </c>
      <c r="N2577">
        <v>49.377404660738698</v>
      </c>
      <c r="O2577">
        <v>47.394043352141303</v>
      </c>
      <c r="P2577">
        <v>-0.10453802513640501</v>
      </c>
      <c r="Q2577">
        <v>0.324764689094033</v>
      </c>
      <c r="R2577">
        <v>0.917440827697801</v>
      </c>
      <c r="S2577" t="s">
        <v>6409</v>
      </c>
      <c r="T2577" t="s">
        <v>7662</v>
      </c>
      <c r="U2577" t="s">
        <v>7662</v>
      </c>
      <c r="V2577" t="s">
        <v>7662</v>
      </c>
      <c r="W2577">
        <v>6</v>
      </c>
      <c r="X2577" t="s">
        <v>10239</v>
      </c>
      <c r="Y2577">
        <v>0.50037212586589386</v>
      </c>
      <c r="Z2577" t="str">
        <f>HYPERLINK("Melting_Curves/meltCurve_sp_Q9BXI6_TB10A_HUMAN_.pdf", "Melting_Curves/meltCurve_sp_Q9BXI6_TB10A_HUMAN_.pdf")</f>
        <v>Melting_Curves/meltCurve_sp_Q9BXI6_TB10A_HUMAN_.pdf</v>
      </c>
      <c r="AA2577" t="s">
        <v>14037</v>
      </c>
      <c r="AB2577" t="s">
        <v>17817</v>
      </c>
    </row>
    <row r="2578" spans="1:28" x14ac:dyDescent="0.25">
      <c r="A2578" t="s">
        <v>2582</v>
      </c>
      <c r="B2578">
        <v>0.98876768158843997</v>
      </c>
      <c r="C2578">
        <v>0.94952056296480303</v>
      </c>
      <c r="D2578">
        <v>0.97753366894401506</v>
      </c>
      <c r="E2578">
        <v>0.85688990587089897</v>
      </c>
      <c r="F2578">
        <v>0.25119741934283002</v>
      </c>
      <c r="G2578">
        <v>0.13009107965241401</v>
      </c>
      <c r="H2578">
        <v>8.9924219676661907E-2</v>
      </c>
      <c r="I2578">
        <v>6.7887558174085399E-2</v>
      </c>
      <c r="J2578">
        <v>0.13257733253791201</v>
      </c>
      <c r="K2578">
        <v>6.6763916880182905E-2</v>
      </c>
      <c r="L2578">
        <v>2836.8324324739701</v>
      </c>
      <c r="M2578">
        <v>55.080779396799002</v>
      </c>
      <c r="N2578">
        <v>51.703573545204797</v>
      </c>
      <c r="O2578">
        <v>51.435352365641698</v>
      </c>
      <c r="P2578">
        <v>-0.24198024007237501</v>
      </c>
      <c r="Q2578">
        <v>9.6139387146515695E-2</v>
      </c>
      <c r="R2578">
        <v>0.99573364638403095</v>
      </c>
      <c r="S2578" t="s">
        <v>6410</v>
      </c>
      <c r="T2578" t="s">
        <v>7662</v>
      </c>
      <c r="U2578" t="s">
        <v>7662</v>
      </c>
      <c r="V2578" t="s">
        <v>7662</v>
      </c>
      <c r="W2578">
        <v>10</v>
      </c>
      <c r="X2578" t="s">
        <v>10240</v>
      </c>
      <c r="Y2578">
        <v>0.44440389514271372</v>
      </c>
      <c r="Z2578" t="str">
        <f>HYPERLINK("Melting_Curves/meltCurve_sp_Q9BXJ9_NAA15_HUMAN_.pdf", "Melting_Curves/meltCurve_sp_Q9BXJ9_NAA15_HUMAN_.pdf")</f>
        <v>Melting_Curves/meltCurve_sp_Q9BXJ9_NAA15_HUMAN_.pdf</v>
      </c>
      <c r="AA2578" t="s">
        <v>14038</v>
      </c>
      <c r="AB2578" t="s">
        <v>17818</v>
      </c>
    </row>
    <row r="2579" spans="1:28" x14ac:dyDescent="0.25">
      <c r="A2579" t="s">
        <v>2583</v>
      </c>
      <c r="B2579">
        <v>0.98876768158843997</v>
      </c>
      <c r="C2579">
        <v>0.96169974428116101</v>
      </c>
      <c r="D2579">
        <v>0.868311157057855</v>
      </c>
      <c r="E2579">
        <v>0.70687766622108705</v>
      </c>
      <c r="F2579">
        <v>0.62900642265592399</v>
      </c>
      <c r="G2579">
        <v>0.443451618033052</v>
      </c>
      <c r="H2579">
        <v>0.26353690058929002</v>
      </c>
      <c r="I2579">
        <v>0.12629636254617599</v>
      </c>
      <c r="J2579">
        <v>8.1149415214553405E-2</v>
      </c>
      <c r="K2579">
        <v>6.7731676983686803E-2</v>
      </c>
      <c r="L2579">
        <v>615.82023218402799</v>
      </c>
      <c r="M2579">
        <v>11.216751874077</v>
      </c>
      <c r="N2579">
        <v>54.901832447177704</v>
      </c>
      <c r="O2579">
        <v>53.243549505189499</v>
      </c>
      <c r="P2579">
        <v>-5.2683668610962603E-2</v>
      </c>
      <c r="Q2579">
        <v>0</v>
      </c>
      <c r="R2579">
        <v>0.99232812529329595</v>
      </c>
      <c r="S2579" t="s">
        <v>6411</v>
      </c>
      <c r="T2579" t="s">
        <v>7662</v>
      </c>
      <c r="U2579" t="s">
        <v>7662</v>
      </c>
      <c r="V2579" t="s">
        <v>7662</v>
      </c>
      <c r="W2579">
        <v>6</v>
      </c>
      <c r="X2579" t="s">
        <v>10241</v>
      </c>
      <c r="Y2579">
        <v>0.52153795627015909</v>
      </c>
      <c r="Z2579" t="str">
        <f>HYPERLINK("Melting_Curves/meltCurve_sp_Q9BXK5_B2L13_HUMAN_.pdf", "Melting_Curves/meltCurve_sp_Q9BXK5_B2L13_HUMAN_.pdf")</f>
        <v>Melting_Curves/meltCurve_sp_Q9BXK5_B2L13_HUMAN_.pdf</v>
      </c>
      <c r="AA2579" t="s">
        <v>14039</v>
      </c>
      <c r="AB2579" t="s">
        <v>17819</v>
      </c>
    </row>
    <row r="2580" spans="1:28" x14ac:dyDescent="0.25">
      <c r="A2580" t="s">
        <v>2584</v>
      </c>
      <c r="B2580">
        <v>0.98876768158843997</v>
      </c>
      <c r="C2580">
        <v>0.91439299860822498</v>
      </c>
      <c r="D2580">
        <v>0.77426729080767098</v>
      </c>
      <c r="E2580">
        <v>0.178072243597478</v>
      </c>
      <c r="F2580">
        <v>8.70206274965276E-2</v>
      </c>
      <c r="G2580">
        <v>5.23719075370431E-2</v>
      </c>
      <c r="H2580">
        <v>3.21470920678728E-2</v>
      </c>
      <c r="I2580">
        <v>3.3240686113851399E-2</v>
      </c>
      <c r="J2580">
        <v>3.1718881000777098E-2</v>
      </c>
      <c r="K2580">
        <v>3.8165774913627902E-2</v>
      </c>
      <c r="L2580">
        <v>1550.92418353274</v>
      </c>
      <c r="M2580">
        <v>32.638741868034799</v>
      </c>
      <c r="N2580">
        <v>47.631533602548103</v>
      </c>
      <c r="O2580">
        <v>47.340576974700198</v>
      </c>
      <c r="P2580">
        <v>-0.165905647426693</v>
      </c>
      <c r="Q2580">
        <v>3.7458916675520003E-2</v>
      </c>
      <c r="R2580">
        <v>0.996871138630542</v>
      </c>
      <c r="S2580" t="s">
        <v>6412</v>
      </c>
      <c r="T2580" t="s">
        <v>7662</v>
      </c>
      <c r="U2580" t="s">
        <v>7662</v>
      </c>
      <c r="V2580" t="s">
        <v>7662</v>
      </c>
      <c r="W2580">
        <v>12</v>
      </c>
      <c r="X2580" t="s">
        <v>10242</v>
      </c>
      <c r="Y2580">
        <v>0.28350458961150909</v>
      </c>
      <c r="Z2580" t="str">
        <f>HYPERLINK("Melting_Curves/meltCurve_sp_Q9BXP5_5_SRRT_HUMAN_.pdf", "Melting_Curves/meltCurve_sp_Q9BXP5_5_SRRT_HUMAN_.pdf")</f>
        <v>Melting_Curves/meltCurve_sp_Q9BXP5_5_SRRT_HUMAN_.pdf</v>
      </c>
      <c r="AA2580" t="s">
        <v>14040</v>
      </c>
      <c r="AB2580" t="s">
        <v>17820</v>
      </c>
    </row>
    <row r="2581" spans="1:28" x14ac:dyDescent="0.25">
      <c r="A2581" t="s">
        <v>2585</v>
      </c>
      <c r="B2581">
        <v>0.98876768158843997</v>
      </c>
      <c r="C2581">
        <v>1.01014985327933</v>
      </c>
      <c r="D2581">
        <v>0.93894767492764197</v>
      </c>
      <c r="E2581">
        <v>0.823148145869952</v>
      </c>
      <c r="F2581">
        <v>0.55434207167981198</v>
      </c>
      <c r="G2581">
        <v>0.25610583166948298</v>
      </c>
      <c r="H2581">
        <v>0.15605591107825201</v>
      </c>
      <c r="I2581">
        <v>0.15065500163076401</v>
      </c>
      <c r="J2581">
        <v>0.12433238050161</v>
      </c>
      <c r="K2581">
        <v>6.2483637872335802E-2</v>
      </c>
      <c r="L2581">
        <v>1127.1388766738501</v>
      </c>
      <c r="M2581">
        <v>21.230262537110001</v>
      </c>
      <c r="N2581">
        <v>53.638857875770398</v>
      </c>
      <c r="O2581">
        <v>52.626830982165401</v>
      </c>
      <c r="P2581">
        <v>-9.1027186953813094E-2</v>
      </c>
      <c r="Q2581">
        <v>9.7448892718549701E-2</v>
      </c>
      <c r="R2581">
        <v>0.99700158516272597</v>
      </c>
      <c r="S2581" t="s">
        <v>6413</v>
      </c>
      <c r="T2581" t="s">
        <v>7662</v>
      </c>
      <c r="U2581" t="s">
        <v>7662</v>
      </c>
      <c r="V2581" t="s">
        <v>7662</v>
      </c>
      <c r="W2581">
        <v>8</v>
      </c>
      <c r="X2581" t="s">
        <v>10243</v>
      </c>
      <c r="Y2581">
        <v>0.50248559474682575</v>
      </c>
      <c r="Z2581" t="str">
        <f>HYPERLINK("Melting_Curves/meltCurve_sp_Q9BXR0_TGT_HUMAN_.pdf", "Melting_Curves/meltCurve_sp_Q9BXR0_TGT_HUMAN_.pdf")</f>
        <v>Melting_Curves/meltCurve_sp_Q9BXR0_TGT_HUMAN_.pdf</v>
      </c>
      <c r="AA2581" t="s">
        <v>14041</v>
      </c>
      <c r="AB2581" t="s">
        <v>17821</v>
      </c>
    </row>
    <row r="2582" spans="1:28" x14ac:dyDescent="0.25">
      <c r="A2582" t="s">
        <v>2586</v>
      </c>
      <c r="B2582">
        <v>0.98876768158843997</v>
      </c>
      <c r="C2582">
        <v>0.97754741801963296</v>
      </c>
      <c r="D2582">
        <v>0.84840829063038103</v>
      </c>
      <c r="E2582">
        <v>0.629552968177999</v>
      </c>
      <c r="F2582">
        <v>0.66548888252487204</v>
      </c>
      <c r="G2582">
        <v>0.37032165163236802</v>
      </c>
      <c r="H2582">
        <v>0.30319729958914399</v>
      </c>
      <c r="I2582">
        <v>0.24657013608633599</v>
      </c>
      <c r="J2582">
        <v>0.355056847675631</v>
      </c>
      <c r="K2582">
        <v>0.52446713590302796</v>
      </c>
      <c r="L2582">
        <v>806.78456260951202</v>
      </c>
      <c r="M2582">
        <v>16.098723113720201</v>
      </c>
      <c r="N2582">
        <v>54.028407324485897</v>
      </c>
      <c r="O2582">
        <v>49.360672024164799</v>
      </c>
      <c r="P2582">
        <v>-5.3474436405940497E-2</v>
      </c>
      <c r="Q2582">
        <v>0.34421331966157198</v>
      </c>
      <c r="R2582">
        <v>0.89491320756639503</v>
      </c>
      <c r="S2582" t="s">
        <v>6414</v>
      </c>
      <c r="T2582" t="s">
        <v>7662</v>
      </c>
      <c r="U2582" t="s">
        <v>7662</v>
      </c>
      <c r="V2582" t="s">
        <v>7662</v>
      </c>
      <c r="W2582">
        <v>1</v>
      </c>
      <c r="X2582" t="s">
        <v>10244</v>
      </c>
      <c r="Y2582">
        <v>0.57905082593397617</v>
      </c>
      <c r="Z2582" t="str">
        <f>HYPERLINK("Melting_Curves/meltCurve_sp_Q9BXS6_7_NUSAP_HUMAN_.pdf", "Melting_Curves/meltCurve_sp_Q9BXS6_7_NUSAP_HUMAN_.pdf")</f>
        <v>Melting_Curves/meltCurve_sp_Q9BXS6_7_NUSAP_HUMAN_.pdf</v>
      </c>
      <c r="AA2582" t="s">
        <v>14042</v>
      </c>
      <c r="AB2582" t="s">
        <v>17822</v>
      </c>
    </row>
    <row r="2583" spans="1:28" x14ac:dyDescent="0.25">
      <c r="A2583" t="s">
        <v>2587</v>
      </c>
      <c r="B2583">
        <v>0.98876768158843997</v>
      </c>
      <c r="C2583">
        <v>1.1016415059297799</v>
      </c>
      <c r="D2583">
        <v>1.0258522722110499</v>
      </c>
      <c r="E2583">
        <v>0.94555853102296095</v>
      </c>
      <c r="F2583">
        <v>0.48213412349214801</v>
      </c>
      <c r="G2583">
        <v>0.32622440459532798</v>
      </c>
      <c r="H2583">
        <v>0.241128142842711</v>
      </c>
      <c r="I2583">
        <v>0.115338283518816</v>
      </c>
      <c r="J2583">
        <v>0.38758852946227101</v>
      </c>
      <c r="K2583">
        <v>4.9151015309341697E-2</v>
      </c>
      <c r="L2583">
        <v>2442.4796518042399</v>
      </c>
      <c r="M2583">
        <v>46.656103125353098</v>
      </c>
      <c r="N2583">
        <v>53.001350189551999</v>
      </c>
      <c r="O2583">
        <v>52.254796023966101</v>
      </c>
      <c r="P2583">
        <v>-0.17455049871751499</v>
      </c>
      <c r="Q2583">
        <v>0.21801523977439599</v>
      </c>
      <c r="R2583">
        <v>0.94057358093520804</v>
      </c>
      <c r="S2583" t="s">
        <v>6415</v>
      </c>
      <c r="T2583" t="s">
        <v>7662</v>
      </c>
      <c r="U2583" t="s">
        <v>7662</v>
      </c>
      <c r="V2583" t="s">
        <v>7662</v>
      </c>
      <c r="W2583">
        <v>2</v>
      </c>
      <c r="X2583" t="s">
        <v>10245</v>
      </c>
      <c r="Y2583">
        <v>0.54202574662645353</v>
      </c>
      <c r="Z2583" t="str">
        <f>HYPERLINK("Melting_Curves/meltCurve_sp_Q9BXV9_CN142_HUMAN_.pdf", "Melting_Curves/meltCurve_sp_Q9BXV9_CN142_HUMAN_.pdf")</f>
        <v>Melting_Curves/meltCurve_sp_Q9BXV9_CN142_HUMAN_.pdf</v>
      </c>
      <c r="AA2583" t="s">
        <v>14043</v>
      </c>
      <c r="AB2583" t="s">
        <v>17823</v>
      </c>
    </row>
    <row r="2584" spans="1:28" x14ac:dyDescent="0.25">
      <c r="A2584" t="s">
        <v>2588</v>
      </c>
      <c r="B2584">
        <v>0.98876768158843997</v>
      </c>
      <c r="C2584">
        <v>1.01721235656553</v>
      </c>
      <c r="D2584">
        <v>0.83587843658804195</v>
      </c>
      <c r="E2584">
        <v>0.715831885359002</v>
      </c>
      <c r="F2584">
        <v>0.46633440895106798</v>
      </c>
      <c r="G2584">
        <v>0.112556320471926</v>
      </c>
      <c r="H2584">
        <v>7.7302647709571598E-2</v>
      </c>
      <c r="I2584">
        <v>6.1263931024064598E-2</v>
      </c>
      <c r="J2584">
        <v>8.5691171933611004E-2</v>
      </c>
      <c r="K2584">
        <v>6.2658543998751107E-2</v>
      </c>
      <c r="L2584">
        <v>1030.11082704807</v>
      </c>
      <c r="M2584">
        <v>19.843403569758301</v>
      </c>
      <c r="N2584">
        <v>52.1423580711852</v>
      </c>
      <c r="O2584">
        <v>51.393426436934597</v>
      </c>
      <c r="P2584">
        <v>-9.24792467790687E-2</v>
      </c>
      <c r="Q2584">
        <v>4.1965817023743197E-2</v>
      </c>
      <c r="R2584">
        <v>0.98785952931320398</v>
      </c>
      <c r="S2584" t="s">
        <v>6416</v>
      </c>
      <c r="T2584" t="s">
        <v>7662</v>
      </c>
      <c r="U2584" t="s">
        <v>7662</v>
      </c>
      <c r="V2584" t="s">
        <v>7662</v>
      </c>
      <c r="W2584">
        <v>2</v>
      </c>
      <c r="X2584" t="s">
        <v>10246</v>
      </c>
      <c r="Y2584">
        <v>0.43582067707463418</v>
      </c>
      <c r="Z2584" t="str">
        <f>HYPERLINK("Melting_Curves/meltCurve_sp_Q9BXW6_2_OSBL1_HUMAN_.pdf", "Melting_Curves/meltCurve_sp_Q9BXW6_2_OSBL1_HUMAN_.pdf")</f>
        <v>Melting_Curves/meltCurve_sp_Q9BXW6_2_OSBL1_HUMAN_.pdf</v>
      </c>
      <c r="AA2584" t="s">
        <v>14044</v>
      </c>
      <c r="AB2584" t="s">
        <v>17824</v>
      </c>
    </row>
    <row r="2585" spans="1:28" x14ac:dyDescent="0.25">
      <c r="A2585" t="s">
        <v>2589</v>
      </c>
      <c r="B2585">
        <v>0.98876768158843997</v>
      </c>
      <c r="C2585">
        <v>0.86576427546200097</v>
      </c>
      <c r="D2585">
        <v>0.57579676110287104</v>
      </c>
      <c r="E2585">
        <v>0.15331294966484699</v>
      </c>
      <c r="F2585">
        <v>0.111001656091338</v>
      </c>
      <c r="G2585">
        <v>5.5047837956430902E-2</v>
      </c>
      <c r="H2585">
        <v>4.2947790481744803E-2</v>
      </c>
      <c r="I2585">
        <v>4.4559750963342401E-2</v>
      </c>
      <c r="J2585">
        <v>5.5185326374045898E-2</v>
      </c>
      <c r="K2585">
        <v>5.2818097419247402E-2</v>
      </c>
      <c r="L2585">
        <v>1154.8526907632399</v>
      </c>
      <c r="M2585">
        <v>24.952179328623899</v>
      </c>
      <c r="N2585">
        <v>46.474358124718798</v>
      </c>
      <c r="O2585">
        <v>45.988438083496703</v>
      </c>
      <c r="P2585">
        <v>-0.12901172371588199</v>
      </c>
      <c r="Q2585">
        <v>4.8905957342990698E-2</v>
      </c>
      <c r="R2585">
        <v>0.99848712615880497</v>
      </c>
      <c r="S2585" t="s">
        <v>6417</v>
      </c>
      <c r="T2585" t="s">
        <v>7662</v>
      </c>
      <c r="U2585" t="s">
        <v>7662</v>
      </c>
      <c r="V2585" t="s">
        <v>7662</v>
      </c>
      <c r="W2585">
        <v>10</v>
      </c>
      <c r="X2585" t="s">
        <v>10247</v>
      </c>
      <c r="Y2585">
        <v>0.25679623142286589</v>
      </c>
      <c r="Z2585" t="str">
        <f>HYPERLINK("Melting_Curves/meltCurve_sp_Q9BXW7_2_CECR5_HUMAN_.pdf", "Melting_Curves/meltCurve_sp_Q9BXW7_2_CECR5_HUMAN_.pdf")</f>
        <v>Melting_Curves/meltCurve_sp_Q9BXW7_2_CECR5_HUMAN_.pdf</v>
      </c>
      <c r="AA2585" t="s">
        <v>14045</v>
      </c>
      <c r="AB2585" t="s">
        <v>17825</v>
      </c>
    </row>
    <row r="2586" spans="1:28" x14ac:dyDescent="0.25">
      <c r="A2586" t="s">
        <v>2590</v>
      </c>
      <c r="B2586">
        <v>0.98876768158843997</v>
      </c>
      <c r="C2586">
        <v>0.94335014211649004</v>
      </c>
      <c r="D2586">
        <v>0.76614807855378098</v>
      </c>
      <c r="E2586">
        <v>0.72129856225024502</v>
      </c>
      <c r="F2586">
        <v>0.66597785518909303</v>
      </c>
      <c r="G2586">
        <v>0.52743866676946305</v>
      </c>
      <c r="H2586">
        <v>0.39846755022518898</v>
      </c>
      <c r="I2586">
        <v>0.39646954394026102</v>
      </c>
      <c r="J2586">
        <v>0.219637664705538</v>
      </c>
      <c r="K2586">
        <v>0.13957583105611501</v>
      </c>
      <c r="L2586">
        <v>411.72037011911198</v>
      </c>
      <c r="M2586">
        <v>7.1965003622118697</v>
      </c>
      <c r="N2586">
        <v>57.211192856915901</v>
      </c>
      <c r="O2586">
        <v>53.288404550363403</v>
      </c>
      <c r="P2586">
        <v>-3.3818582551789302E-2</v>
      </c>
      <c r="Q2586">
        <v>0</v>
      </c>
      <c r="R2586">
        <v>0.968704806423347</v>
      </c>
      <c r="S2586" t="s">
        <v>6418</v>
      </c>
      <c r="T2586" t="s">
        <v>7662</v>
      </c>
      <c r="U2586" t="s">
        <v>7662</v>
      </c>
      <c r="V2586" t="s">
        <v>7662</v>
      </c>
      <c r="W2586">
        <v>3</v>
      </c>
      <c r="X2586" t="s">
        <v>10248</v>
      </c>
      <c r="Y2586">
        <v>0.58094609982430978</v>
      </c>
      <c r="Z2586" t="str">
        <f>HYPERLINK("Melting_Curves/meltCurve_sp_Q9BY32_ITPA_HUMAN_.pdf", "Melting_Curves/meltCurve_sp_Q9BY32_ITPA_HUMAN_.pdf")</f>
        <v>Melting_Curves/meltCurve_sp_Q9BY32_ITPA_HUMAN_.pdf</v>
      </c>
      <c r="AA2586" t="s">
        <v>14046</v>
      </c>
      <c r="AB2586" t="s">
        <v>17826</v>
      </c>
    </row>
    <row r="2587" spans="1:28" x14ac:dyDescent="0.25">
      <c r="A2587" t="s">
        <v>2591</v>
      </c>
      <c r="B2587">
        <v>0.98876768158843997</v>
      </c>
      <c r="C2587">
        <v>1.18614631176193</v>
      </c>
      <c r="D2587">
        <v>0.86310219087009898</v>
      </c>
      <c r="E2587">
        <v>0.84481920726542203</v>
      </c>
      <c r="F2587">
        <v>0.99462465170652703</v>
      </c>
      <c r="G2587">
        <v>0.53568222119166298</v>
      </c>
      <c r="H2587">
        <v>0.33821438504696799</v>
      </c>
      <c r="I2587">
        <v>0.31452019814621801</v>
      </c>
      <c r="J2587">
        <v>0.41323048360939002</v>
      </c>
      <c r="K2587">
        <v>0.467083669949446</v>
      </c>
      <c r="L2587">
        <v>14186.506040349899</v>
      </c>
      <c r="M2587">
        <v>250</v>
      </c>
      <c r="N2587">
        <v>57.078131727610199</v>
      </c>
      <c r="O2587">
        <v>56.742392818796503</v>
      </c>
      <c r="P2587">
        <v>-0.67931773400866802</v>
      </c>
      <c r="Q2587">
        <v>0.383262181621217</v>
      </c>
      <c r="R2587">
        <v>0.89706949241172995</v>
      </c>
      <c r="S2587" t="s">
        <v>6419</v>
      </c>
      <c r="T2587" t="s">
        <v>7662</v>
      </c>
      <c r="U2587" t="s">
        <v>7662</v>
      </c>
      <c r="V2587" t="s">
        <v>7662</v>
      </c>
      <c r="W2587">
        <v>5</v>
      </c>
      <c r="X2587" t="s">
        <v>10249</v>
      </c>
      <c r="Y2587">
        <v>0.72758714847446548</v>
      </c>
      <c r="Z2587" t="str">
        <f>HYPERLINK("Melting_Curves/meltCurve_sp_Q9BY42_RTF2_HUMAN_.pdf", "Melting_Curves/meltCurve_sp_Q9BY42_RTF2_HUMAN_.pdf")</f>
        <v>Melting_Curves/meltCurve_sp_Q9BY42_RTF2_HUMAN_.pdf</v>
      </c>
      <c r="AA2587" t="s">
        <v>14047</v>
      </c>
      <c r="AB2587" t="s">
        <v>17827</v>
      </c>
    </row>
    <row r="2588" spans="1:28" x14ac:dyDescent="0.25">
      <c r="A2588" t="s">
        <v>2592</v>
      </c>
      <c r="B2588">
        <v>0.98876768158843997</v>
      </c>
      <c r="C2588">
        <v>1.13042152593623</v>
      </c>
      <c r="D2588">
        <v>0.87671288990209395</v>
      </c>
      <c r="E2588">
        <v>0.77458733133929603</v>
      </c>
      <c r="F2588">
        <v>0.93301947497430304</v>
      </c>
      <c r="G2588">
        <v>0.69013742164082104</v>
      </c>
      <c r="H2588">
        <v>0.50928122371314599</v>
      </c>
      <c r="I2588">
        <v>0.57691282422233303</v>
      </c>
      <c r="J2588">
        <v>0.66906452013108197</v>
      </c>
      <c r="K2588">
        <v>0.87917268002289795</v>
      </c>
      <c r="L2588">
        <v>876.36042290628495</v>
      </c>
      <c r="M2588">
        <v>17.2654702891796</v>
      </c>
      <c r="O2588">
        <v>50.0917382202014</v>
      </c>
      <c r="P2588">
        <v>-2.8849761104317299E-2</v>
      </c>
      <c r="Q2588">
        <v>0.66521604024161496</v>
      </c>
      <c r="R2588">
        <v>0.57906237495143198</v>
      </c>
      <c r="S2588" t="s">
        <v>6420</v>
      </c>
      <c r="T2588" t="s">
        <v>7662</v>
      </c>
      <c r="U2588" t="s">
        <v>7662</v>
      </c>
      <c r="V2588" t="s">
        <v>7662</v>
      </c>
      <c r="W2588">
        <v>8</v>
      </c>
      <c r="X2588" t="s">
        <v>10250</v>
      </c>
      <c r="Y2588">
        <v>0.79136983242763059</v>
      </c>
      <c r="Z2588" t="str">
        <f>HYPERLINK("Melting_Curves/meltCurve_sp_Q9BY43_CHM4A_HUMAN_.pdf", "Melting_Curves/meltCurve_sp_Q9BY43_CHM4A_HUMAN_.pdf")</f>
        <v>Melting_Curves/meltCurve_sp_Q9BY43_CHM4A_HUMAN_.pdf</v>
      </c>
      <c r="AA2588" t="s">
        <v>14048</v>
      </c>
      <c r="AB2588" t="s">
        <v>17828</v>
      </c>
    </row>
    <row r="2589" spans="1:28" x14ac:dyDescent="0.25">
      <c r="A2589" t="s">
        <v>2593</v>
      </c>
      <c r="B2589">
        <v>0.98876768158843997</v>
      </c>
      <c r="C2589">
        <v>0.83606745991599296</v>
      </c>
      <c r="D2589">
        <v>0.65805680818753398</v>
      </c>
      <c r="E2589">
        <v>0.25613115613973397</v>
      </c>
      <c r="F2589">
        <v>0.13225420719786801</v>
      </c>
      <c r="G2589">
        <v>8.0939630369181906E-2</v>
      </c>
      <c r="H2589">
        <v>5.4955758432843199E-2</v>
      </c>
      <c r="I2589">
        <v>3.9981647855488502E-2</v>
      </c>
      <c r="J2589">
        <v>4.3007102233011303E-2</v>
      </c>
      <c r="K2589">
        <v>4.2029668879039597E-2</v>
      </c>
      <c r="L2589">
        <v>918.55482856797096</v>
      </c>
      <c r="M2589">
        <v>19.508982460524798</v>
      </c>
      <c r="N2589">
        <v>47.283813922030497</v>
      </c>
      <c r="O2589">
        <v>46.597347727201502</v>
      </c>
      <c r="P2589">
        <v>-0.100524085353369</v>
      </c>
      <c r="Q2589">
        <v>3.9624426318133003E-2</v>
      </c>
      <c r="R2589">
        <v>0.997384149095492</v>
      </c>
      <c r="S2589" t="s">
        <v>6421</v>
      </c>
      <c r="T2589" t="s">
        <v>7662</v>
      </c>
      <c r="U2589" t="s">
        <v>7662</v>
      </c>
      <c r="V2589" t="s">
        <v>7662</v>
      </c>
      <c r="W2589">
        <v>12</v>
      </c>
      <c r="X2589" t="s">
        <v>10251</v>
      </c>
      <c r="Y2589">
        <v>0.28119214779739848</v>
      </c>
      <c r="Z2589" t="str">
        <f>HYPERLINK("Melting_Curves/meltCurve_sp_Q9BY49_PECR_HUMAN_.pdf", "Melting_Curves/meltCurve_sp_Q9BY49_PECR_HUMAN_.pdf")</f>
        <v>Melting_Curves/meltCurve_sp_Q9BY49_PECR_HUMAN_.pdf</v>
      </c>
      <c r="AA2589" t="s">
        <v>14049</v>
      </c>
      <c r="AB2589" t="s">
        <v>17829</v>
      </c>
    </row>
    <row r="2590" spans="1:28" x14ac:dyDescent="0.25">
      <c r="A2590" t="s">
        <v>2594</v>
      </c>
      <c r="B2590">
        <v>0.98876768158843997</v>
      </c>
      <c r="C2590">
        <v>1.17998566444886</v>
      </c>
      <c r="D2590">
        <v>0.97316257879022305</v>
      </c>
      <c r="E2590">
        <v>0.69493282097308495</v>
      </c>
      <c r="F2590">
        <v>0.71747566291543297</v>
      </c>
      <c r="G2590">
        <v>0.42894397239781801</v>
      </c>
      <c r="H2590">
        <v>0.339477426392987</v>
      </c>
      <c r="I2590">
        <v>0.32999303323068102</v>
      </c>
      <c r="J2590">
        <v>0.247395348012414</v>
      </c>
      <c r="K2590">
        <v>0.42603220246384399</v>
      </c>
      <c r="L2590">
        <v>977.04675392343302</v>
      </c>
      <c r="M2590">
        <v>18.628030076966098</v>
      </c>
      <c r="N2590">
        <v>55.447215524738503</v>
      </c>
      <c r="O2590">
        <v>51.857116528291797</v>
      </c>
      <c r="P2590">
        <v>-6.1311227594402003E-2</v>
      </c>
      <c r="Q2590">
        <v>0.31731139280795401</v>
      </c>
      <c r="R2590">
        <v>0.92187679391556498</v>
      </c>
      <c r="S2590" t="s">
        <v>6422</v>
      </c>
      <c r="T2590" t="s">
        <v>7662</v>
      </c>
      <c r="U2590" t="s">
        <v>7662</v>
      </c>
      <c r="V2590" t="s">
        <v>7662</v>
      </c>
      <c r="W2590">
        <v>3</v>
      </c>
      <c r="X2590" t="s">
        <v>10252</v>
      </c>
      <c r="Y2590">
        <v>0.61129022093152485</v>
      </c>
      <c r="Z2590" t="str">
        <f>HYPERLINK("Melting_Curves/meltCurve_sp_Q9BY77_PDIP3_HUMAN_.pdf", "Melting_Curves/meltCurve_sp_Q9BY77_PDIP3_HUMAN_.pdf")</f>
        <v>Melting_Curves/meltCurve_sp_Q9BY77_PDIP3_HUMAN_.pdf</v>
      </c>
      <c r="AA2590" t="s">
        <v>14050</v>
      </c>
      <c r="AB2590" t="s">
        <v>17830</v>
      </c>
    </row>
    <row r="2591" spans="1:28" x14ac:dyDescent="0.25">
      <c r="A2591" t="s">
        <v>2595</v>
      </c>
      <c r="B2591">
        <v>0.98876768158843997</v>
      </c>
      <c r="C2591">
        <v>0.89109206670776198</v>
      </c>
      <c r="D2591">
        <v>0.94691338836968897</v>
      </c>
      <c r="E2591">
        <v>0.86044524964020597</v>
      </c>
      <c r="F2591">
        <v>0.56270316319142599</v>
      </c>
      <c r="G2591">
        <v>0.42709212790367002</v>
      </c>
      <c r="H2591">
        <v>0.34611792277588599</v>
      </c>
      <c r="I2591">
        <v>0.35811431606912397</v>
      </c>
      <c r="J2591">
        <v>0.43763607501124302</v>
      </c>
      <c r="K2591">
        <v>0.45680361524789198</v>
      </c>
      <c r="L2591">
        <v>1832.4397214831699</v>
      </c>
      <c r="M2591">
        <v>35.530551437722401</v>
      </c>
      <c r="N2591">
        <v>54.024475246556499</v>
      </c>
      <c r="O2591">
        <v>51.411081721462601</v>
      </c>
      <c r="P2591">
        <v>-0.103624686783446</v>
      </c>
      <c r="Q2591">
        <v>0.40024127722341601</v>
      </c>
      <c r="R2591">
        <v>0.96168305531538001</v>
      </c>
      <c r="S2591" t="s">
        <v>6423</v>
      </c>
      <c r="T2591" t="s">
        <v>7662</v>
      </c>
      <c r="U2591" t="s">
        <v>7662</v>
      </c>
      <c r="V2591" t="s">
        <v>7662</v>
      </c>
      <c r="W2591">
        <v>10</v>
      </c>
      <c r="X2591" t="s">
        <v>10253</v>
      </c>
      <c r="Y2591">
        <v>0.63433355805966718</v>
      </c>
      <c r="Z2591" t="str">
        <f>HYPERLINK("Melting_Curves/meltCurve_sp_Q9BY89_K1671_HUMAN_.pdf", "Melting_Curves/meltCurve_sp_Q9BY89_K1671_HUMAN_.pdf")</f>
        <v>Melting_Curves/meltCurve_sp_Q9BY89_K1671_HUMAN_.pdf</v>
      </c>
      <c r="AA2591" t="s">
        <v>14051</v>
      </c>
      <c r="AB2591" t="s">
        <v>17831</v>
      </c>
    </row>
    <row r="2592" spans="1:28" x14ac:dyDescent="0.25">
      <c r="A2592" t="s">
        <v>2596</v>
      </c>
      <c r="B2592">
        <v>0.98876768158843997</v>
      </c>
      <c r="C2592">
        <v>1.24284082228649</v>
      </c>
      <c r="D2592">
        <v>1.11658635612307</v>
      </c>
      <c r="E2592">
        <v>0.82405838646615903</v>
      </c>
      <c r="F2592">
        <v>0.675206232609881</v>
      </c>
      <c r="G2592">
        <v>0.38928892254578101</v>
      </c>
      <c r="H2592">
        <v>0.23556264174017599</v>
      </c>
      <c r="I2592">
        <v>0.38089899076601802</v>
      </c>
      <c r="J2592">
        <v>0.414633617217676</v>
      </c>
      <c r="K2592">
        <v>0.47033110969865</v>
      </c>
      <c r="L2592">
        <v>1676.0602053222001</v>
      </c>
      <c r="M2592">
        <v>31.983473720663</v>
      </c>
      <c r="N2592">
        <v>54.727718729135297</v>
      </c>
      <c r="O2592">
        <v>52.200356333621201</v>
      </c>
      <c r="P2592">
        <v>-9.6284544305749606E-2</v>
      </c>
      <c r="Q2592">
        <v>0.37141760419436398</v>
      </c>
      <c r="R2592">
        <v>0.89754128268457001</v>
      </c>
      <c r="S2592" t="s">
        <v>6424</v>
      </c>
      <c r="T2592" t="s">
        <v>7662</v>
      </c>
      <c r="U2592" t="s">
        <v>7662</v>
      </c>
      <c r="V2592" t="s">
        <v>7662</v>
      </c>
      <c r="W2592">
        <v>1</v>
      </c>
      <c r="X2592" t="s">
        <v>10254</v>
      </c>
      <c r="Y2592">
        <v>0.63487414460682245</v>
      </c>
      <c r="Z2592" t="str">
        <f>HYPERLINK("Melting_Curves/meltCurve_sp_Q9BYE9_CDHR2_HUMAN_.pdf", "Melting_Curves/meltCurve_sp_Q9BYE9_CDHR2_HUMAN_.pdf")</f>
        <v>Melting_Curves/meltCurve_sp_Q9BYE9_CDHR2_HUMAN_.pdf</v>
      </c>
      <c r="AA2592" t="s">
        <v>14052</v>
      </c>
      <c r="AB2592" t="s">
        <v>17832</v>
      </c>
    </row>
    <row r="2593" spans="1:28" x14ac:dyDescent="0.25">
      <c r="A2593" t="s">
        <v>2597</v>
      </c>
      <c r="B2593">
        <v>0.98876768158843997</v>
      </c>
      <c r="C2593">
        <v>0.87720332037093296</v>
      </c>
      <c r="D2593">
        <v>0.99148578009362098</v>
      </c>
      <c r="E2593">
        <v>0.80450773711455204</v>
      </c>
      <c r="F2593">
        <v>0.59912529435149497</v>
      </c>
      <c r="G2593">
        <v>0.38475478119861001</v>
      </c>
      <c r="H2593">
        <v>0.230105825811218</v>
      </c>
      <c r="I2593">
        <v>0.15872635759967399</v>
      </c>
      <c r="J2593">
        <v>0.206159489898391</v>
      </c>
      <c r="K2593">
        <v>0.15910463229597799</v>
      </c>
      <c r="L2593">
        <v>911.32716041010099</v>
      </c>
      <c r="M2593">
        <v>17.024402525153299</v>
      </c>
      <c r="N2593">
        <v>54.6256190587658</v>
      </c>
      <c r="O2593">
        <v>52.808410780676198</v>
      </c>
      <c r="P2593">
        <v>-6.8948404387036893E-2</v>
      </c>
      <c r="Q2593">
        <v>0.144561618330694</v>
      </c>
      <c r="R2593">
        <v>0.98488027687236201</v>
      </c>
      <c r="S2593" t="s">
        <v>6425</v>
      </c>
      <c r="T2593" t="s">
        <v>7662</v>
      </c>
      <c r="U2593" t="s">
        <v>7662</v>
      </c>
      <c r="V2593" t="s">
        <v>7662</v>
      </c>
      <c r="W2593">
        <v>4</v>
      </c>
      <c r="X2593" t="s">
        <v>10255</v>
      </c>
      <c r="Y2593">
        <v>0.5454478205069343</v>
      </c>
      <c r="Z2593" t="str">
        <f>HYPERLINK("Melting_Curves/meltCurve_sp_Q9BYM8_HOIL1_HUMAN_.pdf", "Melting_Curves/meltCurve_sp_Q9BYM8_HOIL1_HUMAN_.pdf")</f>
        <v>Melting_Curves/meltCurve_sp_Q9BYM8_HOIL1_HUMAN_.pdf</v>
      </c>
      <c r="AA2593" t="s">
        <v>14053</v>
      </c>
      <c r="AB2593" t="s">
        <v>17833</v>
      </c>
    </row>
    <row r="2594" spans="1:28" x14ac:dyDescent="0.25">
      <c r="A2594" t="s">
        <v>2598</v>
      </c>
      <c r="B2594">
        <v>0.98876768158843997</v>
      </c>
      <c r="C2594">
        <v>0.99220249556844997</v>
      </c>
      <c r="D2594">
        <v>0.784910741072115</v>
      </c>
      <c r="E2594">
        <v>0.66205799177573599</v>
      </c>
      <c r="F2594">
        <v>0.54297575574646895</v>
      </c>
      <c r="G2594">
        <v>0.29229833588606502</v>
      </c>
      <c r="H2594">
        <v>0.180200144377543</v>
      </c>
      <c r="I2594">
        <v>0.215818191049097</v>
      </c>
      <c r="J2594">
        <v>0.27259486836886299</v>
      </c>
      <c r="K2594">
        <v>0.16466714129167601</v>
      </c>
      <c r="L2594">
        <v>708.06962336740605</v>
      </c>
      <c r="M2594">
        <v>13.829681862868</v>
      </c>
      <c r="N2594">
        <v>52.717175730686897</v>
      </c>
      <c r="O2594">
        <v>50.164392761919899</v>
      </c>
      <c r="P2594">
        <v>-5.7610229365582702E-2</v>
      </c>
      <c r="Q2594">
        <v>0.16423810279668</v>
      </c>
      <c r="R2594">
        <v>0.97699553513918402</v>
      </c>
      <c r="S2594" t="s">
        <v>6426</v>
      </c>
      <c r="T2594" t="s">
        <v>7662</v>
      </c>
      <c r="U2594" t="s">
        <v>7662</v>
      </c>
      <c r="V2594" t="s">
        <v>7662</v>
      </c>
      <c r="W2594">
        <v>1</v>
      </c>
      <c r="X2594" t="s">
        <v>10256</v>
      </c>
      <c r="Y2594">
        <v>0.49806977041511391</v>
      </c>
      <c r="Z2594" t="str">
        <f>HYPERLINK("Melting_Curves/meltCurve_sp_Q9BYN0_SRXN1_HUMAN_.pdf", "Melting_Curves/meltCurve_sp_Q9BYN0_SRXN1_HUMAN_.pdf")</f>
        <v>Melting_Curves/meltCurve_sp_Q9BYN0_SRXN1_HUMAN_.pdf</v>
      </c>
      <c r="AA2594" t="s">
        <v>14054</v>
      </c>
      <c r="AB2594" t="s">
        <v>17834</v>
      </c>
    </row>
    <row r="2595" spans="1:28" x14ac:dyDescent="0.25">
      <c r="A2595" t="s">
        <v>2599</v>
      </c>
      <c r="B2595">
        <v>0.98876768158843997</v>
      </c>
      <c r="C2595">
        <v>1.05237327118029</v>
      </c>
      <c r="D2595">
        <v>0.80380612807886898</v>
      </c>
      <c r="E2595">
        <v>0.77303615519301905</v>
      </c>
      <c r="F2595">
        <v>0.53717972740895903</v>
      </c>
      <c r="G2595">
        <v>0.35921806963700298</v>
      </c>
      <c r="H2595">
        <v>0.19387185141132399</v>
      </c>
      <c r="I2595">
        <v>0.31478742071072302</v>
      </c>
      <c r="J2595">
        <v>0.14998665715510401</v>
      </c>
      <c r="K2595">
        <v>0.14025274087771999</v>
      </c>
      <c r="L2595">
        <v>721.52474205241504</v>
      </c>
      <c r="M2595">
        <v>13.683996386998899</v>
      </c>
      <c r="N2595">
        <v>53.961333777055302</v>
      </c>
      <c r="O2595">
        <v>51.639811057688</v>
      </c>
      <c r="P2595">
        <v>-5.7357212924340199E-2</v>
      </c>
      <c r="Q2595">
        <v>0.13432096234586</v>
      </c>
      <c r="R2595">
        <v>0.96739627055831401</v>
      </c>
      <c r="S2595" t="s">
        <v>6427</v>
      </c>
      <c r="T2595" t="s">
        <v>7662</v>
      </c>
      <c r="U2595" t="s">
        <v>7662</v>
      </c>
      <c r="V2595" t="s">
        <v>7662</v>
      </c>
      <c r="W2595">
        <v>4</v>
      </c>
      <c r="X2595" t="s">
        <v>10257</v>
      </c>
      <c r="Y2595">
        <v>0.52296390717261187</v>
      </c>
      <c r="Z2595" t="str">
        <f>HYPERLINK("Melting_Curves/meltCurve_sp_Q9BYP7_3_WNK3_HUMAN_.pdf", "Melting_Curves/meltCurve_sp_Q9BYP7_3_WNK3_HUMAN_.pdf")</f>
        <v>Melting_Curves/meltCurve_sp_Q9BYP7_3_WNK3_HUMAN_.pdf</v>
      </c>
      <c r="AA2595" t="s">
        <v>14055</v>
      </c>
      <c r="AB2595" t="s">
        <v>17835</v>
      </c>
    </row>
    <row r="2596" spans="1:28" x14ac:dyDescent="0.25">
      <c r="A2596" t="s">
        <v>2600</v>
      </c>
      <c r="B2596">
        <v>0.98876768158843997</v>
      </c>
      <c r="C2596">
        <v>0.95127036523292796</v>
      </c>
      <c r="D2596">
        <v>0.91077880164235503</v>
      </c>
      <c r="E2596">
        <v>0.80291143838801904</v>
      </c>
      <c r="F2596">
        <v>0.67201779856567601</v>
      </c>
      <c r="G2596">
        <v>0.39981110511104501</v>
      </c>
      <c r="H2596">
        <v>0.10454914162418</v>
      </c>
      <c r="I2596">
        <v>6.6457356502507003E-2</v>
      </c>
      <c r="J2596">
        <v>5.8445447667664303E-2</v>
      </c>
      <c r="K2596">
        <v>5.3414373181380898E-2</v>
      </c>
      <c r="L2596">
        <v>885.53638136258098</v>
      </c>
      <c r="M2596">
        <v>16.119503799275702</v>
      </c>
      <c r="N2596">
        <v>54.935697210420201</v>
      </c>
      <c r="O2596">
        <v>54.111095160547002</v>
      </c>
      <c r="P2596">
        <v>-7.4479787985149995E-2</v>
      </c>
      <c r="Q2596">
        <v>0</v>
      </c>
      <c r="R2596">
        <v>0.99165468712773597</v>
      </c>
      <c r="S2596" t="s">
        <v>6428</v>
      </c>
      <c r="T2596" t="s">
        <v>7662</v>
      </c>
      <c r="U2596" t="s">
        <v>7662</v>
      </c>
      <c r="V2596" t="s">
        <v>7662</v>
      </c>
      <c r="W2596">
        <v>24</v>
      </c>
      <c r="X2596" t="s">
        <v>10258</v>
      </c>
      <c r="Y2596">
        <v>0.51571027451650175</v>
      </c>
      <c r="Z2596" t="str">
        <f>HYPERLINK("Melting_Curves/meltCurve_sp_Q9BYT8_NEUL_HUMAN_.pdf", "Melting_Curves/meltCurve_sp_Q9BYT8_NEUL_HUMAN_.pdf")</f>
        <v>Melting_Curves/meltCurve_sp_Q9BYT8_NEUL_HUMAN_.pdf</v>
      </c>
      <c r="AA2596" t="s">
        <v>14056</v>
      </c>
      <c r="AB2596" t="s">
        <v>17836</v>
      </c>
    </row>
    <row r="2597" spans="1:28" x14ac:dyDescent="0.25">
      <c r="A2597" t="s">
        <v>2601</v>
      </c>
      <c r="B2597">
        <v>0.98876768158843997</v>
      </c>
      <c r="C2597">
        <v>0.81597145665593096</v>
      </c>
      <c r="D2597">
        <v>0.77512724530487498</v>
      </c>
      <c r="E2597">
        <v>0.56467300781447904</v>
      </c>
      <c r="F2597">
        <v>0.34433846324781497</v>
      </c>
      <c r="G2597">
        <v>0.185744984091121</v>
      </c>
      <c r="H2597">
        <v>8.9795264070071004E-2</v>
      </c>
      <c r="I2597">
        <v>6.5862167109919101E-2</v>
      </c>
      <c r="J2597">
        <v>6.9350968038970395E-2</v>
      </c>
      <c r="K2597">
        <v>5.9562917664171398E-2</v>
      </c>
      <c r="L2597">
        <v>608.78877025944496</v>
      </c>
      <c r="M2597">
        <v>12.093134374685899</v>
      </c>
      <c r="N2597">
        <v>50.396669702595197</v>
      </c>
      <c r="O2597">
        <v>49.024408633210101</v>
      </c>
      <c r="P2597">
        <v>-6.12791232512832E-2</v>
      </c>
      <c r="Q2597">
        <v>6.55363151833046E-3</v>
      </c>
      <c r="R2597">
        <v>0.99118779472874097</v>
      </c>
      <c r="S2597" t="s">
        <v>6429</v>
      </c>
      <c r="T2597" t="s">
        <v>7662</v>
      </c>
      <c r="U2597" t="s">
        <v>7662</v>
      </c>
      <c r="V2597" t="s">
        <v>7662</v>
      </c>
      <c r="W2597">
        <v>22</v>
      </c>
      <c r="X2597" t="s">
        <v>10259</v>
      </c>
      <c r="Y2597">
        <v>0.38232634549254257</v>
      </c>
      <c r="Z2597" t="str">
        <f>HYPERLINK("Melting_Curves/meltCurve_sp_Q9BYV1_AGT2_HUMAN_.pdf", "Melting_Curves/meltCurve_sp_Q9BYV1_AGT2_HUMAN_.pdf")</f>
        <v>Melting_Curves/meltCurve_sp_Q9BYV1_AGT2_HUMAN_.pdf</v>
      </c>
      <c r="AA2597" t="s">
        <v>14057</v>
      </c>
      <c r="AB2597" t="s">
        <v>17837</v>
      </c>
    </row>
    <row r="2598" spans="1:28" x14ac:dyDescent="0.25">
      <c r="A2598" t="s">
        <v>2602</v>
      </c>
      <c r="B2598">
        <v>0.98876768158843997</v>
      </c>
      <c r="C2598">
        <v>0.78955328194266605</v>
      </c>
      <c r="D2598">
        <v>0.76277292258071006</v>
      </c>
      <c r="E2598">
        <v>0.35432799946315502</v>
      </c>
      <c r="F2598">
        <v>0.21967799043911099</v>
      </c>
      <c r="G2598">
        <v>0.13019369455631399</v>
      </c>
      <c r="H2598">
        <v>3.9644277858234697E-2</v>
      </c>
      <c r="I2598">
        <v>1.92222290047032E-2</v>
      </c>
      <c r="J2598">
        <v>1.7172518502125301E-2</v>
      </c>
      <c r="K2598">
        <v>2.4207006968120202E-2</v>
      </c>
      <c r="L2598">
        <v>715.01381811838803</v>
      </c>
      <c r="M2598">
        <v>14.750286996487601</v>
      </c>
      <c r="N2598">
        <v>48.496937727059802</v>
      </c>
      <c r="O2598">
        <v>47.609751473571201</v>
      </c>
      <c r="P2598">
        <v>-7.7199881774398793E-2</v>
      </c>
      <c r="Q2598">
        <v>3.3900293433489601E-3</v>
      </c>
      <c r="R2598">
        <v>0.98756677710920704</v>
      </c>
      <c r="S2598" t="s">
        <v>6430</v>
      </c>
      <c r="T2598" t="s">
        <v>7662</v>
      </c>
      <c r="U2598" t="s">
        <v>7662</v>
      </c>
      <c r="V2598" t="s">
        <v>7662</v>
      </c>
      <c r="W2598">
        <v>2</v>
      </c>
      <c r="X2598" t="s">
        <v>10260</v>
      </c>
      <c r="Y2598">
        <v>0.31085572097368158</v>
      </c>
      <c r="Z2598" t="str">
        <f>HYPERLINK("Melting_Curves/meltCurve_sp_Q9BYV7_4_BCDO2_HUMAN_.pdf", "Melting_Curves/meltCurve_sp_Q9BYV7_4_BCDO2_HUMAN_.pdf")</f>
        <v>Melting_Curves/meltCurve_sp_Q9BYV7_4_BCDO2_HUMAN_.pdf</v>
      </c>
      <c r="AA2598" t="s">
        <v>14058</v>
      </c>
      <c r="AB2598" t="s">
        <v>17838</v>
      </c>
    </row>
    <row r="2599" spans="1:28" x14ac:dyDescent="0.25">
      <c r="A2599" t="s">
        <v>2603</v>
      </c>
      <c r="B2599">
        <v>0.98876768158843997</v>
      </c>
      <c r="C2599">
        <v>1.01415838295974</v>
      </c>
      <c r="D2599">
        <v>0.69176188767327296</v>
      </c>
      <c r="E2599">
        <v>0.41862214250220597</v>
      </c>
      <c r="F2599">
        <v>0.146230381140973</v>
      </c>
      <c r="G2599">
        <v>9.4622293948916497E-2</v>
      </c>
      <c r="H2599">
        <v>0.106717134480087</v>
      </c>
      <c r="I2599">
        <v>4.6582370078209798E-2</v>
      </c>
      <c r="J2599">
        <v>0</v>
      </c>
      <c r="K2599">
        <v>0</v>
      </c>
      <c r="L2599">
        <v>949.41008151991002</v>
      </c>
      <c r="M2599">
        <v>19.569875977656299</v>
      </c>
      <c r="N2599">
        <v>48.6656912307757</v>
      </c>
      <c r="O2599">
        <v>48.015799351856401</v>
      </c>
      <c r="P2599">
        <v>-9.8878746839546297E-2</v>
      </c>
      <c r="Q2599">
        <v>2.96159525867319E-2</v>
      </c>
      <c r="R2599">
        <v>0.98649157496656403</v>
      </c>
      <c r="S2599" t="s">
        <v>6431</v>
      </c>
      <c r="T2599" t="s">
        <v>7662</v>
      </c>
      <c r="U2599" t="s">
        <v>7662</v>
      </c>
      <c r="V2599" t="s">
        <v>7662</v>
      </c>
      <c r="W2599">
        <v>2</v>
      </c>
      <c r="X2599" t="s">
        <v>10261</v>
      </c>
      <c r="Y2599">
        <v>0.31930540369177768</v>
      </c>
      <c r="Z2599" t="str">
        <f>HYPERLINK("Melting_Curves/meltCurve_sp_Q9BYX4_IFIH1_HUMAN_.pdf", "Melting_Curves/meltCurve_sp_Q9BYX4_IFIH1_HUMAN_.pdf")</f>
        <v>Melting_Curves/meltCurve_sp_Q9BYX4_IFIH1_HUMAN_.pdf</v>
      </c>
      <c r="AA2599" t="s">
        <v>14059</v>
      </c>
      <c r="AB2599" t="s">
        <v>17839</v>
      </c>
    </row>
    <row r="2600" spans="1:28" x14ac:dyDescent="0.25">
      <c r="A2600" t="s">
        <v>2604</v>
      </c>
      <c r="B2600">
        <v>0.98876768158843997</v>
      </c>
      <c r="C2600">
        <v>0.95022147229547105</v>
      </c>
      <c r="D2600">
        <v>0.87294693971371096</v>
      </c>
      <c r="E2600">
        <v>0.56342735623047902</v>
      </c>
      <c r="F2600">
        <v>0.34539000326355401</v>
      </c>
      <c r="G2600">
        <v>0.137427686171115</v>
      </c>
      <c r="H2600">
        <v>8.6674082585054199E-2</v>
      </c>
      <c r="I2600">
        <v>0.10088140579067501</v>
      </c>
      <c r="J2600">
        <v>0.102666398171455</v>
      </c>
      <c r="K2600">
        <v>8.6595094703609404E-2</v>
      </c>
      <c r="L2600">
        <v>981.06156287566205</v>
      </c>
      <c r="M2600">
        <v>19.503836143123898</v>
      </c>
      <c r="N2600">
        <v>50.742000180198197</v>
      </c>
      <c r="O2600">
        <v>49.781112984565802</v>
      </c>
      <c r="P2600">
        <v>-9.0314455478383293E-2</v>
      </c>
      <c r="Q2600">
        <v>7.7967543156998498E-2</v>
      </c>
      <c r="R2600">
        <v>0.99836438303824104</v>
      </c>
      <c r="S2600" t="s">
        <v>6432</v>
      </c>
      <c r="T2600" t="s">
        <v>7662</v>
      </c>
      <c r="U2600" t="s">
        <v>7662</v>
      </c>
      <c r="V2600" t="s">
        <v>7662</v>
      </c>
      <c r="W2600">
        <v>5</v>
      </c>
      <c r="X2600" t="s">
        <v>10262</v>
      </c>
      <c r="Y2600">
        <v>0.40801795844673111</v>
      </c>
      <c r="Z2600" t="str">
        <f>HYPERLINK("Melting_Curves/meltCurve_sp_Q9BZ23_3_PANK2_HUMAN_.pdf", "Melting_Curves/meltCurve_sp_Q9BZ23_3_PANK2_HUMAN_.pdf")</f>
        <v>Melting_Curves/meltCurve_sp_Q9BZ23_3_PANK2_HUMAN_.pdf</v>
      </c>
      <c r="AA2600" t="s">
        <v>14060</v>
      </c>
      <c r="AB2600" t="s">
        <v>17840</v>
      </c>
    </row>
    <row r="2601" spans="1:28" x14ac:dyDescent="0.25">
      <c r="A2601" t="s">
        <v>2605</v>
      </c>
      <c r="B2601">
        <v>0.98876768158843997</v>
      </c>
      <c r="C2601">
        <v>0.90613451348852803</v>
      </c>
      <c r="D2601">
        <v>0.99396727956250397</v>
      </c>
      <c r="E2601">
        <v>0.82085852441565199</v>
      </c>
      <c r="F2601">
        <v>0.28087750289215302</v>
      </c>
      <c r="G2601">
        <v>0.199073516399428</v>
      </c>
      <c r="H2601">
        <v>0.132788157227306</v>
      </c>
      <c r="I2601">
        <v>0.13639608186801799</v>
      </c>
      <c r="J2601">
        <v>9.1107127804052099E-2</v>
      </c>
      <c r="K2601">
        <v>9.0310333249672095E-2</v>
      </c>
      <c r="L2601">
        <v>2477.3958390156399</v>
      </c>
      <c r="M2601">
        <v>48.2231192192029</v>
      </c>
      <c r="N2601">
        <v>51.687965868424001</v>
      </c>
      <c r="O2601">
        <v>51.2854764558057</v>
      </c>
      <c r="P2601">
        <v>-0.20519620423986201</v>
      </c>
      <c r="Q2601">
        <v>0.12709261640054201</v>
      </c>
      <c r="R2601">
        <v>0.98921380398148895</v>
      </c>
      <c r="S2601" t="s">
        <v>6433</v>
      </c>
      <c r="T2601" t="s">
        <v>7662</v>
      </c>
      <c r="U2601" t="s">
        <v>7662</v>
      </c>
      <c r="V2601" t="s">
        <v>7662</v>
      </c>
      <c r="W2601">
        <v>1</v>
      </c>
      <c r="X2601" t="s">
        <v>10263</v>
      </c>
      <c r="Y2601">
        <v>0.46015695152876762</v>
      </c>
      <c r="Z2601" t="str">
        <f>HYPERLINK("Melting_Curves/meltCurve_sp_Q9BZE2_PUS3_HUMAN_.pdf", "Melting_Curves/meltCurve_sp_Q9BZE2_PUS3_HUMAN_.pdf")</f>
        <v>Melting_Curves/meltCurve_sp_Q9BZE2_PUS3_HUMAN_.pdf</v>
      </c>
      <c r="AA2601" t="s">
        <v>14061</v>
      </c>
      <c r="AB2601" t="s">
        <v>17841</v>
      </c>
    </row>
    <row r="2602" spans="1:28" x14ac:dyDescent="0.25">
      <c r="A2602" t="s">
        <v>2606</v>
      </c>
      <c r="B2602">
        <v>0.98876768158843997</v>
      </c>
      <c r="C2602">
        <v>0.96591199099635805</v>
      </c>
      <c r="D2602">
        <v>1.01749041287469</v>
      </c>
      <c r="E2602">
        <v>0.80806771509648101</v>
      </c>
      <c r="F2602">
        <v>0.35940979375631599</v>
      </c>
      <c r="G2602">
        <v>0.17013094587385999</v>
      </c>
      <c r="H2602">
        <v>8.5772334945364598E-2</v>
      </c>
      <c r="I2602">
        <v>9.1621060995809897E-2</v>
      </c>
      <c r="J2602">
        <v>0.11900104178784</v>
      </c>
      <c r="K2602">
        <v>9.8312012419833797E-2</v>
      </c>
      <c r="L2602">
        <v>1903.4863999823699</v>
      </c>
      <c r="M2602">
        <v>36.791322905279003</v>
      </c>
      <c r="N2602">
        <v>52.071117788438997</v>
      </c>
      <c r="O2602">
        <v>51.585241076840198</v>
      </c>
      <c r="P2602">
        <v>-0.15957589012930201</v>
      </c>
      <c r="Q2602">
        <v>0.10503508355293199</v>
      </c>
      <c r="R2602">
        <v>0.99728804289913298</v>
      </c>
      <c r="S2602" t="s">
        <v>6434</v>
      </c>
      <c r="T2602" t="s">
        <v>7662</v>
      </c>
      <c r="U2602" t="s">
        <v>7662</v>
      </c>
      <c r="V2602" t="s">
        <v>7662</v>
      </c>
      <c r="W2602">
        <v>7</v>
      </c>
      <c r="X2602" t="s">
        <v>10264</v>
      </c>
      <c r="Y2602">
        <v>0.45897164604458901</v>
      </c>
      <c r="Z2602" t="str">
        <f>HYPERLINK("Melting_Curves/meltCurve_sp_Q9BZE9_ASPC1_HUMAN_.pdf", "Melting_Curves/meltCurve_sp_Q9BZE9_ASPC1_HUMAN_.pdf")</f>
        <v>Melting_Curves/meltCurve_sp_Q9BZE9_ASPC1_HUMAN_.pdf</v>
      </c>
      <c r="AA2602" t="s">
        <v>14062</v>
      </c>
      <c r="AB2602" t="s">
        <v>17842</v>
      </c>
    </row>
    <row r="2603" spans="1:28" x14ac:dyDescent="0.25">
      <c r="A2603" t="s">
        <v>2607</v>
      </c>
      <c r="B2603">
        <v>0.98876768158843997</v>
      </c>
      <c r="C2603">
        <v>0.89590007965365404</v>
      </c>
      <c r="D2603">
        <v>1.0276993193066599</v>
      </c>
      <c r="E2603">
        <v>0.78733026774239301</v>
      </c>
      <c r="F2603">
        <v>0.31839575423153099</v>
      </c>
      <c r="G2603">
        <v>0.127615236364955</v>
      </c>
      <c r="H2603">
        <v>5.9084231242882701E-2</v>
      </c>
      <c r="I2603">
        <v>4.8067645581347303E-2</v>
      </c>
      <c r="J2603">
        <v>5.5949445316717299E-2</v>
      </c>
      <c r="K2603">
        <v>7.4566130834795005E-2</v>
      </c>
      <c r="L2603">
        <v>1910.8814241125001</v>
      </c>
      <c r="M2603">
        <v>37.004508991640897</v>
      </c>
      <c r="N2603">
        <v>51.835751601073703</v>
      </c>
      <c r="O2603">
        <v>51.489028961015599</v>
      </c>
      <c r="P2603">
        <v>-0.16790866531302101</v>
      </c>
      <c r="Q2603">
        <v>6.5472697226945098E-2</v>
      </c>
      <c r="R2603">
        <v>0.99154094882727695</v>
      </c>
      <c r="S2603" t="s">
        <v>6435</v>
      </c>
      <c r="T2603" t="s">
        <v>7662</v>
      </c>
      <c r="U2603" t="s">
        <v>7662</v>
      </c>
      <c r="V2603" t="s">
        <v>7662</v>
      </c>
      <c r="W2603">
        <v>3</v>
      </c>
      <c r="X2603" t="s">
        <v>10265</v>
      </c>
      <c r="Y2603">
        <v>0.43194275614108718</v>
      </c>
      <c r="Z2603" t="str">
        <f>HYPERLINK("Melting_Curves/meltCurve_sp_Q9BZH6_WDR11_HUMAN_.pdf", "Melting_Curves/meltCurve_sp_Q9BZH6_WDR11_HUMAN_.pdf")</f>
        <v>Melting_Curves/meltCurve_sp_Q9BZH6_WDR11_HUMAN_.pdf</v>
      </c>
      <c r="AA2603" t="s">
        <v>14063</v>
      </c>
      <c r="AB2603" t="s">
        <v>17843</v>
      </c>
    </row>
    <row r="2604" spans="1:28" x14ac:dyDescent="0.25">
      <c r="A2604" t="s">
        <v>2608</v>
      </c>
      <c r="B2604">
        <v>0.98876768158843997</v>
      </c>
      <c r="C2604">
        <v>0.83162025121644501</v>
      </c>
      <c r="D2604">
        <v>0.81481558294073797</v>
      </c>
      <c r="E2604">
        <v>0.51958604893648097</v>
      </c>
      <c r="F2604">
        <v>0.42408372714487702</v>
      </c>
      <c r="G2604">
        <v>0.28814331045295699</v>
      </c>
      <c r="H2604">
        <v>0.22090784248365999</v>
      </c>
      <c r="I2604">
        <v>0.23161228808576001</v>
      </c>
      <c r="J2604">
        <v>0.26324857833381099</v>
      </c>
      <c r="K2604">
        <v>0.22047264228246799</v>
      </c>
      <c r="L2604">
        <v>686.727750313922</v>
      </c>
      <c r="M2604">
        <v>14.0667888068855</v>
      </c>
      <c r="N2604">
        <v>50.770634787341997</v>
      </c>
      <c r="O2604">
        <v>47.864238235439998</v>
      </c>
      <c r="P2604">
        <v>-5.8136550582278901E-2</v>
      </c>
      <c r="Q2604">
        <v>0.20883164874920901</v>
      </c>
      <c r="R2604">
        <v>0.98563498305929598</v>
      </c>
      <c r="S2604" t="s">
        <v>6436</v>
      </c>
      <c r="T2604" t="s">
        <v>7662</v>
      </c>
      <c r="U2604" t="s">
        <v>7662</v>
      </c>
      <c r="V2604" t="s">
        <v>7662</v>
      </c>
      <c r="W2604">
        <v>5</v>
      </c>
      <c r="X2604" t="s">
        <v>10266</v>
      </c>
      <c r="Y2604">
        <v>0.46358678435318951</v>
      </c>
      <c r="Z2604" t="str">
        <f>HYPERLINK("Melting_Curves/meltCurve_sp_Q9BZI7_2_REN3B_HUMAN_.pdf", "Melting_Curves/meltCurve_sp_Q9BZI7_2_REN3B_HUMAN_.pdf")</f>
        <v>Melting_Curves/meltCurve_sp_Q9BZI7_2_REN3B_HUMAN_.pdf</v>
      </c>
      <c r="AA2604" t="s">
        <v>14064</v>
      </c>
      <c r="AB2604" t="s">
        <v>17844</v>
      </c>
    </row>
    <row r="2605" spans="1:28" x14ac:dyDescent="0.25">
      <c r="A2605" t="s">
        <v>2609</v>
      </c>
      <c r="B2605">
        <v>0.98876768158843997</v>
      </c>
      <c r="C2605">
        <v>1.0863069215143499</v>
      </c>
      <c r="D2605">
        <v>0.97957911715046198</v>
      </c>
      <c r="E2605">
        <v>0.86319744471411297</v>
      </c>
      <c r="F2605">
        <v>0.97531471619905596</v>
      </c>
      <c r="G2605">
        <v>0.55946594073560496</v>
      </c>
      <c r="H2605">
        <v>0.30923710566421397</v>
      </c>
      <c r="I2605">
        <v>0.13581617503179</v>
      </c>
      <c r="J2605">
        <v>7.5330965070656203E-2</v>
      </c>
      <c r="K2605">
        <v>8.9016463519221295E-2</v>
      </c>
      <c r="L2605">
        <v>1313.02089945221</v>
      </c>
      <c r="M2605">
        <v>22.727704310733799</v>
      </c>
      <c r="N2605">
        <v>58.075557451119202</v>
      </c>
      <c r="O2605">
        <v>57.330143590209403</v>
      </c>
      <c r="P2605">
        <v>-9.3557374454345296E-2</v>
      </c>
      <c r="Q2605">
        <v>5.6032688798252003E-2</v>
      </c>
      <c r="R2605">
        <v>0.98056062870202498</v>
      </c>
      <c r="S2605" t="s">
        <v>6437</v>
      </c>
      <c r="T2605" t="s">
        <v>7662</v>
      </c>
      <c r="U2605" t="s">
        <v>7662</v>
      </c>
      <c r="V2605" t="s">
        <v>7662</v>
      </c>
      <c r="W2605">
        <v>7</v>
      </c>
      <c r="X2605" t="s">
        <v>10267</v>
      </c>
      <c r="Y2605">
        <v>0.6246642316665697</v>
      </c>
      <c r="Z2605" t="str">
        <f>HYPERLINK("Melting_Curves/meltCurve_sp_Q9BZK7_TBL1R_HUMAN_.pdf", "Melting_Curves/meltCurve_sp_Q9BZK7_TBL1R_HUMAN_.pdf")</f>
        <v>Melting_Curves/meltCurve_sp_Q9BZK7_TBL1R_HUMAN_.pdf</v>
      </c>
      <c r="AA2605" t="s">
        <v>14065</v>
      </c>
      <c r="AB2605" t="s">
        <v>17845</v>
      </c>
    </row>
    <row r="2606" spans="1:28" x14ac:dyDescent="0.25">
      <c r="A2606" t="s">
        <v>2610</v>
      </c>
      <c r="B2606">
        <v>0.98876768158843997</v>
      </c>
      <c r="C2606">
        <v>1.10706452013968</v>
      </c>
      <c r="D2606">
        <v>0.862301603329796</v>
      </c>
      <c r="E2606">
        <v>0.78127455220573305</v>
      </c>
      <c r="F2606">
        <v>0.70257474589926106</v>
      </c>
      <c r="G2606">
        <v>0.32679423143154201</v>
      </c>
      <c r="H2606">
        <v>0.15195361845816699</v>
      </c>
      <c r="I2606">
        <v>0.107660686642325</v>
      </c>
      <c r="J2606">
        <v>0.10076590542758</v>
      </c>
      <c r="K2606">
        <v>0.10095678243683601</v>
      </c>
      <c r="L2606">
        <v>927.00227061061901</v>
      </c>
      <c r="M2606">
        <v>17.054733654059898</v>
      </c>
      <c r="N2606">
        <v>54.721771368622903</v>
      </c>
      <c r="O2606">
        <v>53.623744679199298</v>
      </c>
      <c r="P2606">
        <v>-7.52163883827483E-2</v>
      </c>
      <c r="Q2606">
        <v>5.40718015942835E-2</v>
      </c>
      <c r="R2606">
        <v>0.97770875092634102</v>
      </c>
      <c r="S2606" t="s">
        <v>6438</v>
      </c>
      <c r="T2606" t="s">
        <v>7662</v>
      </c>
      <c r="U2606" t="s">
        <v>7662</v>
      </c>
      <c r="V2606" t="s">
        <v>7662</v>
      </c>
      <c r="W2606">
        <v>3</v>
      </c>
      <c r="X2606" t="s">
        <v>10268</v>
      </c>
      <c r="Y2606">
        <v>0.52283725533286074</v>
      </c>
      <c r="Z2606" t="str">
        <f>HYPERLINK("Melting_Curves/meltCurve_sp_Q9BZL1_UBL5_HUMAN_.pdf", "Melting_Curves/meltCurve_sp_Q9BZL1_UBL5_HUMAN_.pdf")</f>
        <v>Melting_Curves/meltCurve_sp_Q9BZL1_UBL5_HUMAN_.pdf</v>
      </c>
      <c r="AA2606" t="s">
        <v>14066</v>
      </c>
      <c r="AB2606" t="s">
        <v>17846</v>
      </c>
    </row>
    <row r="2607" spans="1:28" x14ac:dyDescent="0.25">
      <c r="A2607" t="s">
        <v>2611</v>
      </c>
      <c r="B2607">
        <v>0.98876768158843997</v>
      </c>
      <c r="C2607">
        <v>1.01485332738358</v>
      </c>
      <c r="D2607">
        <v>0.94140111675291505</v>
      </c>
      <c r="E2607">
        <v>0.71166313631068301</v>
      </c>
      <c r="F2607">
        <v>0.735553285097021</v>
      </c>
      <c r="G2607">
        <v>0.48967839493005499</v>
      </c>
      <c r="H2607">
        <v>0.41894330838393701</v>
      </c>
      <c r="I2607">
        <v>0.47704419757174199</v>
      </c>
      <c r="J2607">
        <v>0.567582109554989</v>
      </c>
      <c r="K2607">
        <v>0.69613063416972898</v>
      </c>
      <c r="L2607">
        <v>1114.36387044649</v>
      </c>
      <c r="M2607">
        <v>22.347309236973999</v>
      </c>
      <c r="O2607">
        <v>49.471532859883098</v>
      </c>
      <c r="P2607">
        <v>-5.25623024136408E-2</v>
      </c>
      <c r="Q2607">
        <v>0.53456891459775402</v>
      </c>
      <c r="R2607">
        <v>0.85040886517238801</v>
      </c>
      <c r="S2607" t="s">
        <v>6439</v>
      </c>
      <c r="T2607" t="s">
        <v>7662</v>
      </c>
      <c r="U2607" t="s">
        <v>7662</v>
      </c>
      <c r="V2607" t="s">
        <v>7662</v>
      </c>
      <c r="W2607">
        <v>15</v>
      </c>
      <c r="X2607" t="s">
        <v>10269</v>
      </c>
      <c r="Y2607">
        <v>0.69283260066589369</v>
      </c>
      <c r="Z2607" t="str">
        <f>HYPERLINK("Melting_Curves/meltCurve_sp_Q9BZL4_PP12C_HUMAN_.pdf", "Melting_Curves/meltCurve_sp_Q9BZL4_PP12C_HUMAN_.pdf")</f>
        <v>Melting_Curves/meltCurve_sp_Q9BZL4_PP12C_HUMAN_.pdf</v>
      </c>
      <c r="AA2607" t="s">
        <v>14067</v>
      </c>
      <c r="AB2607" t="s">
        <v>17847</v>
      </c>
    </row>
    <row r="2608" spans="1:28" x14ac:dyDescent="0.25">
      <c r="A2608" t="s">
        <v>2612</v>
      </c>
      <c r="B2608">
        <v>0.98876768158843997</v>
      </c>
      <c r="C2608">
        <v>0.92112031500293801</v>
      </c>
      <c r="D2608">
        <v>0.88693169318808396</v>
      </c>
      <c r="E2608">
        <v>0.76110434973113295</v>
      </c>
      <c r="F2608">
        <v>0.62797178399990194</v>
      </c>
      <c r="G2608">
        <v>0.230543402783663</v>
      </c>
      <c r="H2608">
        <v>9.7665332232711996E-2</v>
      </c>
      <c r="I2608">
        <v>8.6572342412990305E-2</v>
      </c>
      <c r="J2608">
        <v>9.9953893063732105E-2</v>
      </c>
      <c r="K2608">
        <v>3.4463487842798297E-2</v>
      </c>
      <c r="L2608">
        <v>905.37174852187798</v>
      </c>
      <c r="M2608">
        <v>16.905374128974302</v>
      </c>
      <c r="N2608">
        <v>53.703916474100403</v>
      </c>
      <c r="O2608">
        <v>52.8227211327264</v>
      </c>
      <c r="P2608">
        <v>-7.8186065272830604E-2</v>
      </c>
      <c r="Q2608">
        <v>2.28575263483945E-2</v>
      </c>
      <c r="R2608">
        <v>0.98677206440129595</v>
      </c>
      <c r="S2608" t="s">
        <v>6440</v>
      </c>
      <c r="T2608" t="s">
        <v>7662</v>
      </c>
      <c r="U2608" t="s">
        <v>7662</v>
      </c>
      <c r="V2608" t="s">
        <v>7662</v>
      </c>
      <c r="W2608">
        <v>10</v>
      </c>
      <c r="X2608" t="s">
        <v>10270</v>
      </c>
      <c r="Y2608">
        <v>0.48174531931251008</v>
      </c>
      <c r="Z2608" t="str">
        <f>HYPERLINK("Melting_Curves/meltCurve_sp_Q9BZZ5_2_API5_HUMAN_.pdf", "Melting_Curves/meltCurve_sp_Q9BZZ5_2_API5_HUMAN_.pdf")</f>
        <v>Melting_Curves/meltCurve_sp_Q9BZZ5_2_API5_HUMAN_.pdf</v>
      </c>
      <c r="AA2608" t="s">
        <v>14068</v>
      </c>
      <c r="AB2608" t="s">
        <v>17848</v>
      </c>
    </row>
    <row r="2609" spans="1:28" x14ac:dyDescent="0.25">
      <c r="A2609" t="s">
        <v>2613</v>
      </c>
      <c r="B2609">
        <v>0.98876768158843997</v>
      </c>
      <c r="C2609">
        <v>1.06975696174784</v>
      </c>
      <c r="D2609">
        <v>1.0084517886503199</v>
      </c>
      <c r="E2609">
        <v>0.90900453401223902</v>
      </c>
      <c r="F2609">
        <v>0.82762814161697595</v>
      </c>
      <c r="G2609">
        <v>0.61311932248683298</v>
      </c>
      <c r="H2609">
        <v>0.50119792689547904</v>
      </c>
      <c r="I2609">
        <v>0.58201154016036305</v>
      </c>
      <c r="J2609">
        <v>0.65623341324028905</v>
      </c>
      <c r="K2609">
        <v>0.74240469880525695</v>
      </c>
      <c r="L2609">
        <v>1864.77187874739</v>
      </c>
      <c r="M2609">
        <v>35.296621979403298</v>
      </c>
      <c r="O2609">
        <v>52.662733376770099</v>
      </c>
      <c r="P2609">
        <v>-6.4428468698213406E-2</v>
      </c>
      <c r="Q2609">
        <v>0.61549094648746805</v>
      </c>
      <c r="R2609">
        <v>0.88387020814995199</v>
      </c>
      <c r="S2609" t="s">
        <v>6441</v>
      </c>
      <c r="T2609" t="s">
        <v>7662</v>
      </c>
      <c r="U2609" t="s">
        <v>7662</v>
      </c>
      <c r="V2609" t="s">
        <v>7662</v>
      </c>
      <c r="W2609">
        <v>3</v>
      </c>
      <c r="X2609" t="s">
        <v>10271</v>
      </c>
      <c r="Y2609">
        <v>0.78175351276853244</v>
      </c>
      <c r="Z2609" t="str">
        <f>HYPERLINK("Melting_Curves/meltCurve_sp_Q9C005_DPY30_HUMAN_.pdf", "Melting_Curves/meltCurve_sp_Q9C005_DPY30_HUMAN_.pdf")</f>
        <v>Melting_Curves/meltCurve_sp_Q9C005_DPY30_HUMAN_.pdf</v>
      </c>
      <c r="AA2609" t="s">
        <v>14069</v>
      </c>
      <c r="AB2609" t="s">
        <v>17849</v>
      </c>
    </row>
    <row r="2610" spans="1:28" x14ac:dyDescent="0.25">
      <c r="A2610" t="s">
        <v>2614</v>
      </c>
      <c r="B2610">
        <v>0.98876768158843997</v>
      </c>
      <c r="C2610">
        <v>0.79868415597575004</v>
      </c>
      <c r="D2610">
        <v>0.90406554692244101</v>
      </c>
      <c r="E2610">
        <v>0.47581314548867398</v>
      </c>
      <c r="F2610">
        <v>0.14696780763572001</v>
      </c>
      <c r="G2610">
        <v>0.10682775674757</v>
      </c>
      <c r="H2610">
        <v>3.7835105856979301E-2</v>
      </c>
      <c r="I2610">
        <v>3.0133679201624901E-2</v>
      </c>
      <c r="J2610">
        <v>3.9650144273184702E-2</v>
      </c>
      <c r="K2610">
        <v>2.5981882891390501E-2</v>
      </c>
      <c r="L2610">
        <v>1146.12667710559</v>
      </c>
      <c r="M2610">
        <v>23.166714963709602</v>
      </c>
      <c r="N2610">
        <v>49.6007314983421</v>
      </c>
      <c r="O2610">
        <v>49.1088076286497</v>
      </c>
      <c r="P2610">
        <v>-0.11452247692720301</v>
      </c>
      <c r="Q2610">
        <v>2.8959035181736498E-2</v>
      </c>
      <c r="R2610">
        <v>0.97402820822274505</v>
      </c>
      <c r="S2610" t="s">
        <v>6442</v>
      </c>
      <c r="T2610" t="s">
        <v>7662</v>
      </c>
      <c r="U2610" t="s">
        <v>7662</v>
      </c>
      <c r="V2610" t="s">
        <v>7662</v>
      </c>
      <c r="W2610">
        <v>2</v>
      </c>
      <c r="X2610" t="s">
        <v>10272</v>
      </c>
      <c r="Y2610">
        <v>0.3456626211276671</v>
      </c>
      <c r="Z2610" t="str">
        <f>HYPERLINK("Melting_Curves/meltCurve_sp_Q9C040_TRIM2_HUMAN_.pdf", "Melting_Curves/meltCurve_sp_Q9C040_TRIM2_HUMAN_.pdf")</f>
        <v>Melting_Curves/meltCurve_sp_Q9C040_TRIM2_HUMAN_.pdf</v>
      </c>
      <c r="AA2610" t="s">
        <v>14070</v>
      </c>
      <c r="AB2610" t="s">
        <v>17850</v>
      </c>
    </row>
    <row r="2611" spans="1:28" x14ac:dyDescent="0.25">
      <c r="A2611" t="s">
        <v>2615</v>
      </c>
      <c r="B2611">
        <v>0.98876768158843997</v>
      </c>
      <c r="C2611">
        <v>0.96307038203691997</v>
      </c>
      <c r="D2611">
        <v>0.89372056634910502</v>
      </c>
      <c r="E2611">
        <v>0.65068850099287101</v>
      </c>
      <c r="F2611">
        <v>0.746492337701257</v>
      </c>
      <c r="G2611">
        <v>0.50363306927087603</v>
      </c>
      <c r="H2611">
        <v>0.34764174918903301</v>
      </c>
      <c r="I2611">
        <v>0.38772443129756201</v>
      </c>
      <c r="J2611">
        <v>0.50408106098961802</v>
      </c>
      <c r="K2611">
        <v>0.55268132122107205</v>
      </c>
      <c r="L2611">
        <v>766.26123007630201</v>
      </c>
      <c r="M2611">
        <v>15.2678374663612</v>
      </c>
      <c r="N2611">
        <v>58.427740595810803</v>
      </c>
      <c r="O2611">
        <v>49.350566490871898</v>
      </c>
      <c r="P2611">
        <v>-4.3166414343678197E-2</v>
      </c>
      <c r="Q2611">
        <v>0.44194145109591998</v>
      </c>
      <c r="R2611">
        <v>0.87957871529286702</v>
      </c>
      <c r="S2611" t="s">
        <v>6443</v>
      </c>
      <c r="T2611" t="s">
        <v>7662</v>
      </c>
      <c r="U2611" t="s">
        <v>7662</v>
      </c>
      <c r="V2611" t="s">
        <v>7662</v>
      </c>
      <c r="W2611">
        <v>5</v>
      </c>
      <c r="X2611" t="s">
        <v>10273</v>
      </c>
      <c r="Y2611">
        <v>0.64427966358405586</v>
      </c>
      <c r="Z2611" t="str">
        <f>HYPERLINK("Melting_Curves/meltCurve_sp_Q9C0B0_UNK_HUMAN_.pdf", "Melting_Curves/meltCurve_sp_Q9C0B0_UNK_HUMAN_.pdf")</f>
        <v>Melting_Curves/meltCurve_sp_Q9C0B0_UNK_HUMAN_.pdf</v>
      </c>
      <c r="AA2611" t="s">
        <v>14071</v>
      </c>
      <c r="AB2611" t="s">
        <v>17851</v>
      </c>
    </row>
    <row r="2612" spans="1:28" x14ac:dyDescent="0.25">
      <c r="A2612" t="s">
        <v>2616</v>
      </c>
      <c r="B2612">
        <v>0.98876768158843997</v>
      </c>
      <c r="C2612">
        <v>0.95180042930253395</v>
      </c>
      <c r="D2612">
        <v>1.0862135009089</v>
      </c>
      <c r="E2612">
        <v>0.95016938534724205</v>
      </c>
      <c r="F2612">
        <v>0.46845114893737</v>
      </c>
      <c r="G2612">
        <v>0.271724707927475</v>
      </c>
      <c r="H2612">
        <v>0.13857224227430001</v>
      </c>
      <c r="I2612">
        <v>0.108627560661138</v>
      </c>
      <c r="J2612">
        <v>0.22897790103478299</v>
      </c>
      <c r="K2612">
        <v>8.4161499335142401E-2</v>
      </c>
      <c r="L2612">
        <v>2433.9290650658299</v>
      </c>
      <c r="M2612">
        <v>46.3718133766126</v>
      </c>
      <c r="N2612">
        <v>52.926448770552298</v>
      </c>
      <c r="O2612">
        <v>52.3899235614304</v>
      </c>
      <c r="P2612">
        <v>-0.18594181631031301</v>
      </c>
      <c r="Q2612">
        <v>0.15970804106544001</v>
      </c>
      <c r="R2612">
        <v>0.97886357901762999</v>
      </c>
      <c r="S2612" t="s">
        <v>6444</v>
      </c>
      <c r="T2612" t="s">
        <v>7662</v>
      </c>
      <c r="U2612" t="s">
        <v>7662</v>
      </c>
      <c r="V2612" t="s">
        <v>7662</v>
      </c>
      <c r="W2612">
        <v>6</v>
      </c>
      <c r="X2612" t="s">
        <v>10274</v>
      </c>
      <c r="Y2612">
        <v>0.51173598404531662</v>
      </c>
      <c r="Z2612" t="str">
        <f>HYPERLINK("Melting_Curves/meltCurve_sp_Q9C0B1_FTO_HUMAN_.pdf", "Melting_Curves/meltCurve_sp_Q9C0B1_FTO_HUMAN_.pdf")</f>
        <v>Melting_Curves/meltCurve_sp_Q9C0B1_FTO_HUMAN_.pdf</v>
      </c>
      <c r="AA2612" t="s">
        <v>14072</v>
      </c>
      <c r="AB2612" t="s">
        <v>17852</v>
      </c>
    </row>
    <row r="2613" spans="1:28" x14ac:dyDescent="0.25">
      <c r="A2613" t="s">
        <v>2617</v>
      </c>
      <c r="B2613">
        <v>0.98876768158843997</v>
      </c>
      <c r="C2613">
        <v>1.1389131656957501</v>
      </c>
      <c r="D2613">
        <v>1.02981733213104</v>
      </c>
      <c r="E2613">
        <v>0.85722859177519894</v>
      </c>
      <c r="F2613">
        <v>0.72282690685031903</v>
      </c>
      <c r="G2613">
        <v>0.50365628635315496</v>
      </c>
      <c r="H2613">
        <v>0.38208585869976203</v>
      </c>
      <c r="I2613">
        <v>0.37760477404649401</v>
      </c>
      <c r="J2613">
        <v>0.69043865766423396</v>
      </c>
      <c r="K2613">
        <v>0.56929632661576601</v>
      </c>
      <c r="L2613">
        <v>1665.73640471867</v>
      </c>
      <c r="M2613">
        <v>31.965442169562401</v>
      </c>
      <c r="O2613">
        <v>51.907862550544799</v>
      </c>
      <c r="P2613">
        <v>-7.6807872104268399E-2</v>
      </c>
      <c r="Q2613">
        <v>0.50109718388700797</v>
      </c>
      <c r="R2613">
        <v>0.85555464362485401</v>
      </c>
      <c r="S2613" t="s">
        <v>6445</v>
      </c>
      <c r="T2613" t="s">
        <v>7662</v>
      </c>
      <c r="U2613" t="s">
        <v>7662</v>
      </c>
      <c r="V2613" t="s">
        <v>7662</v>
      </c>
      <c r="W2613">
        <v>2</v>
      </c>
      <c r="X2613" t="s">
        <v>10275</v>
      </c>
      <c r="Y2613">
        <v>0.70531150194309633</v>
      </c>
      <c r="Z2613" t="str">
        <f>HYPERLINK("Melting_Curves/meltCurve_sp_Q9C0B5_2_ZDHC5_HUMAN_.pdf", "Melting_Curves/meltCurve_sp_Q9C0B5_2_ZDHC5_HUMAN_.pdf")</f>
        <v>Melting_Curves/meltCurve_sp_Q9C0B5_2_ZDHC5_HUMAN_.pdf</v>
      </c>
      <c r="AA2613" t="s">
        <v>14073</v>
      </c>
      <c r="AB2613" t="s">
        <v>17853</v>
      </c>
    </row>
    <row r="2614" spans="1:28" x14ac:dyDescent="0.25">
      <c r="A2614" t="s">
        <v>2618</v>
      </c>
      <c r="B2614">
        <v>0.98876768158843997</v>
      </c>
      <c r="C2614">
        <v>1.02770421095316</v>
      </c>
      <c r="D2614">
        <v>0.912958565674307</v>
      </c>
      <c r="E2614">
        <v>0.75172587757819997</v>
      </c>
      <c r="F2614">
        <v>0.78573946925487603</v>
      </c>
      <c r="G2614">
        <v>0.59531860216962895</v>
      </c>
      <c r="H2614">
        <v>0.48176834066329899</v>
      </c>
      <c r="I2614">
        <v>0.57560771411172096</v>
      </c>
      <c r="J2614">
        <v>0.681779301132305</v>
      </c>
      <c r="K2614">
        <v>0.80513362324550497</v>
      </c>
      <c r="L2614">
        <v>1069.7025267799399</v>
      </c>
      <c r="M2614">
        <v>21.8095169247093</v>
      </c>
      <c r="O2614">
        <v>48.640737761911502</v>
      </c>
      <c r="P2614">
        <v>-4.0895480038617198E-2</v>
      </c>
      <c r="Q2614">
        <v>0.63517938360199899</v>
      </c>
      <c r="R2614">
        <v>0.74851989537532404</v>
      </c>
      <c r="S2614" t="s">
        <v>6446</v>
      </c>
      <c r="T2614" t="s">
        <v>7662</v>
      </c>
      <c r="U2614" t="s">
        <v>7662</v>
      </c>
      <c r="V2614" t="s">
        <v>7662</v>
      </c>
      <c r="W2614">
        <v>55</v>
      </c>
      <c r="X2614" t="s">
        <v>10276</v>
      </c>
      <c r="Y2614">
        <v>0.74948435822140125</v>
      </c>
      <c r="Z2614" t="str">
        <f>HYPERLINK("Melting_Curves/meltCurve_sp_Q9C0C2_TB182_HUMAN_.pdf", "Melting_Curves/meltCurve_sp_Q9C0C2_TB182_HUMAN_.pdf")</f>
        <v>Melting_Curves/meltCurve_sp_Q9C0C2_TB182_HUMAN_.pdf</v>
      </c>
      <c r="AA2614" t="s">
        <v>14074</v>
      </c>
      <c r="AB2614" t="s">
        <v>17854</v>
      </c>
    </row>
    <row r="2615" spans="1:28" x14ac:dyDescent="0.25">
      <c r="A2615" t="s">
        <v>2619</v>
      </c>
      <c r="B2615">
        <v>0.98876768158843997</v>
      </c>
      <c r="C2615">
        <v>0.90062194292976605</v>
      </c>
      <c r="D2615">
        <v>1.0388592386900299</v>
      </c>
      <c r="E2615">
        <v>0.84975456278695005</v>
      </c>
      <c r="F2615">
        <v>0.402272944931376</v>
      </c>
      <c r="G2615">
        <v>0.22813271965118501</v>
      </c>
      <c r="H2615">
        <v>0.15000165220422401</v>
      </c>
      <c r="I2615">
        <v>0.13492714664001601</v>
      </c>
      <c r="J2615">
        <v>0.15254750838790801</v>
      </c>
      <c r="K2615">
        <v>0.14660581842665299</v>
      </c>
      <c r="L2615">
        <v>2034.1650353253301</v>
      </c>
      <c r="M2615">
        <v>39.1988994939938</v>
      </c>
      <c r="N2615">
        <v>52.390583659567497</v>
      </c>
      <c r="O2615">
        <v>51.758915082658199</v>
      </c>
      <c r="P2615">
        <v>-0.159927881098163</v>
      </c>
      <c r="Q2615">
        <v>0.15531557246488101</v>
      </c>
      <c r="R2615">
        <v>0.989252435667758</v>
      </c>
      <c r="S2615" t="s">
        <v>6447</v>
      </c>
      <c r="T2615" t="s">
        <v>7662</v>
      </c>
      <c r="U2615" t="s">
        <v>7662</v>
      </c>
      <c r="V2615" t="s">
        <v>7662</v>
      </c>
      <c r="W2615">
        <v>4</v>
      </c>
      <c r="X2615" t="s">
        <v>10277</v>
      </c>
      <c r="Y2615">
        <v>0.49334290143600551</v>
      </c>
      <c r="Z2615" t="str">
        <f>HYPERLINK("Melting_Curves/meltCurve_sp_Q9C0C9_UBE2O_HUMAN_.pdf", "Melting_Curves/meltCurve_sp_Q9C0C9_UBE2O_HUMAN_.pdf")</f>
        <v>Melting_Curves/meltCurve_sp_Q9C0C9_UBE2O_HUMAN_.pdf</v>
      </c>
      <c r="AA2615" t="s">
        <v>14075</v>
      </c>
      <c r="AB2615" t="s">
        <v>17855</v>
      </c>
    </row>
    <row r="2616" spans="1:28" x14ac:dyDescent="0.25">
      <c r="A2616" t="s">
        <v>2620</v>
      </c>
      <c r="B2616">
        <v>0.98876768158843997</v>
      </c>
      <c r="C2616">
        <v>0.80555612830261802</v>
      </c>
      <c r="D2616">
        <v>1.20430401533749</v>
      </c>
      <c r="E2616">
        <v>0.95439623208968205</v>
      </c>
      <c r="F2616">
        <v>0.170371910546122</v>
      </c>
      <c r="G2616">
        <v>8.4474964190506194E-2</v>
      </c>
      <c r="H2616">
        <v>5.1468135768298597E-2</v>
      </c>
      <c r="I2616">
        <v>4.5315453447336798E-2</v>
      </c>
      <c r="J2616">
        <v>4.3212686727543199E-2</v>
      </c>
      <c r="K2616">
        <v>1.46120417342375E-2</v>
      </c>
      <c r="L2616">
        <v>4324.30396881448</v>
      </c>
      <c r="M2616">
        <v>83.499461577869099</v>
      </c>
      <c r="N2616">
        <v>51.850621336239101</v>
      </c>
      <c r="O2616">
        <v>51.7587228958023</v>
      </c>
      <c r="P2616">
        <v>-0.38408239946036499</v>
      </c>
      <c r="Q2616">
        <v>4.7677113837520102E-2</v>
      </c>
      <c r="R2616">
        <v>0.96139405426950797</v>
      </c>
      <c r="S2616" t="s">
        <v>6448</v>
      </c>
      <c r="T2616" t="s">
        <v>7662</v>
      </c>
      <c r="U2616" t="s">
        <v>7662</v>
      </c>
      <c r="V2616" t="s">
        <v>7662</v>
      </c>
      <c r="W2616">
        <v>2</v>
      </c>
      <c r="X2616" t="s">
        <v>10278</v>
      </c>
      <c r="Y2616">
        <v>0.42266665691814298</v>
      </c>
      <c r="Z2616" t="str">
        <f>HYPERLINK("Melting_Curves/meltCurve_sp_Q9C0G6_DYH6_HUMAN_.pdf", "Melting_Curves/meltCurve_sp_Q9C0G6_DYH6_HUMAN_.pdf")</f>
        <v>Melting_Curves/meltCurve_sp_Q9C0G6_DYH6_HUMAN_.pdf</v>
      </c>
      <c r="AA2616" t="s">
        <v>14076</v>
      </c>
      <c r="AB2616" t="s">
        <v>17856</v>
      </c>
    </row>
    <row r="2617" spans="1:28" x14ac:dyDescent="0.25">
      <c r="A2617" t="s">
        <v>2621</v>
      </c>
      <c r="B2617">
        <v>0.98876768158843997</v>
      </c>
      <c r="C2617">
        <v>1.05653583841201</v>
      </c>
      <c r="D2617">
        <v>0.89652207413269502</v>
      </c>
      <c r="E2617">
        <v>0.67708769100620902</v>
      </c>
      <c r="F2617">
        <v>0.62346482106756296</v>
      </c>
      <c r="G2617">
        <v>0.39883870731530402</v>
      </c>
      <c r="H2617">
        <v>0.28485293254507799</v>
      </c>
      <c r="I2617">
        <v>0.28720950313436699</v>
      </c>
      <c r="J2617">
        <v>0.35164310766071499</v>
      </c>
      <c r="K2617">
        <v>0.326900285884139</v>
      </c>
      <c r="L2617">
        <v>879.408694975549</v>
      </c>
      <c r="M2617">
        <v>17.1261757845934</v>
      </c>
      <c r="N2617">
        <v>54.188627341905999</v>
      </c>
      <c r="O2617">
        <v>50.664044653024597</v>
      </c>
      <c r="P2617">
        <v>-5.9479801981824398E-2</v>
      </c>
      <c r="Q2617">
        <v>0.29621035300007098</v>
      </c>
      <c r="R2617">
        <v>0.97536956399149999</v>
      </c>
      <c r="S2617" t="s">
        <v>6449</v>
      </c>
      <c r="T2617" t="s">
        <v>7662</v>
      </c>
      <c r="U2617" t="s">
        <v>7662</v>
      </c>
      <c r="V2617" t="s">
        <v>7662</v>
      </c>
      <c r="W2617">
        <v>7</v>
      </c>
      <c r="X2617" t="s">
        <v>10279</v>
      </c>
      <c r="Y2617">
        <v>0.57533383318092357</v>
      </c>
      <c r="Z2617" t="str">
        <f>HYPERLINK("Melting_Curves/meltCurve_sp_Q9C0H9_5_SRCN1_HUMAN_.pdf", "Melting_Curves/meltCurve_sp_Q9C0H9_5_SRCN1_HUMAN_.pdf")</f>
        <v>Melting_Curves/meltCurve_sp_Q9C0H9_5_SRCN1_HUMAN_.pdf</v>
      </c>
      <c r="AA2617" t="s">
        <v>14077</v>
      </c>
      <c r="AB2617" t="s">
        <v>17857</v>
      </c>
    </row>
    <row r="2618" spans="1:28" x14ac:dyDescent="0.25">
      <c r="A2618" t="s">
        <v>2622</v>
      </c>
      <c r="B2618">
        <v>0.98876768158843997</v>
      </c>
      <c r="C2618">
        <v>1.2092246019277599</v>
      </c>
      <c r="D2618">
        <v>1.3822563245909101</v>
      </c>
      <c r="E2618">
        <v>0.68953799200302901</v>
      </c>
      <c r="F2618">
        <v>0.66375970031355702</v>
      </c>
      <c r="G2618">
        <v>0.15515737891310999</v>
      </c>
      <c r="H2618">
        <v>0</v>
      </c>
      <c r="I2618">
        <v>0</v>
      </c>
      <c r="J2618">
        <v>0</v>
      </c>
      <c r="K2618">
        <v>0</v>
      </c>
      <c r="L2618">
        <v>1419.7825477665201</v>
      </c>
      <c r="M2618">
        <v>26.458461831931199</v>
      </c>
      <c r="N2618">
        <v>53.660836966483203</v>
      </c>
      <c r="O2618">
        <v>53.3571020401033</v>
      </c>
      <c r="P2618">
        <v>-0.12397015248960799</v>
      </c>
      <c r="Q2618">
        <v>0</v>
      </c>
      <c r="R2618">
        <v>0.910075703525141</v>
      </c>
      <c r="S2618" t="s">
        <v>6450</v>
      </c>
      <c r="T2618" t="s">
        <v>7662</v>
      </c>
      <c r="U2618" t="s">
        <v>7662</v>
      </c>
      <c r="V2618" t="s">
        <v>7662</v>
      </c>
      <c r="W2618">
        <v>4</v>
      </c>
      <c r="X2618" t="s">
        <v>10280</v>
      </c>
      <c r="Y2618">
        <v>0.46367764766523029</v>
      </c>
      <c r="Z2618" t="str">
        <f>HYPERLINK("Melting_Curves/meltCurve_sp_Q9C0I1_MTMRC_HUMAN_.pdf", "Melting_Curves/meltCurve_sp_Q9C0I1_MTMRC_HUMAN_.pdf")</f>
        <v>Melting_Curves/meltCurve_sp_Q9C0I1_MTMRC_HUMAN_.pdf</v>
      </c>
      <c r="AA2618" t="s">
        <v>14078</v>
      </c>
      <c r="AB2618" t="s">
        <v>17858</v>
      </c>
    </row>
    <row r="2619" spans="1:28" x14ac:dyDescent="0.25">
      <c r="A2619" t="s">
        <v>2623</v>
      </c>
      <c r="B2619">
        <v>0.98876768158843997</v>
      </c>
      <c r="C2619">
        <v>0.97762365600402301</v>
      </c>
      <c r="D2619">
        <v>0.87861768374965799</v>
      </c>
      <c r="E2619">
        <v>0.81685267570944897</v>
      </c>
      <c r="F2619">
        <v>0.79616405054284101</v>
      </c>
      <c r="G2619">
        <v>0.62214404086915298</v>
      </c>
      <c r="H2619">
        <v>0.41888732629982001</v>
      </c>
      <c r="I2619">
        <v>0.50354787047376004</v>
      </c>
      <c r="J2619">
        <v>0.605893648450331</v>
      </c>
      <c r="K2619">
        <v>0.67955206063181495</v>
      </c>
      <c r="L2619">
        <v>829.91462767290898</v>
      </c>
      <c r="M2619">
        <v>16.179795478305302</v>
      </c>
      <c r="O2619">
        <v>50.528917797338302</v>
      </c>
      <c r="P2619">
        <v>-3.6164983663930998E-2</v>
      </c>
      <c r="Q2619">
        <v>0.54826615177828597</v>
      </c>
      <c r="R2619">
        <v>0.82942729581610897</v>
      </c>
      <c r="S2619" t="s">
        <v>6451</v>
      </c>
      <c r="T2619" t="s">
        <v>7662</v>
      </c>
      <c r="U2619" t="s">
        <v>7662</v>
      </c>
      <c r="V2619" t="s">
        <v>7662</v>
      </c>
      <c r="W2619">
        <v>7</v>
      </c>
      <c r="X2619" t="s">
        <v>10281</v>
      </c>
      <c r="Y2619">
        <v>0.72744171399182678</v>
      </c>
      <c r="Z2619" t="str">
        <f>HYPERLINK("Melting_Curves/meltCurve_sp_Q9C0J8_WDR33_HUMAN_.pdf", "Melting_Curves/meltCurve_sp_Q9C0J8_WDR33_HUMAN_.pdf")</f>
        <v>Melting_Curves/meltCurve_sp_Q9C0J8_WDR33_HUMAN_.pdf</v>
      </c>
      <c r="AA2619" t="s">
        <v>14079</v>
      </c>
      <c r="AB2619" t="s">
        <v>17859</v>
      </c>
    </row>
    <row r="2620" spans="1:28" x14ac:dyDescent="0.25">
      <c r="A2620" t="s">
        <v>2624</v>
      </c>
      <c r="B2620">
        <v>0.98876768158843997</v>
      </c>
      <c r="C2620">
        <v>0.87444933363341804</v>
      </c>
      <c r="D2620">
        <v>0.86824894703380995</v>
      </c>
      <c r="E2620">
        <v>0.68870378046524505</v>
      </c>
      <c r="F2620">
        <v>0.480916562275645</v>
      </c>
      <c r="G2620">
        <v>0.32165469555702397</v>
      </c>
      <c r="H2620">
        <v>0.23961255382150701</v>
      </c>
      <c r="I2620">
        <v>0.13841845905380401</v>
      </c>
      <c r="J2620">
        <v>0.17215408477636401</v>
      </c>
      <c r="K2620">
        <v>3.4725716855215798E-2</v>
      </c>
      <c r="L2620">
        <v>558.05470805016705</v>
      </c>
      <c r="M2620">
        <v>10.5002734647796</v>
      </c>
      <c r="N2620">
        <v>53.258270350785999</v>
      </c>
      <c r="O2620">
        <v>51.327598876973603</v>
      </c>
      <c r="P2620">
        <v>-5.0607380053008903E-2</v>
      </c>
      <c r="Q2620">
        <v>1.0880201932200999E-2</v>
      </c>
      <c r="R2620">
        <v>0.98848986331287902</v>
      </c>
      <c r="S2620" t="s">
        <v>6452</v>
      </c>
      <c r="T2620" t="s">
        <v>7662</v>
      </c>
      <c r="U2620" t="s">
        <v>7662</v>
      </c>
      <c r="V2620" t="s">
        <v>7662</v>
      </c>
      <c r="W2620">
        <v>2</v>
      </c>
      <c r="X2620" t="s">
        <v>10282</v>
      </c>
      <c r="Y2620">
        <v>0.47618099364314143</v>
      </c>
      <c r="Z2620" t="str">
        <f>HYPERLINK("Melting_Curves/meltCurve_sp_Q9GZN8_CT027_HUMAN_.pdf", "Melting_Curves/meltCurve_sp_Q9GZN8_CT027_HUMAN_.pdf")</f>
        <v>Melting_Curves/meltCurve_sp_Q9GZN8_CT027_HUMAN_.pdf</v>
      </c>
      <c r="AA2620" t="s">
        <v>14080</v>
      </c>
      <c r="AB2620" t="s">
        <v>17860</v>
      </c>
    </row>
    <row r="2621" spans="1:28" x14ac:dyDescent="0.25">
      <c r="A2621" t="s">
        <v>2625</v>
      </c>
      <c r="B2621">
        <v>0.98876768158843997</v>
      </c>
      <c r="C2621">
        <v>0.87249174680635</v>
      </c>
      <c r="D2621">
        <v>0.82923142126650795</v>
      </c>
      <c r="E2621">
        <v>0.64342301362546295</v>
      </c>
      <c r="F2621">
        <v>0.64532042860904404</v>
      </c>
      <c r="G2621">
        <v>0.416691119373785</v>
      </c>
      <c r="H2621">
        <v>0.27640656621441401</v>
      </c>
      <c r="I2621">
        <v>0.249074004832116</v>
      </c>
      <c r="J2621">
        <v>0.281103437790586</v>
      </c>
      <c r="K2621">
        <v>0.16087475151424099</v>
      </c>
      <c r="L2621">
        <v>456.884800420815</v>
      </c>
      <c r="M2621">
        <v>8.4634469693667302</v>
      </c>
      <c r="N2621">
        <v>54.910484531808002</v>
      </c>
      <c r="O2621">
        <v>51.222289053175899</v>
      </c>
      <c r="P2621">
        <v>-3.8592353736840099E-2</v>
      </c>
      <c r="Q2621">
        <v>6.6583355584681203E-2</v>
      </c>
      <c r="R2621">
        <v>0.97890888629515904</v>
      </c>
      <c r="S2621" t="s">
        <v>6453</v>
      </c>
      <c r="T2621" t="s">
        <v>7662</v>
      </c>
      <c r="U2621" t="s">
        <v>7662</v>
      </c>
      <c r="V2621" t="s">
        <v>7662</v>
      </c>
      <c r="W2621">
        <v>6</v>
      </c>
      <c r="X2621" t="s">
        <v>10283</v>
      </c>
      <c r="Y2621">
        <v>0.53279206283232627</v>
      </c>
      <c r="Z2621" t="str">
        <f>HYPERLINK("Melting_Curves/meltCurve_sp_Q9GZP4_PITH1_HUMAN_.pdf", "Melting_Curves/meltCurve_sp_Q9GZP4_PITH1_HUMAN_.pdf")</f>
        <v>Melting_Curves/meltCurve_sp_Q9GZP4_PITH1_HUMAN_.pdf</v>
      </c>
      <c r="AA2621" t="s">
        <v>14081</v>
      </c>
      <c r="AB2621" t="s">
        <v>17861</v>
      </c>
    </row>
    <row r="2622" spans="1:28" x14ac:dyDescent="0.25">
      <c r="A2622" t="s">
        <v>2626</v>
      </c>
      <c r="B2622">
        <v>0.98876768158843997</v>
      </c>
      <c r="C2622">
        <v>0.79991440013480797</v>
      </c>
      <c r="D2622">
        <v>1.1362814619575601</v>
      </c>
      <c r="E2622">
        <v>0.87199721667366303</v>
      </c>
      <c r="F2622">
        <v>0.47297395710140899</v>
      </c>
      <c r="G2622">
        <v>0.21722045879469601</v>
      </c>
      <c r="H2622">
        <v>7.1986537022998801E-2</v>
      </c>
      <c r="I2622">
        <v>7.5654520170524694E-2</v>
      </c>
      <c r="J2622">
        <v>4.1920337236481101E-2</v>
      </c>
      <c r="K2622">
        <v>5.0775740140189901E-2</v>
      </c>
      <c r="L2622">
        <v>1579.4243220036899</v>
      </c>
      <c r="M2622">
        <v>29.8974814678737</v>
      </c>
      <c r="N2622">
        <v>53.069994705034503</v>
      </c>
      <c r="O2622">
        <v>52.593349690632998</v>
      </c>
      <c r="P2622">
        <v>-0.133061310470178</v>
      </c>
      <c r="Q2622">
        <v>6.3721292341073404E-2</v>
      </c>
      <c r="R2622">
        <v>0.96079830696986601</v>
      </c>
      <c r="S2622" t="s">
        <v>6454</v>
      </c>
      <c r="T2622" t="s">
        <v>7662</v>
      </c>
      <c r="U2622" t="s">
        <v>7662</v>
      </c>
      <c r="V2622" t="s">
        <v>7662</v>
      </c>
      <c r="W2622">
        <v>3</v>
      </c>
      <c r="X2622" t="s">
        <v>10284</v>
      </c>
      <c r="Y2622">
        <v>0.47017208472859789</v>
      </c>
      <c r="Z2622" t="str">
        <f>HYPERLINK("Melting_Curves/meltCurve_sp_Q9GZQ3_COMD5_HUMAN_.pdf", "Melting_Curves/meltCurve_sp_Q9GZQ3_COMD5_HUMAN_.pdf")</f>
        <v>Melting_Curves/meltCurve_sp_Q9GZQ3_COMD5_HUMAN_.pdf</v>
      </c>
      <c r="AA2622" t="s">
        <v>14082</v>
      </c>
      <c r="AB2622" t="s">
        <v>17862</v>
      </c>
    </row>
    <row r="2623" spans="1:28" x14ac:dyDescent="0.25">
      <c r="A2623" t="s">
        <v>2627</v>
      </c>
      <c r="B2623">
        <v>0.98876768158843997</v>
      </c>
      <c r="C2623">
        <v>0.87580003628559799</v>
      </c>
      <c r="D2623">
        <v>1.00538365644425</v>
      </c>
      <c r="E2623">
        <v>0.43771781719146102</v>
      </c>
      <c r="F2623">
        <v>0.23509438453772299</v>
      </c>
      <c r="G2623">
        <v>0.14376423963426899</v>
      </c>
      <c r="H2623">
        <v>0.124646754400875</v>
      </c>
      <c r="I2623">
        <v>0.15334341989485201</v>
      </c>
      <c r="J2623">
        <v>0.21132241389839901</v>
      </c>
      <c r="K2623">
        <v>0.30112583639879498</v>
      </c>
      <c r="L2623">
        <v>2751.0857151262098</v>
      </c>
      <c r="M2623">
        <v>55.825619313915702</v>
      </c>
      <c r="N2623">
        <v>49.710571936894503</v>
      </c>
      <c r="O2623">
        <v>49.216875354662903</v>
      </c>
      <c r="P2623">
        <v>-0.229207707782629</v>
      </c>
      <c r="Q2623">
        <v>0.19170589061863799</v>
      </c>
      <c r="R2623">
        <v>0.96868881888306202</v>
      </c>
      <c r="S2623" t="s">
        <v>6455</v>
      </c>
      <c r="T2623" t="s">
        <v>7662</v>
      </c>
      <c r="U2623" t="s">
        <v>7662</v>
      </c>
      <c r="V2623" t="s">
        <v>7662</v>
      </c>
      <c r="W2623">
        <v>6</v>
      </c>
      <c r="X2623" t="s">
        <v>10285</v>
      </c>
      <c r="Y2623">
        <v>0.44314574337081941</v>
      </c>
      <c r="Z2623" t="str">
        <f>HYPERLINK("Melting_Curves/meltCurve_sp_Q9GZT3_2_SLIRP_HUMAN_.pdf", "Melting_Curves/meltCurve_sp_Q9GZT3_2_SLIRP_HUMAN_.pdf")</f>
        <v>Melting_Curves/meltCurve_sp_Q9GZT3_2_SLIRP_HUMAN_.pdf</v>
      </c>
      <c r="AA2623" t="s">
        <v>14083</v>
      </c>
      <c r="AB2623" t="s">
        <v>17863</v>
      </c>
    </row>
    <row r="2624" spans="1:28" x14ac:dyDescent="0.25">
      <c r="A2624" t="s">
        <v>2628</v>
      </c>
      <c r="B2624">
        <v>0.98876768158843997</v>
      </c>
      <c r="C2624">
        <v>0.94493969803417799</v>
      </c>
      <c r="D2624">
        <v>1.15236277727398</v>
      </c>
      <c r="E2624">
        <v>1.2146670763863201</v>
      </c>
      <c r="F2624">
        <v>0.84222302902916801</v>
      </c>
      <c r="G2624">
        <v>0.73546711710092005</v>
      </c>
      <c r="H2624">
        <v>0.75640536721850804</v>
      </c>
      <c r="I2624">
        <v>0.89425661259256795</v>
      </c>
      <c r="J2624">
        <v>0.77748716763636405</v>
      </c>
      <c r="K2624">
        <v>0.61453342327247995</v>
      </c>
      <c r="L2624">
        <v>13218.202565993501</v>
      </c>
      <c r="M2624">
        <v>250</v>
      </c>
      <c r="O2624">
        <v>52.869419870693001</v>
      </c>
      <c r="P2624">
        <v>-0.28888401080198101</v>
      </c>
      <c r="Q2624">
        <v>0.75562988742577797</v>
      </c>
      <c r="R2624">
        <v>0.64804351210230804</v>
      </c>
      <c r="S2624" t="s">
        <v>6456</v>
      </c>
      <c r="T2624" t="s">
        <v>7662</v>
      </c>
      <c r="U2624" t="s">
        <v>7662</v>
      </c>
      <c r="V2624" t="s">
        <v>7662</v>
      </c>
      <c r="W2624">
        <v>5</v>
      </c>
      <c r="X2624" t="s">
        <v>10286</v>
      </c>
      <c r="Y2624">
        <v>0.86051023254137049</v>
      </c>
      <c r="Z2624" t="str">
        <f>HYPERLINK("Melting_Curves/meltCurve_sp_Q9GZT8_2_NIF3L_HUMAN_.pdf", "Melting_Curves/meltCurve_sp_Q9GZT8_2_NIF3L_HUMAN_.pdf")</f>
        <v>Melting_Curves/meltCurve_sp_Q9GZT8_2_NIF3L_HUMAN_.pdf</v>
      </c>
      <c r="AA2624" t="s">
        <v>14084</v>
      </c>
      <c r="AB2624" t="s">
        <v>17864</v>
      </c>
    </row>
    <row r="2625" spans="1:28" x14ac:dyDescent="0.25">
      <c r="A2625" t="s">
        <v>2629</v>
      </c>
      <c r="B2625">
        <v>0.98876768158843997</v>
      </c>
      <c r="C2625">
        <v>0.96695941793945395</v>
      </c>
      <c r="D2625">
        <v>0.56630714464572196</v>
      </c>
      <c r="E2625">
        <v>0.34711931745743002</v>
      </c>
      <c r="F2625">
        <v>0.28788490391431198</v>
      </c>
      <c r="G2625">
        <v>0.194915322574578</v>
      </c>
      <c r="H2625">
        <v>0.140827984379883</v>
      </c>
      <c r="I2625">
        <v>0.162328794435177</v>
      </c>
      <c r="J2625">
        <v>0.17526650260402199</v>
      </c>
      <c r="K2625">
        <v>0.21516026501848401</v>
      </c>
      <c r="L2625">
        <v>1075.75279307747</v>
      </c>
      <c r="M2625">
        <v>23.205276732931601</v>
      </c>
      <c r="N2625">
        <v>47.3161934859002</v>
      </c>
      <c r="O2625">
        <v>46.017931140295097</v>
      </c>
      <c r="P2625">
        <v>-0.102436018764565</v>
      </c>
      <c r="Q2625">
        <v>0.18745879242133001</v>
      </c>
      <c r="R2625">
        <v>0.98079653618287999</v>
      </c>
      <c r="S2625" t="s">
        <v>6457</v>
      </c>
      <c r="T2625" t="s">
        <v>7662</v>
      </c>
      <c r="U2625" t="s">
        <v>7662</v>
      </c>
      <c r="V2625" t="s">
        <v>7662</v>
      </c>
      <c r="W2625">
        <v>8</v>
      </c>
      <c r="X2625" t="s">
        <v>10287</v>
      </c>
      <c r="Y2625">
        <v>0.36841824572976473</v>
      </c>
      <c r="Z2625" t="str">
        <f>HYPERLINK("Melting_Curves/meltCurve_sp_Q9GZT9_2_EGLN1_HUMAN_.pdf", "Melting_Curves/meltCurve_sp_Q9GZT9_2_EGLN1_HUMAN_.pdf")</f>
        <v>Melting_Curves/meltCurve_sp_Q9GZT9_2_EGLN1_HUMAN_.pdf</v>
      </c>
      <c r="AA2625" t="s">
        <v>14085</v>
      </c>
      <c r="AB2625" t="s">
        <v>17865</v>
      </c>
    </row>
    <row r="2626" spans="1:28" x14ac:dyDescent="0.25">
      <c r="A2626" t="s">
        <v>2630</v>
      </c>
      <c r="B2626">
        <v>0.98876768158843997</v>
      </c>
      <c r="C2626">
        <v>1.19205493875409</v>
      </c>
      <c r="D2626">
        <v>0.90505532063736704</v>
      </c>
      <c r="E2626">
        <v>0.83641915472180295</v>
      </c>
      <c r="F2626">
        <v>0.823994547192473</v>
      </c>
      <c r="G2626">
        <v>0.58942688372446095</v>
      </c>
      <c r="H2626">
        <v>0.44088602811405397</v>
      </c>
      <c r="I2626">
        <v>0.53976803326626599</v>
      </c>
      <c r="J2626">
        <v>0.57669080772316295</v>
      </c>
      <c r="K2626">
        <v>0.78890369016281903</v>
      </c>
      <c r="L2626">
        <v>1258.1303978271501</v>
      </c>
      <c r="M2626">
        <v>24.2144847156164</v>
      </c>
      <c r="O2626">
        <v>51.6072722473046</v>
      </c>
      <c r="P2626">
        <v>-4.8876035304347802E-2</v>
      </c>
      <c r="Q2626">
        <v>0.58333683465900699</v>
      </c>
      <c r="R2626">
        <v>0.74729476048751597</v>
      </c>
      <c r="S2626" t="s">
        <v>6458</v>
      </c>
      <c r="T2626" t="s">
        <v>7662</v>
      </c>
      <c r="U2626" t="s">
        <v>7662</v>
      </c>
      <c r="V2626" t="s">
        <v>7662</v>
      </c>
      <c r="W2626">
        <v>5</v>
      </c>
      <c r="X2626" t="s">
        <v>10288</v>
      </c>
      <c r="Y2626">
        <v>0.75345788116919954</v>
      </c>
      <c r="Z2626" t="str">
        <f>HYPERLINK("Melting_Curves/meltCurve_sp_Q9GZU8_F192A_HUMAN_.pdf", "Melting_Curves/meltCurve_sp_Q9GZU8_F192A_HUMAN_.pdf")</f>
        <v>Melting_Curves/meltCurve_sp_Q9GZU8_F192A_HUMAN_.pdf</v>
      </c>
      <c r="AA2626" t="s">
        <v>14086</v>
      </c>
      <c r="AB2626" t="s">
        <v>17866</v>
      </c>
    </row>
    <row r="2627" spans="1:28" x14ac:dyDescent="0.25">
      <c r="A2627" t="s">
        <v>2631</v>
      </c>
      <c r="B2627">
        <v>0.98876768158843997</v>
      </c>
      <c r="C2627">
        <v>0.97126887165589404</v>
      </c>
      <c r="D2627">
        <v>0.88337569797509796</v>
      </c>
      <c r="E2627">
        <v>0.59380378676675605</v>
      </c>
      <c r="F2627">
        <v>0.27527834728276002</v>
      </c>
      <c r="G2627">
        <v>0.172546691174259</v>
      </c>
      <c r="H2627">
        <v>0.13592402642005899</v>
      </c>
      <c r="I2627">
        <v>0.153590356688147</v>
      </c>
      <c r="J2627">
        <v>0.1213822909011</v>
      </c>
      <c r="K2627">
        <v>9.5880129292695904E-2</v>
      </c>
      <c r="L2627">
        <v>1187.9585997945401</v>
      </c>
      <c r="M2627">
        <v>23.7294001208531</v>
      </c>
      <c r="N2627">
        <v>50.646967432546901</v>
      </c>
      <c r="O2627">
        <v>49.711253569798998</v>
      </c>
      <c r="P2627">
        <v>-0.105050076897552</v>
      </c>
      <c r="Q2627">
        <v>0.119727487038837</v>
      </c>
      <c r="R2627">
        <v>0.99703486118893303</v>
      </c>
      <c r="S2627" t="s">
        <v>6459</v>
      </c>
      <c r="T2627" t="s">
        <v>7662</v>
      </c>
      <c r="U2627" t="s">
        <v>7662</v>
      </c>
      <c r="V2627" t="s">
        <v>7662</v>
      </c>
      <c r="W2627">
        <v>2</v>
      </c>
      <c r="X2627" t="s">
        <v>10289</v>
      </c>
      <c r="Y2627">
        <v>0.42373235393852199</v>
      </c>
      <c r="Z2627" t="str">
        <f>HYPERLINK("Melting_Curves/meltCurve_sp_Q9GZZ9_UBA5_HUMAN_.pdf", "Melting_Curves/meltCurve_sp_Q9GZZ9_UBA5_HUMAN_.pdf")</f>
        <v>Melting_Curves/meltCurve_sp_Q9GZZ9_UBA5_HUMAN_.pdf</v>
      </c>
      <c r="AA2627" t="s">
        <v>14087</v>
      </c>
      <c r="AB2627" t="s">
        <v>17867</v>
      </c>
    </row>
    <row r="2628" spans="1:28" x14ac:dyDescent="0.25">
      <c r="A2628" t="s">
        <v>2632</v>
      </c>
      <c r="B2628">
        <v>0.98876768158843997</v>
      </c>
      <c r="C2628">
        <v>0.99634297323835197</v>
      </c>
      <c r="D2628">
        <v>0.87859900666642499</v>
      </c>
      <c r="E2628">
        <v>0.833749122775722</v>
      </c>
      <c r="F2628">
        <v>0.84381926844048905</v>
      </c>
      <c r="G2628">
        <v>0.54329338211032296</v>
      </c>
      <c r="H2628">
        <v>0.19622666979269501</v>
      </c>
      <c r="I2628">
        <v>6.4383250747892806E-2</v>
      </c>
      <c r="J2628">
        <v>5.0177633845312299E-2</v>
      </c>
      <c r="K2628">
        <v>4.6701434978973499E-2</v>
      </c>
      <c r="L2628">
        <v>1089.9738850210899</v>
      </c>
      <c r="M2628">
        <v>19.1199616912327</v>
      </c>
      <c r="N2628">
        <v>57.007117428673503</v>
      </c>
      <c r="O2628">
        <v>56.394479584328799</v>
      </c>
      <c r="P2628">
        <v>-8.4763162591979593E-2</v>
      </c>
      <c r="Q2628">
        <v>0</v>
      </c>
      <c r="R2628">
        <v>0.98100406865658296</v>
      </c>
      <c r="S2628" t="s">
        <v>6460</v>
      </c>
      <c r="T2628" t="s">
        <v>7662</v>
      </c>
      <c r="U2628" t="s">
        <v>7662</v>
      </c>
      <c r="V2628" t="s">
        <v>7662</v>
      </c>
      <c r="W2628">
        <v>9</v>
      </c>
      <c r="X2628" t="s">
        <v>10290</v>
      </c>
      <c r="Y2628">
        <v>0.57978437587919274</v>
      </c>
      <c r="Z2628" t="str">
        <f>HYPERLINK("Melting_Curves/meltCurve_sp_Q9H008_LHPP_HUMAN_.pdf", "Melting_Curves/meltCurve_sp_Q9H008_LHPP_HUMAN_.pdf")</f>
        <v>Melting_Curves/meltCurve_sp_Q9H008_LHPP_HUMAN_.pdf</v>
      </c>
      <c r="AA2628" t="s">
        <v>14088</v>
      </c>
      <c r="AB2628" t="s">
        <v>17868</v>
      </c>
    </row>
    <row r="2629" spans="1:28" x14ac:dyDescent="0.25">
      <c r="A2629" t="s">
        <v>2633</v>
      </c>
      <c r="B2629">
        <v>0.98876768158843997</v>
      </c>
      <c r="C2629">
        <v>0.91166331175556403</v>
      </c>
      <c r="D2629">
        <v>0.92488642403803101</v>
      </c>
      <c r="E2629">
        <v>0.78064853932057898</v>
      </c>
      <c r="F2629">
        <v>0.75041803195670298</v>
      </c>
      <c r="G2629">
        <v>0.57592957185391602</v>
      </c>
      <c r="H2629">
        <v>0.38475665285863497</v>
      </c>
      <c r="I2629">
        <v>0.168788834986033</v>
      </c>
      <c r="J2629">
        <v>0.13367920724511201</v>
      </c>
      <c r="K2629">
        <v>8.0064506248037196E-2</v>
      </c>
      <c r="L2629">
        <v>669.52610520956398</v>
      </c>
      <c r="M2629">
        <v>11.656344510230999</v>
      </c>
      <c r="N2629">
        <v>57.438766570718798</v>
      </c>
      <c r="O2629">
        <v>55.8263146610619</v>
      </c>
      <c r="P2629">
        <v>-5.2213215149750802E-2</v>
      </c>
      <c r="Q2629">
        <v>0</v>
      </c>
      <c r="R2629">
        <v>0.98075332051627895</v>
      </c>
      <c r="S2629" t="s">
        <v>6461</v>
      </c>
      <c r="T2629" t="s">
        <v>7662</v>
      </c>
      <c r="U2629" t="s">
        <v>7662</v>
      </c>
      <c r="V2629" t="s">
        <v>7662</v>
      </c>
      <c r="W2629">
        <v>8</v>
      </c>
      <c r="X2629" t="s">
        <v>10291</v>
      </c>
      <c r="Y2629">
        <v>0.59623322091041264</v>
      </c>
      <c r="Z2629" t="str">
        <f>HYPERLINK("Melting_Curves/meltCurve_sp_Q9H074_PAIP1_HUMAN_.pdf", "Melting_Curves/meltCurve_sp_Q9H074_PAIP1_HUMAN_.pdf")</f>
        <v>Melting_Curves/meltCurve_sp_Q9H074_PAIP1_HUMAN_.pdf</v>
      </c>
      <c r="AA2629" t="s">
        <v>14089</v>
      </c>
      <c r="AB2629" t="s">
        <v>17869</v>
      </c>
    </row>
    <row r="2630" spans="1:28" x14ac:dyDescent="0.25">
      <c r="A2630" t="s">
        <v>2634</v>
      </c>
      <c r="B2630">
        <v>0.98876768158843997</v>
      </c>
      <c r="C2630">
        <v>1.1886169989498601</v>
      </c>
      <c r="D2630">
        <v>0.93835119356156105</v>
      </c>
      <c r="E2630">
        <v>0.802023760796157</v>
      </c>
      <c r="F2630">
        <v>0.90051005187600297</v>
      </c>
      <c r="G2630">
        <v>0.68350426012312904</v>
      </c>
      <c r="H2630">
        <v>0.50552392319279804</v>
      </c>
      <c r="I2630">
        <v>0.60738246201309798</v>
      </c>
      <c r="J2630">
        <v>0.74805706087622303</v>
      </c>
      <c r="K2630">
        <v>0.83977136432185495</v>
      </c>
      <c r="L2630">
        <v>1109.07478142388</v>
      </c>
      <c r="M2630">
        <v>21.670228099496001</v>
      </c>
      <c r="O2630">
        <v>50.749790874458903</v>
      </c>
      <c r="P2630">
        <v>-3.4262160806976298E-2</v>
      </c>
      <c r="Q2630">
        <v>0.67905153717228794</v>
      </c>
      <c r="R2630">
        <v>0.63557620713948704</v>
      </c>
      <c r="S2630" t="s">
        <v>6462</v>
      </c>
      <c r="T2630" t="s">
        <v>7662</v>
      </c>
      <c r="U2630" t="s">
        <v>7662</v>
      </c>
      <c r="V2630" t="s">
        <v>7662</v>
      </c>
      <c r="W2630">
        <v>5</v>
      </c>
      <c r="X2630" t="s">
        <v>10292</v>
      </c>
      <c r="Y2630">
        <v>0.80248437411654239</v>
      </c>
      <c r="Z2630" t="str">
        <f>HYPERLINK("Melting_Curves/meltCurve_sp_Q9H098_F107B_HUMAN_.pdf", "Melting_Curves/meltCurve_sp_Q9H098_F107B_HUMAN_.pdf")</f>
        <v>Melting_Curves/meltCurve_sp_Q9H098_F107B_HUMAN_.pdf</v>
      </c>
      <c r="AA2630" t="s">
        <v>14090</v>
      </c>
      <c r="AB2630" t="s">
        <v>17870</v>
      </c>
    </row>
    <row r="2631" spans="1:28" x14ac:dyDescent="0.25">
      <c r="A2631" t="s">
        <v>2635</v>
      </c>
      <c r="B2631">
        <v>0.98876768158843997</v>
      </c>
      <c r="C2631">
        <v>1.0428903863238299</v>
      </c>
      <c r="D2631">
        <v>0.77238408911755396</v>
      </c>
      <c r="E2631">
        <v>0.46329828862990202</v>
      </c>
      <c r="F2631">
        <v>0.171810984300487</v>
      </c>
      <c r="G2631">
        <v>0.11664619588634299</v>
      </c>
      <c r="H2631">
        <v>7.37469105055506E-2</v>
      </c>
      <c r="I2631">
        <v>6.1780858241265502E-2</v>
      </c>
      <c r="J2631">
        <v>4.4672315714820901E-2</v>
      </c>
      <c r="K2631">
        <v>2.6519113021878701E-2</v>
      </c>
      <c r="L2631">
        <v>1069.1531243648401</v>
      </c>
      <c r="M2631">
        <v>21.778978470676101</v>
      </c>
      <c r="N2631">
        <v>49.318322817522102</v>
      </c>
      <c r="O2631">
        <v>48.682806978103301</v>
      </c>
      <c r="P2631">
        <v>-0.106503982202867</v>
      </c>
      <c r="Q2631">
        <v>4.7743885489800297E-2</v>
      </c>
      <c r="R2631">
        <v>0.99154094300226903</v>
      </c>
      <c r="S2631" t="s">
        <v>6463</v>
      </c>
      <c r="T2631" t="s">
        <v>7662</v>
      </c>
      <c r="U2631" t="s">
        <v>7662</v>
      </c>
      <c r="V2631" t="s">
        <v>7662</v>
      </c>
      <c r="W2631">
        <v>5</v>
      </c>
      <c r="X2631" t="s">
        <v>10293</v>
      </c>
      <c r="Y2631">
        <v>0.3475165572239286</v>
      </c>
      <c r="Z2631" t="str">
        <f>HYPERLINK("Melting_Curves/meltCurve_sp_Q9H0C8_ILKAP_HUMAN_.pdf", "Melting_Curves/meltCurve_sp_Q9H0C8_ILKAP_HUMAN_.pdf")</f>
        <v>Melting_Curves/meltCurve_sp_Q9H0C8_ILKAP_HUMAN_.pdf</v>
      </c>
      <c r="AA2631" t="s">
        <v>14091</v>
      </c>
      <c r="AB2631" t="s">
        <v>17871</v>
      </c>
    </row>
    <row r="2632" spans="1:28" x14ac:dyDescent="0.25">
      <c r="A2632" t="s">
        <v>2636</v>
      </c>
      <c r="B2632">
        <v>0.98876768158843997</v>
      </c>
      <c r="C2632">
        <v>0.90725767095684096</v>
      </c>
      <c r="D2632">
        <v>0.92076195911381697</v>
      </c>
      <c r="E2632">
        <v>0.83228866209013097</v>
      </c>
      <c r="F2632">
        <v>0.69676798926585604</v>
      </c>
      <c r="G2632">
        <v>0.56150661021566295</v>
      </c>
      <c r="H2632">
        <v>0.39727363334344101</v>
      </c>
      <c r="I2632">
        <v>0.16384024882050499</v>
      </c>
      <c r="J2632">
        <v>5.8756170111014201E-2</v>
      </c>
      <c r="K2632">
        <v>4.5524223875474501E-2</v>
      </c>
      <c r="L2632">
        <v>716.79488051049702</v>
      </c>
      <c r="M2632">
        <v>12.543342535123401</v>
      </c>
      <c r="N2632">
        <v>57.145435642501099</v>
      </c>
      <c r="O2632">
        <v>55.751317038498698</v>
      </c>
      <c r="P2632">
        <v>-5.6258263218929599E-2</v>
      </c>
      <c r="Q2632">
        <v>0</v>
      </c>
      <c r="R2632">
        <v>0.97645935025046504</v>
      </c>
      <c r="S2632" t="s">
        <v>6464</v>
      </c>
      <c r="T2632" t="s">
        <v>7662</v>
      </c>
      <c r="U2632" t="s">
        <v>7662</v>
      </c>
      <c r="V2632" t="s">
        <v>7662</v>
      </c>
      <c r="W2632">
        <v>12</v>
      </c>
      <c r="X2632" t="s">
        <v>10294</v>
      </c>
      <c r="Y2632">
        <v>0.58781660622689502</v>
      </c>
      <c r="Z2632" t="str">
        <f>HYPERLINK("Melting_Curves/meltCurve_sp_Q9H0D6_XRN2_HUMAN_.pdf", "Melting_Curves/meltCurve_sp_Q9H0D6_XRN2_HUMAN_.pdf")</f>
        <v>Melting_Curves/meltCurve_sp_Q9H0D6_XRN2_HUMAN_.pdf</v>
      </c>
      <c r="AA2632" t="s">
        <v>14092</v>
      </c>
      <c r="AB2632" t="s">
        <v>17872</v>
      </c>
    </row>
    <row r="2633" spans="1:28" x14ac:dyDescent="0.25">
      <c r="A2633" t="s">
        <v>2637</v>
      </c>
      <c r="B2633">
        <v>0.98876768158843997</v>
      </c>
      <c r="C2633">
        <v>1.0194819190487401</v>
      </c>
      <c r="D2633">
        <v>0.88024528740873997</v>
      </c>
      <c r="E2633">
        <v>0.61268551230128399</v>
      </c>
      <c r="F2633">
        <v>0.353287659046223</v>
      </c>
      <c r="G2633">
        <v>0.13296650591356499</v>
      </c>
      <c r="H2633">
        <v>8.0814316038688702E-2</v>
      </c>
      <c r="I2633">
        <v>7.1490015318495401E-2</v>
      </c>
      <c r="J2633">
        <v>8.4562555397202893E-2</v>
      </c>
      <c r="K2633">
        <v>8.2760276127930202E-2</v>
      </c>
      <c r="L2633">
        <v>1069.2705110101699</v>
      </c>
      <c r="M2633">
        <v>21.053870274958399</v>
      </c>
      <c r="N2633">
        <v>51.131796616957601</v>
      </c>
      <c r="O2633">
        <v>50.335846334268702</v>
      </c>
      <c r="P2633">
        <v>-9.7656373908512201E-2</v>
      </c>
      <c r="Q2633">
        <v>6.6112894658213503E-2</v>
      </c>
      <c r="R2633">
        <v>0.99777801542477695</v>
      </c>
      <c r="S2633" t="s">
        <v>6465</v>
      </c>
      <c r="T2633" t="s">
        <v>7662</v>
      </c>
      <c r="U2633" t="s">
        <v>7662</v>
      </c>
      <c r="V2633" t="s">
        <v>7662</v>
      </c>
      <c r="W2633">
        <v>8</v>
      </c>
      <c r="X2633" t="s">
        <v>10295</v>
      </c>
      <c r="Y2633">
        <v>0.41368253481412781</v>
      </c>
      <c r="Z2633" t="str">
        <f>HYPERLINK("Melting_Curves/meltCurve_sp_Q9H0E2_TOLIP_HUMAN_.pdf", "Melting_Curves/meltCurve_sp_Q9H0E2_TOLIP_HUMAN_.pdf")</f>
        <v>Melting_Curves/meltCurve_sp_Q9H0E2_TOLIP_HUMAN_.pdf</v>
      </c>
      <c r="AA2633" t="s">
        <v>14093</v>
      </c>
      <c r="AB2633" t="s">
        <v>17873</v>
      </c>
    </row>
    <row r="2634" spans="1:28" x14ac:dyDescent="0.25">
      <c r="A2634" t="s">
        <v>2638</v>
      </c>
      <c r="B2634">
        <v>0.98876768158843997</v>
      </c>
      <c r="C2634">
        <v>0.96313332236629201</v>
      </c>
      <c r="D2634">
        <v>0.84015190045940702</v>
      </c>
      <c r="E2634">
        <v>0.75423995104045005</v>
      </c>
      <c r="F2634">
        <v>0.487568026295291</v>
      </c>
      <c r="G2634">
        <v>0.28512832836048202</v>
      </c>
      <c r="H2634">
        <v>0.10157898878935</v>
      </c>
      <c r="I2634">
        <v>0.10282148886381499</v>
      </c>
      <c r="J2634">
        <v>7.5449251182960697E-2</v>
      </c>
      <c r="K2634">
        <v>0.13737320268257899</v>
      </c>
      <c r="L2634">
        <v>829.27750029055903</v>
      </c>
      <c r="M2634">
        <v>15.7991640849293</v>
      </c>
      <c r="N2634">
        <v>52.9276447982501</v>
      </c>
      <c r="O2634">
        <v>51.6693709696548</v>
      </c>
      <c r="P2634">
        <v>-7.1755561519217803E-2</v>
      </c>
      <c r="Q2634">
        <v>6.14037184283555E-2</v>
      </c>
      <c r="R2634">
        <v>0.98926518472758296</v>
      </c>
      <c r="S2634" t="s">
        <v>6466</v>
      </c>
      <c r="T2634" t="s">
        <v>7662</v>
      </c>
      <c r="U2634" t="s">
        <v>7662</v>
      </c>
      <c r="V2634" t="s">
        <v>7662</v>
      </c>
      <c r="W2634">
        <v>2</v>
      </c>
      <c r="X2634" t="s">
        <v>10296</v>
      </c>
      <c r="Y2634">
        <v>0.47120995656551451</v>
      </c>
      <c r="Z2634" t="str">
        <f>HYPERLINK("Melting_Curves/meltCurve_sp_Q9H0F6_SHRPN_HUMAN_.pdf", "Melting_Curves/meltCurve_sp_Q9H0F6_SHRPN_HUMAN_.pdf")</f>
        <v>Melting_Curves/meltCurve_sp_Q9H0F6_SHRPN_HUMAN_.pdf</v>
      </c>
      <c r="AA2634" t="s">
        <v>14094</v>
      </c>
      <c r="AB2634" t="s">
        <v>17874</v>
      </c>
    </row>
    <row r="2635" spans="1:28" x14ac:dyDescent="0.25">
      <c r="A2635" t="s">
        <v>2639</v>
      </c>
      <c r="B2635">
        <v>0.98876768158843997</v>
      </c>
      <c r="C2635">
        <v>1.04311272750918</v>
      </c>
      <c r="D2635">
        <v>0.77458588879816304</v>
      </c>
      <c r="E2635">
        <v>0.76336698704024297</v>
      </c>
      <c r="F2635">
        <v>0.80884956637863203</v>
      </c>
      <c r="G2635">
        <v>0.57668771946736497</v>
      </c>
      <c r="H2635">
        <v>0.45349848180733998</v>
      </c>
      <c r="I2635">
        <v>0.46940128408816001</v>
      </c>
      <c r="J2635">
        <v>0.61881802800447705</v>
      </c>
      <c r="K2635">
        <v>0.70308771859800301</v>
      </c>
      <c r="L2635">
        <v>702.28086788392795</v>
      </c>
      <c r="M2635">
        <v>14.201849350482201</v>
      </c>
      <c r="O2635">
        <v>48.5004878055001</v>
      </c>
      <c r="P2635">
        <v>-3.2377668040986102E-2</v>
      </c>
      <c r="Q2635">
        <v>0.557765694376123</v>
      </c>
      <c r="R2635">
        <v>0.74967009485902802</v>
      </c>
      <c r="S2635" t="s">
        <v>6467</v>
      </c>
      <c r="T2635" t="s">
        <v>7662</v>
      </c>
      <c r="U2635" t="s">
        <v>7662</v>
      </c>
      <c r="V2635" t="s">
        <v>7662</v>
      </c>
      <c r="W2635">
        <v>5</v>
      </c>
      <c r="X2635" t="s">
        <v>10297</v>
      </c>
      <c r="Y2635">
        <v>0.70892671078338099</v>
      </c>
      <c r="Z2635" t="str">
        <f>HYPERLINK("Melting_Curves/meltCurve_sp_Q9H0G5_NSRP1_HUMAN_.pdf", "Melting_Curves/meltCurve_sp_Q9H0G5_NSRP1_HUMAN_.pdf")</f>
        <v>Melting_Curves/meltCurve_sp_Q9H0G5_NSRP1_HUMAN_.pdf</v>
      </c>
      <c r="AA2635" t="s">
        <v>14095</v>
      </c>
      <c r="AB2635" t="s">
        <v>17875</v>
      </c>
    </row>
    <row r="2636" spans="1:28" x14ac:dyDescent="0.25">
      <c r="A2636" t="s">
        <v>2640</v>
      </c>
      <c r="B2636">
        <v>0.98876768158843997</v>
      </c>
      <c r="C2636">
        <v>0.87676085742501197</v>
      </c>
      <c r="D2636">
        <v>0.93262991523374805</v>
      </c>
      <c r="E2636">
        <v>0.76609141277116999</v>
      </c>
      <c r="F2636">
        <v>0.44791693698901103</v>
      </c>
      <c r="G2636">
        <v>0.366126600465354</v>
      </c>
      <c r="H2636">
        <v>0.30049782970621902</v>
      </c>
      <c r="I2636">
        <v>0.26076429215286601</v>
      </c>
      <c r="J2636">
        <v>0.230276160083599</v>
      </c>
      <c r="K2636">
        <v>0.26124590791791302</v>
      </c>
      <c r="L2636">
        <v>1003.30342742981</v>
      </c>
      <c r="M2636">
        <v>19.573855364494001</v>
      </c>
      <c r="N2636">
        <v>53.125427713703999</v>
      </c>
      <c r="O2636">
        <v>50.731315912394699</v>
      </c>
      <c r="P2636">
        <v>-7.2463637145352006E-2</v>
      </c>
      <c r="Q2636">
        <v>0.248784587326525</v>
      </c>
      <c r="R2636">
        <v>0.977498861338852</v>
      </c>
      <c r="S2636" t="s">
        <v>6468</v>
      </c>
      <c r="T2636" t="s">
        <v>7662</v>
      </c>
      <c r="U2636" t="s">
        <v>7662</v>
      </c>
      <c r="V2636" t="s">
        <v>7662</v>
      </c>
      <c r="W2636">
        <v>1</v>
      </c>
      <c r="X2636" t="s">
        <v>10298</v>
      </c>
      <c r="Y2636">
        <v>0.54151737961483659</v>
      </c>
      <c r="Z2636" t="str">
        <f>HYPERLINK("Melting_Curves/meltCurve_sp_Q9H0K1_SIK2_HUMAN_.pdf", "Melting_Curves/meltCurve_sp_Q9H0K1_SIK2_HUMAN_.pdf")</f>
        <v>Melting_Curves/meltCurve_sp_Q9H0K1_SIK2_HUMAN_.pdf</v>
      </c>
      <c r="AA2636" t="s">
        <v>14096</v>
      </c>
      <c r="AB2636" t="s">
        <v>17876</v>
      </c>
    </row>
    <row r="2637" spans="1:28" x14ac:dyDescent="0.25">
      <c r="A2637" t="s">
        <v>2641</v>
      </c>
      <c r="B2637">
        <v>0.98876768158843997</v>
      </c>
      <c r="C2637">
        <v>1.00512399759208</v>
      </c>
      <c r="D2637">
        <v>0.80181907673147601</v>
      </c>
      <c r="E2637">
        <v>0.577624491341582</v>
      </c>
      <c r="F2637">
        <v>0.66656411424365802</v>
      </c>
      <c r="G2637">
        <v>0.41122951015036902</v>
      </c>
      <c r="H2637">
        <v>0.31794113926835998</v>
      </c>
      <c r="I2637">
        <v>0.37818721157886298</v>
      </c>
      <c r="J2637">
        <v>0.44885078728426198</v>
      </c>
      <c r="K2637">
        <v>0.51947584275721903</v>
      </c>
      <c r="L2637">
        <v>831.34257587085494</v>
      </c>
      <c r="M2637">
        <v>17.13194913253</v>
      </c>
      <c r="N2637">
        <v>54.154398338524501</v>
      </c>
      <c r="O2637">
        <v>47.879167654870201</v>
      </c>
      <c r="P2637">
        <v>-5.2268277183909001E-2</v>
      </c>
      <c r="Q2637">
        <v>0.41573219237445502</v>
      </c>
      <c r="R2637">
        <v>0.89839658958396695</v>
      </c>
      <c r="S2637" t="s">
        <v>6469</v>
      </c>
      <c r="T2637" t="s">
        <v>7662</v>
      </c>
      <c r="U2637" t="s">
        <v>7662</v>
      </c>
      <c r="V2637" t="s">
        <v>7662</v>
      </c>
      <c r="W2637">
        <v>11</v>
      </c>
      <c r="X2637" t="s">
        <v>10299</v>
      </c>
      <c r="Y2637">
        <v>0.59307743106385358</v>
      </c>
      <c r="Z2637" t="str">
        <f>HYPERLINK("Melting_Curves/meltCurve_sp_Q9H0L4_CSTFT_HUMAN_.pdf", "Melting_Curves/meltCurve_sp_Q9H0L4_CSTFT_HUMAN_.pdf")</f>
        <v>Melting_Curves/meltCurve_sp_Q9H0L4_CSTFT_HUMAN_.pdf</v>
      </c>
      <c r="AA2637" t="s">
        <v>14097</v>
      </c>
      <c r="AB2637" t="s">
        <v>17877</v>
      </c>
    </row>
    <row r="2638" spans="1:28" x14ac:dyDescent="0.25">
      <c r="A2638" t="s">
        <v>2642</v>
      </c>
      <c r="B2638">
        <v>0.98876768158843997</v>
      </c>
      <c r="C2638">
        <v>1.09426828618908</v>
      </c>
      <c r="D2638">
        <v>0.84461815636019499</v>
      </c>
      <c r="E2638">
        <v>0.43788666822598399</v>
      </c>
      <c r="F2638">
        <v>0.13264250075544901</v>
      </c>
      <c r="G2638">
        <v>8.7401751920010304E-2</v>
      </c>
      <c r="H2638">
        <v>5.9937429093338497E-2</v>
      </c>
      <c r="I2638">
        <v>5.2066204563703401E-2</v>
      </c>
      <c r="J2638">
        <v>6.1072571622337202E-2</v>
      </c>
      <c r="K2638">
        <v>6.5470752795601106E-2</v>
      </c>
      <c r="L2638">
        <v>1421.77339388877</v>
      </c>
      <c r="M2638">
        <v>28.927831741916702</v>
      </c>
      <c r="N2638">
        <v>49.358770276052901</v>
      </c>
      <c r="O2638">
        <v>48.915886679324501</v>
      </c>
      <c r="P2638">
        <v>-0.13929347227910199</v>
      </c>
      <c r="Q2638">
        <v>5.78465062069057E-2</v>
      </c>
      <c r="R2638">
        <v>0.99094607231367005</v>
      </c>
      <c r="S2638" t="s">
        <v>6470</v>
      </c>
      <c r="T2638" t="s">
        <v>7662</v>
      </c>
      <c r="U2638" t="s">
        <v>7662</v>
      </c>
      <c r="V2638" t="s">
        <v>7662</v>
      </c>
      <c r="W2638">
        <v>3</v>
      </c>
      <c r="X2638" t="s">
        <v>10300</v>
      </c>
      <c r="Y2638">
        <v>0.35136661993797352</v>
      </c>
      <c r="Z2638" t="str">
        <f>HYPERLINK("Melting_Curves/meltCurve_sp_Q9H0P0_1_5NT3A_HUMAN_.pdf", "Melting_Curves/meltCurve_sp_Q9H0P0_1_5NT3A_HUMAN_.pdf")</f>
        <v>Melting_Curves/meltCurve_sp_Q9H0P0_1_5NT3A_HUMAN_.pdf</v>
      </c>
      <c r="AA2638" t="s">
        <v>14098</v>
      </c>
      <c r="AB2638" t="s">
        <v>17878</v>
      </c>
    </row>
    <row r="2639" spans="1:28" x14ac:dyDescent="0.25">
      <c r="A2639" t="s">
        <v>2643</v>
      </c>
      <c r="B2639">
        <v>0.98876768158843997</v>
      </c>
      <c r="C2639">
        <v>0.49384219617189701</v>
      </c>
      <c r="D2639">
        <v>0.33672871092115902</v>
      </c>
      <c r="E2639">
        <v>0.157550398006992</v>
      </c>
      <c r="F2639">
        <v>7.2829298238960297E-2</v>
      </c>
      <c r="G2639">
        <v>4.0146413310498001E-2</v>
      </c>
      <c r="H2639">
        <v>2.5008559562900601E-2</v>
      </c>
      <c r="I2639">
        <v>2.3755397204072898E-2</v>
      </c>
      <c r="J2639">
        <v>1.4539139123259199E-2</v>
      </c>
      <c r="K2639">
        <v>1.17366286187116E-2</v>
      </c>
      <c r="L2639">
        <v>855.64444416850995</v>
      </c>
      <c r="M2639">
        <v>19.573948531684302</v>
      </c>
      <c r="N2639">
        <v>43.8578279526863</v>
      </c>
      <c r="O2639">
        <v>43.264844919345499</v>
      </c>
      <c r="P2639">
        <v>-0.109579689852788</v>
      </c>
      <c r="Q2639">
        <v>3.12061458828756E-2</v>
      </c>
      <c r="R2639">
        <v>0.96354305923281203</v>
      </c>
      <c r="S2639" t="s">
        <v>6471</v>
      </c>
      <c r="T2639" t="s">
        <v>7662</v>
      </c>
      <c r="U2639" t="s">
        <v>7662</v>
      </c>
      <c r="V2639" t="s">
        <v>7662</v>
      </c>
      <c r="W2639">
        <v>2</v>
      </c>
      <c r="X2639" t="s">
        <v>10301</v>
      </c>
      <c r="Y2639">
        <v>0.17189574974610899</v>
      </c>
      <c r="Z2639" t="str">
        <f>HYPERLINK("Melting_Curves/meltCurve_sp_Q9H0R6_GATA_HUMAN_.pdf", "Melting_Curves/meltCurve_sp_Q9H0R6_GATA_HUMAN_.pdf")</f>
        <v>Melting_Curves/meltCurve_sp_Q9H0R6_GATA_HUMAN_.pdf</v>
      </c>
      <c r="AA2639" t="s">
        <v>14099</v>
      </c>
      <c r="AB2639" t="s">
        <v>17879</v>
      </c>
    </row>
    <row r="2640" spans="1:28" x14ac:dyDescent="0.25">
      <c r="A2640" t="s">
        <v>2644</v>
      </c>
      <c r="B2640">
        <v>0.98876768158843997</v>
      </c>
      <c r="C2640">
        <v>0.937012412462355</v>
      </c>
      <c r="D2640">
        <v>0.82793480693907295</v>
      </c>
      <c r="E2640">
        <v>0.58314985526046903</v>
      </c>
      <c r="F2640">
        <v>0.36497439270710003</v>
      </c>
      <c r="G2640">
        <v>0.15394571861603701</v>
      </c>
      <c r="H2640">
        <v>8.64793401148818E-2</v>
      </c>
      <c r="I2640">
        <v>8.3506086388922193E-2</v>
      </c>
      <c r="J2640">
        <v>8.2924786303148895E-2</v>
      </c>
      <c r="K2640">
        <v>6.5376825962579599E-2</v>
      </c>
      <c r="L2640">
        <v>823.88428609172797</v>
      </c>
      <c r="M2640">
        <v>16.2939990725915</v>
      </c>
      <c r="N2640">
        <v>50.884808138814201</v>
      </c>
      <c r="O2640">
        <v>49.820457087603003</v>
      </c>
      <c r="P2640">
        <v>-7.7774150316109E-2</v>
      </c>
      <c r="Q2640">
        <v>4.8861999696676199E-2</v>
      </c>
      <c r="R2640">
        <v>0.99845347614080104</v>
      </c>
      <c r="S2640" t="s">
        <v>6472</v>
      </c>
      <c r="T2640" t="s">
        <v>7662</v>
      </c>
      <c r="U2640" t="s">
        <v>7662</v>
      </c>
      <c r="V2640" t="s">
        <v>7662</v>
      </c>
      <c r="W2640">
        <v>9</v>
      </c>
      <c r="X2640" t="s">
        <v>10302</v>
      </c>
      <c r="Y2640">
        <v>0.40306940986399831</v>
      </c>
      <c r="Z2640" t="str">
        <f>HYPERLINK("Melting_Curves/meltCurve_sp_Q9H0U4_RAB1B_HUMAN_.pdf", "Melting_Curves/meltCurve_sp_Q9H0U4_RAB1B_HUMAN_.pdf")</f>
        <v>Melting_Curves/meltCurve_sp_Q9H0U4_RAB1B_HUMAN_.pdf</v>
      </c>
      <c r="AA2640" t="s">
        <v>14100</v>
      </c>
      <c r="AB2640" t="s">
        <v>17880</v>
      </c>
    </row>
    <row r="2641" spans="1:28" x14ac:dyDescent="0.25">
      <c r="A2641" t="s">
        <v>2645</v>
      </c>
      <c r="B2641">
        <v>0.98876768158843997</v>
      </c>
      <c r="C2641">
        <v>1.04108624187303</v>
      </c>
      <c r="D2641">
        <v>0.80448701253918797</v>
      </c>
      <c r="E2641">
        <v>0.67906735721350897</v>
      </c>
      <c r="F2641">
        <v>0.90395842694625905</v>
      </c>
      <c r="G2641">
        <v>0.37327185215307401</v>
      </c>
      <c r="H2641">
        <v>0.13777560956675999</v>
      </c>
      <c r="I2641">
        <v>9.9816866257524603E-2</v>
      </c>
      <c r="J2641">
        <v>8.7336126795491395E-2</v>
      </c>
      <c r="K2641">
        <v>8.2246338190320706E-2</v>
      </c>
      <c r="L2641">
        <v>837.30968555713696</v>
      </c>
      <c r="M2641">
        <v>15.045029412782601</v>
      </c>
      <c r="N2641">
        <v>55.653577169621201</v>
      </c>
      <c r="O2641">
        <v>54.698109134674702</v>
      </c>
      <c r="P2641">
        <v>-6.8770802100380599E-2</v>
      </c>
      <c r="Q2641">
        <v>0</v>
      </c>
      <c r="R2641">
        <v>0.92245018233705001</v>
      </c>
      <c r="S2641" t="s">
        <v>6473</v>
      </c>
      <c r="T2641" t="s">
        <v>7662</v>
      </c>
      <c r="U2641" t="s">
        <v>7662</v>
      </c>
      <c r="V2641" t="s">
        <v>7662</v>
      </c>
      <c r="W2641">
        <v>17</v>
      </c>
      <c r="X2641" t="s">
        <v>10303</v>
      </c>
      <c r="Y2641">
        <v>0.54004986319799286</v>
      </c>
      <c r="Z2641" t="str">
        <f>HYPERLINK("Melting_Curves/meltCurve_sp_Q9H0W9_CK054_HUMAN_.pdf", "Melting_Curves/meltCurve_sp_Q9H0W9_CK054_HUMAN_.pdf")</f>
        <v>Melting_Curves/meltCurve_sp_Q9H0W9_CK054_HUMAN_.pdf</v>
      </c>
      <c r="AA2641" t="s">
        <v>14101</v>
      </c>
      <c r="AB2641" t="s">
        <v>17881</v>
      </c>
    </row>
    <row r="2642" spans="1:28" x14ac:dyDescent="0.25">
      <c r="A2642" t="s">
        <v>2646</v>
      </c>
      <c r="B2642">
        <v>0.98876768158843997</v>
      </c>
      <c r="C2642">
        <v>1.05877261646993</v>
      </c>
      <c r="D2642">
        <v>0.74781433465320002</v>
      </c>
      <c r="E2642">
        <v>0.53659252946153102</v>
      </c>
      <c r="F2642">
        <v>0.30701382826282297</v>
      </c>
      <c r="G2642">
        <v>0.25478131360291101</v>
      </c>
      <c r="H2642">
        <v>0.194653067046167</v>
      </c>
      <c r="I2642">
        <v>0.221897093900082</v>
      </c>
      <c r="J2642">
        <v>0.27946829979391702</v>
      </c>
      <c r="K2642">
        <v>0.20581576728343101</v>
      </c>
      <c r="L2642">
        <v>1044.5811917634501</v>
      </c>
      <c r="M2642">
        <v>21.524704887483999</v>
      </c>
      <c r="N2642">
        <v>49.886577351626499</v>
      </c>
      <c r="O2642">
        <v>48.116373689115903</v>
      </c>
      <c r="P2642">
        <v>-8.7054813660110905E-2</v>
      </c>
      <c r="Q2642">
        <v>0.22160904030256801</v>
      </c>
      <c r="R2642">
        <v>0.97760713127973398</v>
      </c>
      <c r="S2642" t="s">
        <v>6474</v>
      </c>
      <c r="T2642" t="s">
        <v>7662</v>
      </c>
      <c r="U2642" t="s">
        <v>7662</v>
      </c>
      <c r="V2642" t="s">
        <v>7662</v>
      </c>
      <c r="W2642">
        <v>2</v>
      </c>
      <c r="X2642" t="s">
        <v>10304</v>
      </c>
      <c r="Y2642">
        <v>0.45232478573912938</v>
      </c>
      <c r="Z2642" t="str">
        <f>HYPERLINK("Melting_Curves/meltCurve_sp_Q9H1B7_I2BPL_HUMAN_.pdf", "Melting_Curves/meltCurve_sp_Q9H1B7_I2BPL_HUMAN_.pdf")</f>
        <v>Melting_Curves/meltCurve_sp_Q9H1B7_I2BPL_HUMAN_.pdf</v>
      </c>
      <c r="AA2642" t="s">
        <v>14102</v>
      </c>
      <c r="AB2642" t="s">
        <v>17882</v>
      </c>
    </row>
    <row r="2643" spans="1:28" x14ac:dyDescent="0.25">
      <c r="A2643" t="s">
        <v>2647</v>
      </c>
      <c r="B2643">
        <v>0.98876768158843997</v>
      </c>
      <c r="C2643">
        <v>1.2738803754425001</v>
      </c>
      <c r="D2643">
        <v>0.86399424240204503</v>
      </c>
      <c r="E2643">
        <v>0.92487482651040298</v>
      </c>
      <c r="F2643">
        <v>1.2777075102491799</v>
      </c>
      <c r="G2643">
        <v>1.00273248350309</v>
      </c>
      <c r="H2643">
        <v>0.88604763532267194</v>
      </c>
      <c r="I2643">
        <v>1.2465732839822801</v>
      </c>
      <c r="J2643">
        <v>1.4806719245725599</v>
      </c>
      <c r="K2643">
        <v>2.1271195306722399</v>
      </c>
      <c r="L2643">
        <v>15000</v>
      </c>
      <c r="M2643">
        <v>234.34753199164001</v>
      </c>
      <c r="O2643">
        <v>64.002840082815197</v>
      </c>
      <c r="P2643">
        <v>0.457689713778899</v>
      </c>
      <c r="Q2643">
        <v>1.5</v>
      </c>
      <c r="R2643">
        <v>0.55902173348772699</v>
      </c>
      <c r="S2643" t="s">
        <v>6475</v>
      </c>
      <c r="T2643" t="s">
        <v>7662</v>
      </c>
      <c r="U2643" t="s">
        <v>7662</v>
      </c>
      <c r="V2643" t="s">
        <v>7662</v>
      </c>
      <c r="W2643">
        <v>7</v>
      </c>
      <c r="X2643" t="s">
        <v>10305</v>
      </c>
      <c r="Y2643">
        <v>1.0998110539435051</v>
      </c>
      <c r="Z2643" t="str">
        <f>HYPERLINK("Melting_Curves/meltCurve_sp_Q9H1E3_NUCKS_HUMAN_.pdf", "Melting_Curves/meltCurve_sp_Q9H1E3_NUCKS_HUMAN_.pdf")</f>
        <v>Melting_Curves/meltCurve_sp_Q9H1E3_NUCKS_HUMAN_.pdf</v>
      </c>
      <c r="AA2643" t="s">
        <v>14103</v>
      </c>
      <c r="AB2643" t="s">
        <v>17883</v>
      </c>
    </row>
    <row r="2644" spans="1:28" x14ac:dyDescent="0.25">
      <c r="A2644" t="s">
        <v>2648</v>
      </c>
      <c r="B2644">
        <v>0.98876768158843997</v>
      </c>
      <c r="C2644">
        <v>1.1267358058005199</v>
      </c>
      <c r="D2644">
        <v>0.83146409354290896</v>
      </c>
      <c r="E2644">
        <v>0.66605039228548701</v>
      </c>
      <c r="F2644">
        <v>0.841741089999957</v>
      </c>
      <c r="G2644">
        <v>0.754427784442257</v>
      </c>
      <c r="H2644">
        <v>0.46185826506838201</v>
      </c>
      <c r="I2644">
        <v>0.64923824056441104</v>
      </c>
      <c r="J2644">
        <v>0.83463121770240201</v>
      </c>
      <c r="K2644">
        <v>0.72822826918667605</v>
      </c>
      <c r="L2644">
        <v>11486.7281382324</v>
      </c>
      <c r="M2644">
        <v>250</v>
      </c>
      <c r="O2644">
        <v>45.943972772264601</v>
      </c>
      <c r="P2644">
        <v>-0.40107560930427799</v>
      </c>
      <c r="Q2644">
        <v>0.705167893686661</v>
      </c>
      <c r="R2644">
        <v>0.61452073205458202</v>
      </c>
      <c r="S2644" t="s">
        <v>6476</v>
      </c>
      <c r="T2644" t="s">
        <v>7662</v>
      </c>
      <c r="U2644" t="s">
        <v>7662</v>
      </c>
      <c r="V2644" t="s">
        <v>7662</v>
      </c>
      <c r="W2644">
        <v>4</v>
      </c>
      <c r="X2644" t="s">
        <v>10306</v>
      </c>
      <c r="Y2644">
        <v>0.76363635960409793</v>
      </c>
      <c r="Z2644" t="str">
        <f>HYPERLINK("Melting_Curves/meltCurve_sp_Q9H1H9_3_KI13A_HUMAN_.pdf", "Melting_Curves/meltCurve_sp_Q9H1H9_3_KI13A_HUMAN_.pdf")</f>
        <v>Melting_Curves/meltCurve_sp_Q9H1H9_3_KI13A_HUMAN_.pdf</v>
      </c>
      <c r="AA2644" t="s">
        <v>14104</v>
      </c>
      <c r="AB2644" t="s">
        <v>17884</v>
      </c>
    </row>
    <row r="2645" spans="1:28" x14ac:dyDescent="0.25">
      <c r="A2645" t="s">
        <v>2649</v>
      </c>
      <c r="B2645">
        <v>0.98876768158843997</v>
      </c>
      <c r="C2645">
        <v>0.875520420108584</v>
      </c>
      <c r="D2645">
        <v>0.87590692903311096</v>
      </c>
      <c r="E2645">
        <v>0.64414407961008502</v>
      </c>
      <c r="F2645">
        <v>0.66167709896204996</v>
      </c>
      <c r="G2645">
        <v>0.57715346904544096</v>
      </c>
      <c r="H2645">
        <v>0.349019982927532</v>
      </c>
      <c r="I2645">
        <v>0.41469122401380298</v>
      </c>
      <c r="J2645">
        <v>0.35464655770370901</v>
      </c>
      <c r="K2645">
        <v>0.77204242697935699</v>
      </c>
      <c r="L2645">
        <v>712.08177926759095</v>
      </c>
      <c r="M2645">
        <v>14.6832656891114</v>
      </c>
      <c r="N2645">
        <v>62.009437153423399</v>
      </c>
      <c r="O2645">
        <v>47.623259863929697</v>
      </c>
      <c r="P2645">
        <v>-4.0115830666830797E-2</v>
      </c>
      <c r="Q2645">
        <v>0.47961524764254498</v>
      </c>
      <c r="R2645">
        <v>0.69530904795027004</v>
      </c>
      <c r="S2645" t="s">
        <v>6477</v>
      </c>
      <c r="T2645" t="s">
        <v>7662</v>
      </c>
      <c r="U2645" t="s">
        <v>7662</v>
      </c>
      <c r="V2645" t="s">
        <v>7662</v>
      </c>
      <c r="W2645">
        <v>2</v>
      </c>
      <c r="X2645" t="s">
        <v>10307</v>
      </c>
      <c r="Y2645">
        <v>0.640640194882792</v>
      </c>
      <c r="Z2645" t="str">
        <f>HYPERLINK("Melting_Curves/meltCurve_sp_Q9H1J1_2_REN3A_HUMAN_.pdf", "Melting_Curves/meltCurve_sp_Q9H1J1_2_REN3A_HUMAN_.pdf")</f>
        <v>Melting_Curves/meltCurve_sp_Q9H1J1_2_REN3A_HUMAN_.pdf</v>
      </c>
      <c r="AA2645" t="s">
        <v>14105</v>
      </c>
      <c r="AB2645" t="s">
        <v>17885</v>
      </c>
    </row>
    <row r="2646" spans="1:28" x14ac:dyDescent="0.25">
      <c r="A2646" t="s">
        <v>2650</v>
      </c>
      <c r="B2646">
        <v>0.98876768158843997</v>
      </c>
      <c r="C2646">
        <v>1.0864499374613199</v>
      </c>
      <c r="D2646">
        <v>0.95251793143143004</v>
      </c>
      <c r="E2646">
        <v>0.71060255291688101</v>
      </c>
      <c r="F2646">
        <v>0.53982099592232202</v>
      </c>
      <c r="G2646">
        <v>0.37191849695297202</v>
      </c>
      <c r="H2646">
        <v>0.26802631301065</v>
      </c>
      <c r="I2646">
        <v>0.35206077981502798</v>
      </c>
      <c r="J2646">
        <v>0.40426392926454802</v>
      </c>
      <c r="K2646">
        <v>0.45486967957650198</v>
      </c>
      <c r="L2646">
        <v>1387.44444335768</v>
      </c>
      <c r="M2646">
        <v>27.463389253808099</v>
      </c>
      <c r="N2646">
        <v>53.087753936226399</v>
      </c>
      <c r="O2646">
        <v>50.2542028211166</v>
      </c>
      <c r="P2646">
        <v>-8.6406489625693597E-2</v>
      </c>
      <c r="Q2646">
        <v>0.36755818355932701</v>
      </c>
      <c r="R2646">
        <v>0.96196587062252004</v>
      </c>
      <c r="S2646" t="s">
        <v>6478</v>
      </c>
      <c r="T2646" t="s">
        <v>7662</v>
      </c>
      <c r="U2646" t="s">
        <v>7662</v>
      </c>
      <c r="V2646" t="s">
        <v>7662</v>
      </c>
      <c r="W2646">
        <v>2</v>
      </c>
      <c r="X2646" t="s">
        <v>10308</v>
      </c>
      <c r="Y2646">
        <v>0.59404107262925643</v>
      </c>
      <c r="Z2646" t="str">
        <f>HYPERLINK("Melting_Curves/meltCurve_sp_Q9H1K0_RBNS5_HUMAN_.pdf", "Melting_Curves/meltCurve_sp_Q9H1K0_RBNS5_HUMAN_.pdf")</f>
        <v>Melting_Curves/meltCurve_sp_Q9H1K0_RBNS5_HUMAN_.pdf</v>
      </c>
      <c r="AA2646" t="s">
        <v>14106</v>
      </c>
      <c r="AB2646" t="s">
        <v>17886</v>
      </c>
    </row>
    <row r="2647" spans="1:28" x14ac:dyDescent="0.25">
      <c r="A2647" t="s">
        <v>2651</v>
      </c>
      <c r="B2647">
        <v>0.98876768158843997</v>
      </c>
      <c r="C2647">
        <v>1.1276329139085399</v>
      </c>
      <c r="D2647">
        <v>0.94245764276319899</v>
      </c>
      <c r="E2647">
        <v>0.88038681822966403</v>
      </c>
      <c r="F2647">
        <v>1.1163314390765999</v>
      </c>
      <c r="G2647">
        <v>0.75424532858036697</v>
      </c>
      <c r="H2647">
        <v>0.64151562571016796</v>
      </c>
      <c r="I2647">
        <v>0.74121783840234901</v>
      </c>
      <c r="J2647">
        <v>0.88583651220593695</v>
      </c>
      <c r="K2647">
        <v>1.0574130667306301</v>
      </c>
      <c r="L2647">
        <v>3872.8535005716599</v>
      </c>
      <c r="M2647">
        <v>70.227828550325498</v>
      </c>
      <c r="O2647">
        <v>55.102320658701402</v>
      </c>
      <c r="P2647">
        <v>-5.8774678582966998E-2</v>
      </c>
      <c r="Q2647">
        <v>0.81553632737102</v>
      </c>
      <c r="R2647">
        <v>0.365667841414336</v>
      </c>
      <c r="S2647" t="s">
        <v>6479</v>
      </c>
      <c r="T2647" t="s">
        <v>7662</v>
      </c>
      <c r="U2647" t="s">
        <v>7662</v>
      </c>
      <c r="V2647" t="s">
        <v>7662</v>
      </c>
      <c r="W2647">
        <v>10</v>
      </c>
      <c r="X2647" t="s">
        <v>10309</v>
      </c>
      <c r="Y2647">
        <v>0.90889881061102207</v>
      </c>
      <c r="Z2647" t="str">
        <f>HYPERLINK("Melting_Curves/meltCurve_sp_Q9H1K1_ISCU_HUMAN_.pdf", "Melting_Curves/meltCurve_sp_Q9H1K1_ISCU_HUMAN_.pdf")</f>
        <v>Melting_Curves/meltCurve_sp_Q9H1K1_ISCU_HUMAN_.pdf</v>
      </c>
      <c r="AA2647" t="s">
        <v>14107</v>
      </c>
      <c r="AB2647" t="s">
        <v>17887</v>
      </c>
    </row>
    <row r="2648" spans="1:28" x14ac:dyDescent="0.25">
      <c r="A2648" t="s">
        <v>2652</v>
      </c>
      <c r="B2648">
        <v>0.98876768158843997</v>
      </c>
      <c r="C2648">
        <v>0.57058143629458002</v>
      </c>
      <c r="D2648">
        <v>0.816017295501139</v>
      </c>
      <c r="E2648">
        <v>0.37458156210506999</v>
      </c>
      <c r="F2648">
        <v>0.19768853629987199</v>
      </c>
      <c r="G2648">
        <v>0.12822421561592501</v>
      </c>
      <c r="H2648">
        <v>7.6507092540565202E-2</v>
      </c>
      <c r="I2648">
        <v>9.4140388215016205E-2</v>
      </c>
      <c r="J2648">
        <v>7.8141542983548806E-2</v>
      </c>
      <c r="K2648">
        <v>0.115101749150552</v>
      </c>
      <c r="L2648">
        <v>590.07827199272799</v>
      </c>
      <c r="M2648">
        <v>12.4123181364423</v>
      </c>
      <c r="N2648">
        <v>47.922147889303801</v>
      </c>
      <c r="O2648">
        <v>46.356340953635801</v>
      </c>
      <c r="P2648">
        <v>-6.3797060450229703E-2</v>
      </c>
      <c r="Q2648">
        <v>4.7148821874211197E-2</v>
      </c>
      <c r="R2648">
        <v>0.89703755948591302</v>
      </c>
      <c r="S2648" t="s">
        <v>6480</v>
      </c>
      <c r="T2648" t="s">
        <v>7662</v>
      </c>
      <c r="U2648" t="s">
        <v>7662</v>
      </c>
      <c r="V2648" t="s">
        <v>7662</v>
      </c>
      <c r="W2648">
        <v>2</v>
      </c>
      <c r="X2648" t="s">
        <v>10310</v>
      </c>
      <c r="Y2648">
        <v>0.32280327138429399</v>
      </c>
      <c r="Z2648" t="str">
        <f>HYPERLINK("Melting_Curves/meltCurve_sp_Q9H1P3_2_OSBL2_HUMAN_.pdf", "Melting_Curves/meltCurve_sp_Q9H1P3_2_OSBL2_HUMAN_.pdf")</f>
        <v>Melting_Curves/meltCurve_sp_Q9H1P3_2_OSBL2_HUMAN_.pdf</v>
      </c>
      <c r="AA2648" t="s">
        <v>14108</v>
      </c>
      <c r="AB2648" t="s">
        <v>17888</v>
      </c>
    </row>
    <row r="2649" spans="1:28" x14ac:dyDescent="0.25">
      <c r="A2649" t="s">
        <v>2653</v>
      </c>
      <c r="B2649">
        <v>0.98876768158843997</v>
      </c>
      <c r="C2649">
        <v>0.86928291583545403</v>
      </c>
      <c r="D2649">
        <v>0.86218326063125506</v>
      </c>
      <c r="E2649">
        <v>0.68968765829989398</v>
      </c>
      <c r="F2649">
        <v>0.529811972544184</v>
      </c>
      <c r="G2649">
        <v>0.13271721270484699</v>
      </c>
      <c r="H2649">
        <v>6.3837144403919396E-2</v>
      </c>
      <c r="I2649">
        <v>5.9100299534196397E-2</v>
      </c>
      <c r="J2649">
        <v>6.3842100968905205E-2</v>
      </c>
      <c r="K2649">
        <v>6.1951521959725003E-2</v>
      </c>
      <c r="L2649">
        <v>844.05027957712002</v>
      </c>
      <c r="M2649">
        <v>16.147473006003398</v>
      </c>
      <c r="N2649">
        <v>52.342086082169303</v>
      </c>
      <c r="O2649">
        <v>51.489381822798201</v>
      </c>
      <c r="P2649">
        <v>-7.7561821996278202E-2</v>
      </c>
      <c r="Q2649">
        <v>1.07905682660087E-2</v>
      </c>
      <c r="R2649">
        <v>0.97958075489762497</v>
      </c>
      <c r="S2649" t="s">
        <v>6481</v>
      </c>
      <c r="T2649" t="s">
        <v>7662</v>
      </c>
      <c r="U2649" t="s">
        <v>7662</v>
      </c>
      <c r="V2649" t="s">
        <v>7662</v>
      </c>
      <c r="W2649">
        <v>2</v>
      </c>
      <c r="X2649" t="s">
        <v>10311</v>
      </c>
      <c r="Y2649">
        <v>0.43498544890764662</v>
      </c>
      <c r="Z2649" t="str">
        <f>HYPERLINK("Melting_Curves/meltCurve_sp_Q9H1Y0_ATG5_HUMAN_.pdf", "Melting_Curves/meltCurve_sp_Q9H1Y0_ATG5_HUMAN_.pdf")</f>
        <v>Melting_Curves/meltCurve_sp_Q9H1Y0_ATG5_HUMAN_.pdf</v>
      </c>
      <c r="AA2649" t="s">
        <v>14109</v>
      </c>
      <c r="AB2649" t="s">
        <v>17889</v>
      </c>
    </row>
    <row r="2650" spans="1:28" x14ac:dyDescent="0.25">
      <c r="A2650" t="s">
        <v>2654</v>
      </c>
      <c r="B2650">
        <v>0.98876768158843997</v>
      </c>
      <c r="C2650">
        <v>1.00705183928847</v>
      </c>
      <c r="D2650">
        <v>0.87137720661381901</v>
      </c>
      <c r="E2650">
        <v>0.805528618465854</v>
      </c>
      <c r="F2650">
        <v>0.701491651300994</v>
      </c>
      <c r="G2650">
        <v>0.488657763846638</v>
      </c>
      <c r="H2650">
        <v>0.29212371571196399</v>
      </c>
      <c r="I2650">
        <v>0.21150531348170201</v>
      </c>
      <c r="J2650">
        <v>0.179539444808545</v>
      </c>
      <c r="K2650">
        <v>0.127138814442884</v>
      </c>
      <c r="L2650">
        <v>627.44554336710701</v>
      </c>
      <c r="M2650">
        <v>11.1380924260387</v>
      </c>
      <c r="N2650">
        <v>56.565779576247202</v>
      </c>
      <c r="O2650">
        <v>54.608877501184701</v>
      </c>
      <c r="P2650">
        <v>-4.9865621523622401E-2</v>
      </c>
      <c r="Q2650">
        <v>2.2371089615080799E-2</v>
      </c>
      <c r="R2650">
        <v>0.99448003927708495</v>
      </c>
      <c r="S2650" t="s">
        <v>6482</v>
      </c>
      <c r="T2650" t="s">
        <v>7662</v>
      </c>
      <c r="U2650" t="s">
        <v>7662</v>
      </c>
      <c r="V2650" t="s">
        <v>7662</v>
      </c>
      <c r="W2650">
        <v>4</v>
      </c>
      <c r="X2650" t="s">
        <v>10312</v>
      </c>
      <c r="Y2650">
        <v>0.57370973190539576</v>
      </c>
      <c r="Z2650" t="str">
        <f>HYPERLINK("Melting_Curves/meltCurve_sp_Q9H1Z4_WDR13_HUMAN_.pdf", "Melting_Curves/meltCurve_sp_Q9H1Z4_WDR13_HUMAN_.pdf")</f>
        <v>Melting_Curves/meltCurve_sp_Q9H1Z4_WDR13_HUMAN_.pdf</v>
      </c>
      <c r="AA2650" t="s">
        <v>14110</v>
      </c>
      <c r="AB2650" t="s">
        <v>17890</v>
      </c>
    </row>
    <row r="2651" spans="1:28" x14ac:dyDescent="0.25">
      <c r="A2651" t="s">
        <v>2655</v>
      </c>
      <c r="B2651">
        <v>0.98876768158843997</v>
      </c>
      <c r="C2651">
        <v>1.03326131432362</v>
      </c>
      <c r="D2651">
        <v>0.76503916801760696</v>
      </c>
      <c r="E2651">
        <v>0.58431092174779797</v>
      </c>
      <c r="F2651">
        <v>0.53309138602827599</v>
      </c>
      <c r="G2651">
        <v>0.37394779989517501</v>
      </c>
      <c r="H2651">
        <v>0.27304676495519498</v>
      </c>
      <c r="I2651">
        <v>0.29230044808677402</v>
      </c>
      <c r="J2651">
        <v>0.40852945330604901</v>
      </c>
      <c r="K2651">
        <v>0.36544733133691398</v>
      </c>
      <c r="L2651">
        <v>848.04784106863599</v>
      </c>
      <c r="M2651">
        <v>17.387779411641102</v>
      </c>
      <c r="N2651">
        <v>52.053740711008501</v>
      </c>
      <c r="O2651">
        <v>48.141232547388903</v>
      </c>
      <c r="P2651">
        <v>-6.0239762329415698E-2</v>
      </c>
      <c r="Q2651">
        <v>0.33289871816459599</v>
      </c>
      <c r="R2651">
        <v>0.95538093872565399</v>
      </c>
      <c r="S2651" t="s">
        <v>6483</v>
      </c>
      <c r="T2651" t="s">
        <v>7662</v>
      </c>
      <c r="U2651" t="s">
        <v>7662</v>
      </c>
      <c r="V2651" t="s">
        <v>7662</v>
      </c>
      <c r="W2651">
        <v>6</v>
      </c>
      <c r="X2651" t="s">
        <v>10313</v>
      </c>
      <c r="Y2651">
        <v>0.54041529252374054</v>
      </c>
      <c r="Z2651" t="str">
        <f>HYPERLINK("Melting_Curves/meltCurve_sp_Q9H223_EHD4_HUMAN_.pdf", "Melting_Curves/meltCurve_sp_Q9H223_EHD4_HUMAN_.pdf")</f>
        <v>Melting_Curves/meltCurve_sp_Q9H223_EHD4_HUMAN_.pdf</v>
      </c>
      <c r="AA2651" t="s">
        <v>14111</v>
      </c>
      <c r="AB2651" t="s">
        <v>17891</v>
      </c>
    </row>
    <row r="2652" spans="1:28" x14ac:dyDescent="0.25">
      <c r="A2652" t="s">
        <v>2656</v>
      </c>
      <c r="B2652">
        <v>0.98876768158843997</v>
      </c>
      <c r="C2652">
        <v>1.06071247780518</v>
      </c>
      <c r="D2652">
        <v>0.87463238011942901</v>
      </c>
      <c r="E2652">
        <v>0.70609757365946202</v>
      </c>
      <c r="F2652">
        <v>0.22244355344418301</v>
      </c>
      <c r="G2652">
        <v>9.2317093105421105E-2</v>
      </c>
      <c r="H2652">
        <v>5.2832720839493502E-2</v>
      </c>
      <c r="I2652">
        <v>5.3744329579330903E-2</v>
      </c>
      <c r="J2652">
        <v>5.0243329722022001E-2</v>
      </c>
      <c r="K2652">
        <v>6.2719555384998293E-2</v>
      </c>
      <c r="L2652">
        <v>1801.18486543769</v>
      </c>
      <c r="M2652">
        <v>35.351423269633699</v>
      </c>
      <c r="N2652">
        <v>51.118193080671801</v>
      </c>
      <c r="O2652">
        <v>50.788635153212198</v>
      </c>
      <c r="P2652">
        <v>-0.164504459963594</v>
      </c>
      <c r="Q2652">
        <v>5.46431124789225E-2</v>
      </c>
      <c r="R2652">
        <v>0.99027711143535202</v>
      </c>
      <c r="S2652" t="s">
        <v>6484</v>
      </c>
      <c r="T2652" t="s">
        <v>7662</v>
      </c>
      <c r="U2652" t="s">
        <v>7662</v>
      </c>
      <c r="V2652" t="s">
        <v>7662</v>
      </c>
      <c r="W2652">
        <v>8</v>
      </c>
      <c r="X2652" t="s">
        <v>10314</v>
      </c>
      <c r="Y2652">
        <v>0.40399502100772777</v>
      </c>
      <c r="Z2652" t="str">
        <f>HYPERLINK("Melting_Curves/meltCurve_sp_Q9H227_GBA3_HUMAN_.pdf", "Melting_Curves/meltCurve_sp_Q9H227_GBA3_HUMAN_.pdf")</f>
        <v>Melting_Curves/meltCurve_sp_Q9H227_GBA3_HUMAN_.pdf</v>
      </c>
      <c r="AA2652" t="s">
        <v>14112</v>
      </c>
      <c r="AB2652" t="s">
        <v>17892</v>
      </c>
    </row>
    <row r="2653" spans="1:28" x14ac:dyDescent="0.25">
      <c r="A2653" t="s">
        <v>2657</v>
      </c>
      <c r="B2653">
        <v>0.98876768158843997</v>
      </c>
      <c r="C2653">
        <v>1.04503869218124</v>
      </c>
      <c r="D2653">
        <v>1.3856904529776</v>
      </c>
      <c r="E2653">
        <v>0.97842281905501205</v>
      </c>
      <c r="F2653">
        <v>0.71348831981755301</v>
      </c>
      <c r="G2653">
        <v>0.44012794312137199</v>
      </c>
      <c r="H2653">
        <v>0.246565801004792</v>
      </c>
      <c r="I2653">
        <v>0.24298138910052899</v>
      </c>
      <c r="J2653">
        <v>0.45322312522478198</v>
      </c>
      <c r="K2653">
        <v>0</v>
      </c>
      <c r="L2653">
        <v>1518.97226711791</v>
      </c>
      <c r="M2653">
        <v>27.836321453421</v>
      </c>
      <c r="N2653">
        <v>55.766556461338801</v>
      </c>
      <c r="O2653">
        <v>54.288703649231302</v>
      </c>
      <c r="P2653">
        <v>-9.9330125941262296E-2</v>
      </c>
      <c r="Q2653">
        <v>0.22511938819355601</v>
      </c>
      <c r="R2653">
        <v>0.85150694249259096</v>
      </c>
      <c r="S2653" t="s">
        <v>6485</v>
      </c>
      <c r="T2653" t="s">
        <v>7662</v>
      </c>
      <c r="U2653" t="s">
        <v>7662</v>
      </c>
      <c r="V2653" t="s">
        <v>7662</v>
      </c>
      <c r="W2653">
        <v>1</v>
      </c>
      <c r="X2653" t="s">
        <v>10315</v>
      </c>
      <c r="Y2653">
        <v>0.60729849714300832</v>
      </c>
      <c r="Z2653" t="str">
        <f>HYPERLINK("Melting_Curves/meltCurve_sp_Q9H267_VP33B_HUMAN_.pdf", "Melting_Curves/meltCurve_sp_Q9H267_VP33B_HUMAN_.pdf")</f>
        <v>Melting_Curves/meltCurve_sp_Q9H267_VP33B_HUMAN_.pdf</v>
      </c>
      <c r="AA2653" t="s">
        <v>14113</v>
      </c>
      <c r="AB2653" t="s">
        <v>17893</v>
      </c>
    </row>
    <row r="2654" spans="1:28" x14ac:dyDescent="0.25">
      <c r="A2654" t="s">
        <v>2658</v>
      </c>
      <c r="B2654">
        <v>0.98876768158843997</v>
      </c>
      <c r="C2654">
        <v>1.09960323714301</v>
      </c>
      <c r="D2654">
        <v>0.92130160798988003</v>
      </c>
      <c r="E2654">
        <v>0.85690716190136795</v>
      </c>
      <c r="F2654">
        <v>0.52196072996408505</v>
      </c>
      <c r="G2654">
        <v>0.274893961299083</v>
      </c>
      <c r="H2654">
        <v>0.16504321510678299</v>
      </c>
      <c r="I2654">
        <v>0.12146521818773499</v>
      </c>
      <c r="J2654">
        <v>0.14551376531284799</v>
      </c>
      <c r="K2654">
        <v>6.5783555697465093E-2</v>
      </c>
      <c r="L2654">
        <v>1204.8815793680899</v>
      </c>
      <c r="M2654">
        <v>22.729733059220202</v>
      </c>
      <c r="N2654">
        <v>53.578330107244099</v>
      </c>
      <c r="O2654">
        <v>52.6038562091627</v>
      </c>
      <c r="P2654">
        <v>-9.6436480034476899E-2</v>
      </c>
      <c r="Q2654">
        <v>0.10727834659596699</v>
      </c>
      <c r="R2654">
        <v>0.98717017893891801</v>
      </c>
      <c r="S2654" t="s">
        <v>6486</v>
      </c>
      <c r="T2654" t="s">
        <v>7662</v>
      </c>
      <c r="U2654" t="s">
        <v>7662</v>
      </c>
      <c r="V2654" t="s">
        <v>7662</v>
      </c>
      <c r="W2654">
        <v>2</v>
      </c>
      <c r="X2654" t="s">
        <v>10316</v>
      </c>
      <c r="Y2654">
        <v>0.50419348835780309</v>
      </c>
      <c r="Z2654" t="str">
        <f>HYPERLINK("Melting_Curves/meltCurve_sp_Q9H270_VPS11_HUMAN_.pdf", "Melting_Curves/meltCurve_sp_Q9H270_VPS11_HUMAN_.pdf")</f>
        <v>Melting_Curves/meltCurve_sp_Q9H270_VPS11_HUMAN_.pdf</v>
      </c>
      <c r="AA2654" t="s">
        <v>14114</v>
      </c>
      <c r="AB2654" t="s">
        <v>17894</v>
      </c>
    </row>
    <row r="2655" spans="1:28" x14ac:dyDescent="0.25">
      <c r="A2655" t="s">
        <v>2659</v>
      </c>
      <c r="B2655">
        <v>0.98876768158843997</v>
      </c>
      <c r="C2655">
        <v>0.56814816184190298</v>
      </c>
      <c r="D2655">
        <v>0.42726325835953</v>
      </c>
      <c r="E2655">
        <v>0.169981921363134</v>
      </c>
      <c r="F2655">
        <v>8.2275906004135396E-2</v>
      </c>
      <c r="G2655">
        <v>4.06254655899198E-2</v>
      </c>
      <c r="H2655">
        <v>2.4300283121608202E-2</v>
      </c>
      <c r="I2655">
        <v>1.8526404882089099E-2</v>
      </c>
      <c r="J2655">
        <v>2.15555583746786E-2</v>
      </c>
      <c r="K2655">
        <v>1.78438540054193E-2</v>
      </c>
      <c r="L2655">
        <v>759.09451504235199</v>
      </c>
      <c r="M2655">
        <v>17.012005349696199</v>
      </c>
      <c r="N2655">
        <v>44.723982938722301</v>
      </c>
      <c r="O2655">
        <v>44.018215283314902</v>
      </c>
      <c r="P2655">
        <v>-9.4771290299874494E-2</v>
      </c>
      <c r="Q2655">
        <v>1.9185134646516201E-2</v>
      </c>
      <c r="R2655">
        <v>0.97473496895685696</v>
      </c>
      <c r="S2655" t="s">
        <v>6487</v>
      </c>
      <c r="T2655" t="s">
        <v>7662</v>
      </c>
      <c r="U2655" t="s">
        <v>7662</v>
      </c>
      <c r="V2655" t="s">
        <v>7662</v>
      </c>
      <c r="W2655">
        <v>18</v>
      </c>
      <c r="X2655" t="s">
        <v>10317</v>
      </c>
      <c r="Y2655">
        <v>0.19537319886794949</v>
      </c>
      <c r="Z2655" t="str">
        <f>HYPERLINK("Melting_Curves/meltCurve_sp_Q9H2A2_AL8A1_HUMAN_.pdf", "Melting_Curves/meltCurve_sp_Q9H2A2_AL8A1_HUMAN_.pdf")</f>
        <v>Melting_Curves/meltCurve_sp_Q9H2A2_AL8A1_HUMAN_.pdf</v>
      </c>
      <c r="AA2655" t="s">
        <v>14115</v>
      </c>
      <c r="AB2655" t="s">
        <v>17895</v>
      </c>
    </row>
    <row r="2656" spans="1:28" x14ac:dyDescent="0.25">
      <c r="A2656" t="s">
        <v>2660</v>
      </c>
      <c r="B2656">
        <v>0.98876768158843997</v>
      </c>
      <c r="C2656">
        <v>1.02076533173449</v>
      </c>
      <c r="D2656">
        <v>0.93172357298733699</v>
      </c>
      <c r="E2656">
        <v>0.75029764429860002</v>
      </c>
      <c r="F2656">
        <v>0.68888690768962002</v>
      </c>
      <c r="G2656">
        <v>0.41177244476867397</v>
      </c>
      <c r="H2656">
        <v>0.28285210019573898</v>
      </c>
      <c r="I2656">
        <v>0.28926399064540897</v>
      </c>
      <c r="J2656">
        <v>0.34324117630516199</v>
      </c>
      <c r="K2656">
        <v>0.33390885031467898</v>
      </c>
      <c r="L2656">
        <v>954.630597259409</v>
      </c>
      <c r="M2656">
        <v>18.162250756851801</v>
      </c>
      <c r="N2656">
        <v>55.203687539973998</v>
      </c>
      <c r="O2656">
        <v>51.9364760072934</v>
      </c>
      <c r="P2656">
        <v>-6.2040575688548302E-2</v>
      </c>
      <c r="Q2656">
        <v>0.29039292241176301</v>
      </c>
      <c r="R2656">
        <v>0.98043042854639395</v>
      </c>
      <c r="S2656" t="s">
        <v>6488</v>
      </c>
      <c r="T2656" t="s">
        <v>7662</v>
      </c>
      <c r="U2656" t="s">
        <v>7662</v>
      </c>
      <c r="V2656" t="s">
        <v>7662</v>
      </c>
      <c r="W2656">
        <v>13</v>
      </c>
      <c r="X2656" t="s">
        <v>10318</v>
      </c>
      <c r="Y2656">
        <v>0.59904847335471934</v>
      </c>
      <c r="Z2656" t="str">
        <f>HYPERLINK("Melting_Curves/meltCurve_sp_Q9H2D6_5_TARA_HUMAN_.pdf", "Melting_Curves/meltCurve_sp_Q9H2D6_5_TARA_HUMAN_.pdf")</f>
        <v>Melting_Curves/meltCurve_sp_Q9H2D6_5_TARA_HUMAN_.pdf</v>
      </c>
      <c r="AA2656" t="s">
        <v>14116</v>
      </c>
      <c r="AB2656" t="s">
        <v>17896</v>
      </c>
    </row>
    <row r="2657" spans="1:28" x14ac:dyDescent="0.25">
      <c r="A2657" t="s">
        <v>2661</v>
      </c>
      <c r="B2657">
        <v>0.98876768158843997</v>
      </c>
      <c r="C2657">
        <v>0.99703270155700097</v>
      </c>
      <c r="D2657">
        <v>0.91334841482084905</v>
      </c>
      <c r="E2657">
        <v>0.77476995613577104</v>
      </c>
      <c r="F2657">
        <v>0.29130167966988202</v>
      </c>
      <c r="G2657">
        <v>0.16684283653048201</v>
      </c>
      <c r="H2657">
        <v>0.15021505517612099</v>
      </c>
      <c r="I2657">
        <v>0.124273065927924</v>
      </c>
      <c r="J2657">
        <v>0.147137156611298</v>
      </c>
      <c r="K2657">
        <v>0.17893192938122901</v>
      </c>
      <c r="L2657">
        <v>2228.0560069588701</v>
      </c>
      <c r="M2657">
        <v>43.5911309153256</v>
      </c>
      <c r="N2657">
        <v>51.535943476491603</v>
      </c>
      <c r="O2657">
        <v>51.005380372353002</v>
      </c>
      <c r="P2657">
        <v>-0.18150521354054</v>
      </c>
      <c r="Q2657">
        <v>0.150494272266257</v>
      </c>
      <c r="R2657">
        <v>0.99399726965482305</v>
      </c>
      <c r="S2657" t="s">
        <v>6489</v>
      </c>
      <c r="T2657" t="s">
        <v>7662</v>
      </c>
      <c r="U2657" t="s">
        <v>7662</v>
      </c>
      <c r="V2657" t="s">
        <v>7662</v>
      </c>
      <c r="W2657">
        <v>10</v>
      </c>
      <c r="X2657" t="s">
        <v>10319</v>
      </c>
      <c r="Y2657">
        <v>0.46769213380796409</v>
      </c>
      <c r="Z2657" t="str">
        <f>HYPERLINK("Melting_Curves/meltCurve_sp_Q9H2G2_2_SLK_HUMAN_.pdf", "Melting_Curves/meltCurve_sp_Q9H2G2_2_SLK_HUMAN_.pdf")</f>
        <v>Melting_Curves/meltCurve_sp_Q9H2G2_2_SLK_HUMAN_.pdf</v>
      </c>
      <c r="AA2657" t="s">
        <v>14117</v>
      </c>
      <c r="AB2657" t="s">
        <v>17897</v>
      </c>
    </row>
    <row r="2658" spans="1:28" x14ac:dyDescent="0.25">
      <c r="A2658" t="s">
        <v>2662</v>
      </c>
      <c r="B2658">
        <v>0.98876768158843997</v>
      </c>
      <c r="C2658">
        <v>1.0716912841295501</v>
      </c>
      <c r="D2658">
        <v>0.79977233673426795</v>
      </c>
      <c r="E2658">
        <v>0.59584610049312203</v>
      </c>
      <c r="F2658">
        <v>0.17338682501965</v>
      </c>
      <c r="G2658">
        <v>8.33958833289241E-2</v>
      </c>
      <c r="H2658">
        <v>5.9132786591976801E-2</v>
      </c>
      <c r="I2658">
        <v>5.0308917376096003E-2</v>
      </c>
      <c r="J2658">
        <v>6.9120830415830004E-2</v>
      </c>
      <c r="K2658">
        <v>7.4689448591623395E-2</v>
      </c>
      <c r="L2658">
        <v>1245.4544709301399</v>
      </c>
      <c r="M2658">
        <v>24.920686024082599</v>
      </c>
      <c r="N2658">
        <v>50.1939602148706</v>
      </c>
      <c r="O2658">
        <v>49.658276632769699</v>
      </c>
      <c r="P2658">
        <v>-0.119049104617051</v>
      </c>
      <c r="Q2658">
        <v>5.1119155336458E-2</v>
      </c>
      <c r="R2658">
        <v>0.98245214473569997</v>
      </c>
      <c r="S2658" t="s">
        <v>6490</v>
      </c>
      <c r="T2658" t="s">
        <v>7662</v>
      </c>
      <c r="U2658" t="s">
        <v>7662</v>
      </c>
      <c r="V2658" t="s">
        <v>7662</v>
      </c>
      <c r="W2658">
        <v>4</v>
      </c>
      <c r="X2658" t="s">
        <v>10320</v>
      </c>
      <c r="Y2658">
        <v>0.37521008264072903</v>
      </c>
      <c r="Z2658" t="str">
        <f>HYPERLINK("Melting_Curves/meltCurve_sp_Q9H2H8_PPIL3_HUMAN_.pdf", "Melting_Curves/meltCurve_sp_Q9H2H8_PPIL3_HUMAN_.pdf")</f>
        <v>Melting_Curves/meltCurve_sp_Q9H2H8_PPIL3_HUMAN_.pdf</v>
      </c>
      <c r="AA2658" t="s">
        <v>14118</v>
      </c>
      <c r="AB2658" t="s">
        <v>17898</v>
      </c>
    </row>
    <row r="2659" spans="1:28" x14ac:dyDescent="0.25">
      <c r="A2659" t="s">
        <v>2663</v>
      </c>
      <c r="B2659">
        <v>0.98876768158843997</v>
      </c>
      <c r="C2659">
        <v>0.85922593345199605</v>
      </c>
      <c r="D2659">
        <v>1.014134936124</v>
      </c>
      <c r="E2659">
        <v>0.95590254828843002</v>
      </c>
      <c r="F2659">
        <v>0.65832566213618704</v>
      </c>
      <c r="G2659">
        <v>0.55109657528112699</v>
      </c>
      <c r="H2659">
        <v>0.51400326551802999</v>
      </c>
      <c r="I2659">
        <v>0.64194187191074703</v>
      </c>
      <c r="J2659">
        <v>0.66482932651295601</v>
      </c>
      <c r="K2659">
        <v>0.81370946893731</v>
      </c>
      <c r="L2659">
        <v>4249.3931249323796</v>
      </c>
      <c r="M2659">
        <v>83.004099111056604</v>
      </c>
      <c r="O2659">
        <v>51.165285507669303</v>
      </c>
      <c r="P2659">
        <v>-0.147119897664066</v>
      </c>
      <c r="Q2659">
        <v>0.63725017159300901</v>
      </c>
      <c r="R2659">
        <v>0.755216987783494</v>
      </c>
      <c r="S2659" t="s">
        <v>6491</v>
      </c>
      <c r="T2659" t="s">
        <v>7662</v>
      </c>
      <c r="U2659" t="s">
        <v>7662</v>
      </c>
      <c r="V2659" t="s">
        <v>7662</v>
      </c>
      <c r="W2659">
        <v>27</v>
      </c>
      <c r="X2659" t="s">
        <v>10321</v>
      </c>
      <c r="Y2659">
        <v>0.77291225158103183</v>
      </c>
      <c r="Z2659" t="str">
        <f>HYPERLINK("Melting_Curves/meltCurve_sp_Q9H2M3_BHMT2_HUMAN_.pdf", "Melting_Curves/meltCurve_sp_Q9H2M3_BHMT2_HUMAN_.pdf")</f>
        <v>Melting_Curves/meltCurve_sp_Q9H2M3_BHMT2_HUMAN_.pdf</v>
      </c>
      <c r="AA2659" t="s">
        <v>14119</v>
      </c>
      <c r="AB2659" t="s">
        <v>17899</v>
      </c>
    </row>
    <row r="2660" spans="1:28" x14ac:dyDescent="0.25">
      <c r="A2660" t="s">
        <v>2664</v>
      </c>
      <c r="B2660">
        <v>0.98876768158843997</v>
      </c>
      <c r="C2660">
        <v>0.96457328488855798</v>
      </c>
      <c r="D2660">
        <v>1.08942698566341</v>
      </c>
      <c r="E2660">
        <v>0.73410361818388603</v>
      </c>
      <c r="F2660">
        <v>0.435305935622115</v>
      </c>
      <c r="G2660">
        <v>0.411825259976559</v>
      </c>
      <c r="H2660">
        <v>0.31832797157737902</v>
      </c>
      <c r="I2660">
        <v>0.38409191887387401</v>
      </c>
      <c r="J2660">
        <v>0.32818090996335803</v>
      </c>
      <c r="K2660">
        <v>0.24934321446548699</v>
      </c>
      <c r="L2660">
        <v>2075.02111240247</v>
      </c>
      <c r="M2660">
        <v>41.013207914803502</v>
      </c>
      <c r="N2660">
        <v>52.0198293634365</v>
      </c>
      <c r="O2660">
        <v>50.474147841306497</v>
      </c>
      <c r="P2660">
        <v>-0.13457251061141101</v>
      </c>
      <c r="Q2660">
        <v>0.33753845502052499</v>
      </c>
      <c r="R2660">
        <v>0.97118990792996995</v>
      </c>
      <c r="S2660" t="s">
        <v>6492</v>
      </c>
      <c r="T2660" t="s">
        <v>7662</v>
      </c>
      <c r="U2660" t="s">
        <v>7662</v>
      </c>
      <c r="V2660" t="s">
        <v>7662</v>
      </c>
      <c r="W2660">
        <v>3</v>
      </c>
      <c r="X2660" t="s">
        <v>10322</v>
      </c>
      <c r="Y2660">
        <v>0.5736781521638713</v>
      </c>
      <c r="Z2660" t="str">
        <f>HYPERLINK("Melting_Curves/meltCurve_sp_Q9H2M9_RBGPR_HUMAN_.pdf", "Melting_Curves/meltCurve_sp_Q9H2M9_RBGPR_HUMAN_.pdf")</f>
        <v>Melting_Curves/meltCurve_sp_Q9H2M9_RBGPR_HUMAN_.pdf</v>
      </c>
      <c r="AA2660" t="s">
        <v>14120</v>
      </c>
      <c r="AB2660" t="s">
        <v>17900</v>
      </c>
    </row>
    <row r="2661" spans="1:28" x14ac:dyDescent="0.25">
      <c r="A2661" t="s">
        <v>2665</v>
      </c>
      <c r="B2661">
        <v>0.98876768158843997</v>
      </c>
      <c r="C2661">
        <v>0.92584932610138504</v>
      </c>
      <c r="D2661">
        <v>0.85026281680489901</v>
      </c>
      <c r="E2661">
        <v>0.61872835644170099</v>
      </c>
      <c r="F2661">
        <v>0.574566465337772</v>
      </c>
      <c r="G2661">
        <v>0.30392844236889599</v>
      </c>
      <c r="H2661">
        <v>0.234826589509642</v>
      </c>
      <c r="I2661">
        <v>0.26483777142645498</v>
      </c>
      <c r="J2661">
        <v>0.32158468026779002</v>
      </c>
      <c r="K2661">
        <v>0.341633352858425</v>
      </c>
      <c r="L2661">
        <v>787.07206269080802</v>
      </c>
      <c r="M2661">
        <v>15.704554608948399</v>
      </c>
      <c r="N2661">
        <v>52.703678575349798</v>
      </c>
      <c r="O2661">
        <v>49.325946980632899</v>
      </c>
      <c r="P2661">
        <v>-5.8217947045331703E-2</v>
      </c>
      <c r="Q2661">
        <v>0.26864232741050198</v>
      </c>
      <c r="R2661">
        <v>0.96777949340363301</v>
      </c>
      <c r="S2661" t="s">
        <v>6493</v>
      </c>
      <c r="T2661" t="s">
        <v>7662</v>
      </c>
      <c r="U2661" t="s">
        <v>7662</v>
      </c>
      <c r="V2661" t="s">
        <v>7662</v>
      </c>
      <c r="W2661">
        <v>4</v>
      </c>
      <c r="X2661" t="s">
        <v>10323</v>
      </c>
      <c r="Y2661">
        <v>0.53130522533611813</v>
      </c>
      <c r="Z2661" t="str">
        <f>HYPERLINK("Melting_Curves/meltCurve_sp_Q9H2P0_ADNP_HUMAN_.pdf", "Melting_Curves/meltCurve_sp_Q9H2P0_ADNP_HUMAN_.pdf")</f>
        <v>Melting_Curves/meltCurve_sp_Q9H2P0_ADNP_HUMAN_.pdf</v>
      </c>
      <c r="AA2661" t="s">
        <v>14121</v>
      </c>
      <c r="AB2661" t="s">
        <v>17901</v>
      </c>
    </row>
    <row r="2662" spans="1:28" x14ac:dyDescent="0.25">
      <c r="A2662" t="s">
        <v>2666</v>
      </c>
      <c r="B2662">
        <v>0.98876768158843997</v>
      </c>
      <c r="C2662">
        <v>1.0400776700165499</v>
      </c>
      <c r="D2662">
        <v>0.980123890454069</v>
      </c>
      <c r="E2662">
        <v>0.79062968409635903</v>
      </c>
      <c r="F2662">
        <v>0.39398984534131798</v>
      </c>
      <c r="G2662">
        <v>0.200106930962968</v>
      </c>
      <c r="H2662">
        <v>0.100483890308257</v>
      </c>
      <c r="I2662">
        <v>7.6139109336106098E-2</v>
      </c>
      <c r="J2662">
        <v>9.5249298134465102E-2</v>
      </c>
      <c r="K2662">
        <v>6.5598569519093E-2</v>
      </c>
      <c r="L2662">
        <v>1475.6233278437801</v>
      </c>
      <c r="M2662">
        <v>28.3938992575928</v>
      </c>
      <c r="N2662">
        <v>52.319861768419898</v>
      </c>
      <c r="O2662">
        <v>51.714009096642499</v>
      </c>
      <c r="P2662">
        <v>-0.125387676505438</v>
      </c>
      <c r="Q2662">
        <v>8.6529766144632897E-2</v>
      </c>
      <c r="R2662">
        <v>0.99657707633603299</v>
      </c>
      <c r="S2662" t="s">
        <v>6494</v>
      </c>
      <c r="T2662" t="s">
        <v>7662</v>
      </c>
      <c r="U2662" t="s">
        <v>7662</v>
      </c>
      <c r="V2662" t="s">
        <v>7662</v>
      </c>
      <c r="W2662">
        <v>2</v>
      </c>
      <c r="X2662" t="s">
        <v>10324</v>
      </c>
      <c r="Y2662">
        <v>0.45750034143983648</v>
      </c>
      <c r="Z2662" t="str">
        <f>HYPERLINK("Melting_Curves/meltCurve_sp_Q9H2P9_3_DPH5_HUMAN_.pdf", "Melting_Curves/meltCurve_sp_Q9H2P9_3_DPH5_HUMAN_.pdf")</f>
        <v>Melting_Curves/meltCurve_sp_Q9H2P9_3_DPH5_HUMAN_.pdf</v>
      </c>
      <c r="AA2662" t="s">
        <v>14122</v>
      </c>
      <c r="AB2662" t="s">
        <v>17902</v>
      </c>
    </row>
    <row r="2663" spans="1:28" x14ac:dyDescent="0.25">
      <c r="A2663" t="s">
        <v>2667</v>
      </c>
      <c r="B2663">
        <v>0.98876768158843997</v>
      </c>
      <c r="C2663">
        <v>0.95459766949830804</v>
      </c>
      <c r="D2663">
        <v>0.98354519533765405</v>
      </c>
      <c r="E2663">
        <v>0.82566485353665597</v>
      </c>
      <c r="F2663">
        <v>0.53979358070875605</v>
      </c>
      <c r="G2663">
        <v>0.240262643350239</v>
      </c>
      <c r="H2663">
        <v>0.171100087808715</v>
      </c>
      <c r="I2663">
        <v>0.167859371754249</v>
      </c>
      <c r="J2663">
        <v>0.13729043370420299</v>
      </c>
      <c r="K2663">
        <v>0.22832678900112299</v>
      </c>
      <c r="L2663">
        <v>1470.99865419501</v>
      </c>
      <c r="M2663">
        <v>28.026273113751198</v>
      </c>
      <c r="N2663">
        <v>53.2704026373451</v>
      </c>
      <c r="O2663">
        <v>52.221354528376601</v>
      </c>
      <c r="P2663">
        <v>-0.11149767895142</v>
      </c>
      <c r="Q2663">
        <v>0.16899223301281999</v>
      </c>
      <c r="R2663">
        <v>0.99436922809213901</v>
      </c>
      <c r="S2663" t="s">
        <v>6495</v>
      </c>
      <c r="T2663" t="s">
        <v>7662</v>
      </c>
      <c r="U2663" t="s">
        <v>7662</v>
      </c>
      <c r="V2663" t="s">
        <v>7662</v>
      </c>
      <c r="W2663">
        <v>4</v>
      </c>
      <c r="X2663" t="s">
        <v>10325</v>
      </c>
      <c r="Y2663">
        <v>0.5209825101869513</v>
      </c>
      <c r="Z2663" t="str">
        <f>HYPERLINK("Melting_Curves/meltCurve_sp_Q9H2U1_3_DHX36_HUMAN_.pdf", "Melting_Curves/meltCurve_sp_Q9H2U1_3_DHX36_HUMAN_.pdf")</f>
        <v>Melting_Curves/meltCurve_sp_Q9H2U1_3_DHX36_HUMAN_.pdf</v>
      </c>
      <c r="AA2663" t="s">
        <v>14123</v>
      </c>
      <c r="AB2663" t="s">
        <v>17903</v>
      </c>
    </row>
    <row r="2664" spans="1:28" x14ac:dyDescent="0.25">
      <c r="A2664" t="s">
        <v>2668</v>
      </c>
      <c r="B2664">
        <v>0.98876768158843997</v>
      </c>
      <c r="C2664">
        <v>0.91320918446941501</v>
      </c>
      <c r="D2664">
        <v>0.92266144312056997</v>
      </c>
      <c r="E2664">
        <v>0.79168500214267501</v>
      </c>
      <c r="F2664">
        <v>0.35614450015447602</v>
      </c>
      <c r="G2664">
        <v>0.20321010819529001</v>
      </c>
      <c r="H2664">
        <v>5.25495673843678E-2</v>
      </c>
      <c r="I2664">
        <v>3.8833403952875198E-2</v>
      </c>
      <c r="J2664">
        <v>4.5945702338623502E-2</v>
      </c>
      <c r="K2664">
        <v>3.2510845577322103E-2</v>
      </c>
      <c r="L2664">
        <v>1236.40779799498</v>
      </c>
      <c r="M2664">
        <v>23.759807165949901</v>
      </c>
      <c r="N2664">
        <v>52.210857391657598</v>
      </c>
      <c r="O2664">
        <v>51.673366582483901</v>
      </c>
      <c r="P2664">
        <v>-0.11060061556700899</v>
      </c>
      <c r="Q2664">
        <v>3.7868939878645001E-2</v>
      </c>
      <c r="R2664">
        <v>0.988277560701181</v>
      </c>
      <c r="S2664" t="s">
        <v>6496</v>
      </c>
      <c r="T2664" t="s">
        <v>7662</v>
      </c>
      <c r="U2664" t="s">
        <v>7662</v>
      </c>
      <c r="V2664" t="s">
        <v>7662</v>
      </c>
      <c r="W2664">
        <v>17</v>
      </c>
      <c r="X2664" t="s">
        <v>10326</v>
      </c>
      <c r="Y2664">
        <v>0.43361715097590342</v>
      </c>
      <c r="Z2664" t="str">
        <f>HYPERLINK("Melting_Curves/meltCurve_sp_Q9H2U2_IPYR2_HUMAN_.pdf", "Melting_Curves/meltCurve_sp_Q9H2U2_IPYR2_HUMAN_.pdf")</f>
        <v>Melting_Curves/meltCurve_sp_Q9H2U2_IPYR2_HUMAN_.pdf</v>
      </c>
      <c r="AA2664" t="s">
        <v>14124</v>
      </c>
      <c r="AB2664" t="s">
        <v>17904</v>
      </c>
    </row>
    <row r="2665" spans="1:28" x14ac:dyDescent="0.25">
      <c r="A2665" t="s">
        <v>2669</v>
      </c>
      <c r="B2665">
        <v>0.98876768158843997</v>
      </c>
      <c r="C2665">
        <v>0.92206261104729903</v>
      </c>
      <c r="D2665">
        <v>0.53590815568126504</v>
      </c>
      <c r="E2665">
        <v>0.23859455170128999</v>
      </c>
      <c r="F2665">
        <v>0.13745458736424099</v>
      </c>
      <c r="G2665">
        <v>7.6810238406888498E-2</v>
      </c>
      <c r="H2665">
        <v>6.1649869975563501E-2</v>
      </c>
      <c r="I2665">
        <v>5.3636197842644798E-2</v>
      </c>
      <c r="J2665">
        <v>8.8419030877099805E-2</v>
      </c>
      <c r="K2665">
        <v>6.3252741279498301E-2</v>
      </c>
      <c r="L2665">
        <v>1100.83201667148</v>
      </c>
      <c r="M2665">
        <v>23.764772736236999</v>
      </c>
      <c r="N2665">
        <v>46.627775035418999</v>
      </c>
      <c r="O2665">
        <v>45.997737425536997</v>
      </c>
      <c r="P2665">
        <v>-0.119845595678946</v>
      </c>
      <c r="Q2665">
        <v>7.2149835620896899E-2</v>
      </c>
      <c r="R2665">
        <v>0.99531308336159696</v>
      </c>
      <c r="S2665" t="s">
        <v>6497</v>
      </c>
      <c r="T2665" t="s">
        <v>7662</v>
      </c>
      <c r="U2665" t="s">
        <v>7662</v>
      </c>
      <c r="V2665" t="s">
        <v>7662</v>
      </c>
      <c r="W2665">
        <v>4</v>
      </c>
      <c r="X2665" t="s">
        <v>10327</v>
      </c>
      <c r="Y2665">
        <v>0.27715997648930119</v>
      </c>
      <c r="Z2665" t="str">
        <f>HYPERLINK("Melting_Curves/meltCurve_sp_Q9H2W6_RM46_HUMAN_.pdf", "Melting_Curves/meltCurve_sp_Q9H2W6_RM46_HUMAN_.pdf")</f>
        <v>Melting_Curves/meltCurve_sp_Q9H2W6_RM46_HUMAN_.pdf</v>
      </c>
      <c r="AA2665" t="s">
        <v>14125</v>
      </c>
      <c r="AB2665" t="s">
        <v>17905</v>
      </c>
    </row>
    <row r="2666" spans="1:28" x14ac:dyDescent="0.25">
      <c r="A2666" t="s">
        <v>2670</v>
      </c>
      <c r="B2666">
        <v>0.98876768158843997</v>
      </c>
      <c r="C2666">
        <v>1.0698822468239799</v>
      </c>
      <c r="D2666">
        <v>0.933722054006353</v>
      </c>
      <c r="E2666">
        <v>0.73670814867026402</v>
      </c>
      <c r="F2666">
        <v>0.64579289073036406</v>
      </c>
      <c r="G2666">
        <v>0.37920407167622899</v>
      </c>
      <c r="H2666">
        <v>0.31918193198870998</v>
      </c>
      <c r="I2666">
        <v>0.32174300535912698</v>
      </c>
      <c r="J2666">
        <v>0.418928495030782</v>
      </c>
      <c r="K2666">
        <v>0.47223333686145402</v>
      </c>
      <c r="L2666">
        <v>1168.6535547599101</v>
      </c>
      <c r="M2666">
        <v>22.799312809246601</v>
      </c>
      <c r="N2666">
        <v>54.547808646344599</v>
      </c>
      <c r="O2666">
        <v>50.868846571096498</v>
      </c>
      <c r="P2666">
        <v>-7.0192507546179103E-2</v>
      </c>
      <c r="Q2666">
        <v>0.37357038044952201</v>
      </c>
      <c r="R2666">
        <v>0.95284636654725197</v>
      </c>
      <c r="S2666" t="s">
        <v>6498</v>
      </c>
      <c r="T2666" t="s">
        <v>7662</v>
      </c>
      <c r="U2666" t="s">
        <v>7662</v>
      </c>
      <c r="V2666" t="s">
        <v>7662</v>
      </c>
      <c r="W2666">
        <v>3</v>
      </c>
      <c r="X2666" t="s">
        <v>10328</v>
      </c>
      <c r="Y2666">
        <v>0.6154401099627933</v>
      </c>
      <c r="Z2666" t="str">
        <f>HYPERLINK("Melting_Curves/meltCurve_sp_Q9H307_PININ_HUMAN_.pdf", "Melting_Curves/meltCurve_sp_Q9H307_PININ_HUMAN_.pdf")</f>
        <v>Melting_Curves/meltCurve_sp_Q9H307_PININ_HUMAN_.pdf</v>
      </c>
      <c r="AA2666" t="s">
        <v>14126</v>
      </c>
      <c r="AB2666" t="s">
        <v>17906</v>
      </c>
    </row>
    <row r="2667" spans="1:28" x14ac:dyDescent="0.25">
      <c r="A2667" t="s">
        <v>2671</v>
      </c>
      <c r="B2667">
        <v>0.98876768158843997</v>
      </c>
      <c r="C2667">
        <v>0.90609882438637601</v>
      </c>
      <c r="D2667">
        <v>0.99450397636120802</v>
      </c>
      <c r="E2667">
        <v>0.67036500723847403</v>
      </c>
      <c r="F2667">
        <v>0.38487010269911098</v>
      </c>
      <c r="G2667">
        <v>0.201377211737753</v>
      </c>
      <c r="H2667">
        <v>0.102880150585278</v>
      </c>
      <c r="I2667">
        <v>5.8500820480769503E-2</v>
      </c>
      <c r="J2667">
        <v>5.2636752791696002E-2</v>
      </c>
      <c r="K2667">
        <v>4.5310060269681103E-2</v>
      </c>
      <c r="L2667">
        <v>1064.9390722605499</v>
      </c>
      <c r="M2667">
        <v>20.618842523824</v>
      </c>
      <c r="N2667">
        <v>51.921420382095697</v>
      </c>
      <c r="O2667">
        <v>51.170355729953599</v>
      </c>
      <c r="P2667">
        <v>-9.5571408108441197E-2</v>
      </c>
      <c r="Q2667">
        <v>5.1298322930796898E-2</v>
      </c>
      <c r="R2667">
        <v>0.99172969448228399</v>
      </c>
      <c r="S2667" t="s">
        <v>6499</v>
      </c>
      <c r="T2667" t="s">
        <v>7662</v>
      </c>
      <c r="U2667" t="s">
        <v>7662</v>
      </c>
      <c r="V2667" t="s">
        <v>7662</v>
      </c>
      <c r="W2667">
        <v>5</v>
      </c>
      <c r="X2667" t="s">
        <v>10329</v>
      </c>
      <c r="Y2667">
        <v>0.4321063407493233</v>
      </c>
      <c r="Z2667" t="str">
        <f>HYPERLINK("Melting_Curves/meltCurve_sp_Q9H3G5_CPVL_HUMAN_.pdf", "Melting_Curves/meltCurve_sp_Q9H3G5_CPVL_HUMAN_.pdf")</f>
        <v>Melting_Curves/meltCurve_sp_Q9H3G5_CPVL_HUMAN_.pdf</v>
      </c>
      <c r="AA2667" t="s">
        <v>14127</v>
      </c>
      <c r="AB2667" t="s">
        <v>17907</v>
      </c>
    </row>
    <row r="2668" spans="1:28" x14ac:dyDescent="0.25">
      <c r="A2668" t="s">
        <v>2672</v>
      </c>
      <c r="B2668">
        <v>0.98876768158843997</v>
      </c>
      <c r="C2668">
        <v>1.01314828488277</v>
      </c>
      <c r="D2668">
        <v>0.97103841168238403</v>
      </c>
      <c r="E2668">
        <v>0.75922593132679705</v>
      </c>
      <c r="F2668">
        <v>0.49786127888243897</v>
      </c>
      <c r="G2668">
        <v>0.18489459746988099</v>
      </c>
      <c r="H2668">
        <v>0.119791286362186</v>
      </c>
      <c r="I2668">
        <v>7.7553200379076898E-2</v>
      </c>
      <c r="J2668">
        <v>0.21775492042109401</v>
      </c>
      <c r="K2668">
        <v>6.8035407734281503E-2</v>
      </c>
      <c r="L2668">
        <v>1301.9622801775299</v>
      </c>
      <c r="M2668">
        <v>24.934979383694099</v>
      </c>
      <c r="N2668">
        <v>52.734398480462097</v>
      </c>
      <c r="O2668">
        <v>51.881932834880097</v>
      </c>
      <c r="P2668">
        <v>-0.107055899022097</v>
      </c>
      <c r="Q2668">
        <v>0.109012056597261</v>
      </c>
      <c r="R2668">
        <v>0.98882354973043596</v>
      </c>
      <c r="S2668" t="s">
        <v>6500</v>
      </c>
      <c r="T2668" t="s">
        <v>7662</v>
      </c>
      <c r="U2668" t="s">
        <v>7662</v>
      </c>
      <c r="V2668" t="s">
        <v>7662</v>
      </c>
      <c r="W2668">
        <v>2</v>
      </c>
      <c r="X2668" t="s">
        <v>10330</v>
      </c>
      <c r="Y2668">
        <v>0.47996281628384091</v>
      </c>
      <c r="Z2668" t="str">
        <f>HYPERLINK("Melting_Curves/meltCurve_sp_Q9H3H3_CK068_HUMAN_.pdf", "Melting_Curves/meltCurve_sp_Q9H3H3_CK068_HUMAN_.pdf")</f>
        <v>Melting_Curves/meltCurve_sp_Q9H3H3_CK068_HUMAN_.pdf</v>
      </c>
      <c r="AA2668" t="s">
        <v>14128</v>
      </c>
      <c r="AB2668" t="s">
        <v>17908</v>
      </c>
    </row>
    <row r="2669" spans="1:28" x14ac:dyDescent="0.25">
      <c r="A2669" t="s">
        <v>2673</v>
      </c>
      <c r="B2669">
        <v>0.98876768158843997</v>
      </c>
      <c r="C2669">
        <v>1.85178208137175</v>
      </c>
      <c r="D2669">
        <v>1.27831739193657</v>
      </c>
      <c r="E2669">
        <v>1.1601655978382099</v>
      </c>
      <c r="F2669">
        <v>1.6566335428361101</v>
      </c>
      <c r="G2669">
        <v>1.10880262826374</v>
      </c>
      <c r="H2669">
        <v>0.79547617733603304</v>
      </c>
      <c r="I2669">
        <v>0.76848529461936399</v>
      </c>
      <c r="J2669">
        <v>0.799618973850029</v>
      </c>
      <c r="K2669">
        <v>0.82796202915939099</v>
      </c>
      <c r="L2669">
        <v>12908.0339423803</v>
      </c>
      <c r="M2669">
        <v>217.22604432338201</v>
      </c>
      <c r="O2669">
        <v>59.417092173755002</v>
      </c>
      <c r="P2669">
        <v>-0.18489265499322199</v>
      </c>
      <c r="Q2669">
        <v>0.79770779453665297</v>
      </c>
      <c r="R2669">
        <v>8.2700226510613595E-3</v>
      </c>
      <c r="S2669" t="s">
        <v>6501</v>
      </c>
      <c r="T2669" t="s">
        <v>7662</v>
      </c>
      <c r="U2669" t="s">
        <v>7662</v>
      </c>
      <c r="V2669" t="s">
        <v>7662</v>
      </c>
      <c r="W2669">
        <v>4</v>
      </c>
      <c r="X2669" t="s">
        <v>10331</v>
      </c>
      <c r="Y2669">
        <v>0.92870057951975005</v>
      </c>
      <c r="Z2669" t="str">
        <f>HYPERLINK("Melting_Curves/meltCurve_sp_Q9H3K6_BOLA2_HUMAN_.pdf", "Melting_Curves/meltCurve_sp_Q9H3K6_BOLA2_HUMAN_.pdf")</f>
        <v>Melting_Curves/meltCurve_sp_Q9H3K6_BOLA2_HUMAN_.pdf</v>
      </c>
      <c r="AA2669" t="s">
        <v>14129</v>
      </c>
      <c r="AB2669" t="s">
        <v>17909</v>
      </c>
    </row>
    <row r="2670" spans="1:28" x14ac:dyDescent="0.25">
      <c r="A2670" t="s">
        <v>2674</v>
      </c>
      <c r="B2670">
        <v>0.98876768158843997</v>
      </c>
      <c r="C2670">
        <v>1.0851436778049</v>
      </c>
      <c r="D2670">
        <v>0.94540453780786804</v>
      </c>
      <c r="E2670">
        <v>0.74411051237876302</v>
      </c>
      <c r="F2670">
        <v>0.62185712237274304</v>
      </c>
      <c r="G2670">
        <v>0.51351947192374003</v>
      </c>
      <c r="H2670">
        <v>0.31638888915989699</v>
      </c>
      <c r="I2670">
        <v>0.33434055418460601</v>
      </c>
      <c r="J2670">
        <v>0.415439247215177</v>
      </c>
      <c r="K2670">
        <v>0.44402903081549699</v>
      </c>
      <c r="L2670">
        <v>1026.2599712546901</v>
      </c>
      <c r="M2670">
        <v>19.9353421762689</v>
      </c>
      <c r="N2670">
        <v>55.426899646568302</v>
      </c>
      <c r="O2670">
        <v>50.969812826196197</v>
      </c>
      <c r="P2670">
        <v>-6.0712087844637302E-2</v>
      </c>
      <c r="Q2670">
        <v>0.37911638900572597</v>
      </c>
      <c r="R2670">
        <v>0.95876989512489397</v>
      </c>
      <c r="S2670" t="s">
        <v>6502</v>
      </c>
      <c r="T2670" t="s">
        <v>7662</v>
      </c>
      <c r="U2670" t="s">
        <v>7662</v>
      </c>
      <c r="V2670" t="s">
        <v>7662</v>
      </c>
      <c r="W2670">
        <v>5</v>
      </c>
      <c r="X2670" t="s">
        <v>10332</v>
      </c>
      <c r="Y2670">
        <v>0.62535512409254401</v>
      </c>
      <c r="Z2670" t="str">
        <f>HYPERLINK("Melting_Curves/meltCurve_sp_Q9H3P2_NELFA_HUMAN_.pdf", "Melting_Curves/meltCurve_sp_Q9H3P2_NELFA_HUMAN_.pdf")</f>
        <v>Melting_Curves/meltCurve_sp_Q9H3P2_NELFA_HUMAN_.pdf</v>
      </c>
      <c r="AA2670" t="s">
        <v>14130</v>
      </c>
      <c r="AB2670" t="s">
        <v>17910</v>
      </c>
    </row>
    <row r="2671" spans="1:28" x14ac:dyDescent="0.25">
      <c r="A2671" t="s">
        <v>2675</v>
      </c>
      <c r="B2671">
        <v>0.98876768158843997</v>
      </c>
      <c r="C2671">
        <v>1.0446235147877601</v>
      </c>
      <c r="D2671">
        <v>0.81055007747621899</v>
      </c>
      <c r="E2671">
        <v>0.58435240153840395</v>
      </c>
      <c r="F2671">
        <v>0.493125326290759</v>
      </c>
      <c r="G2671">
        <v>0.37810599635726799</v>
      </c>
      <c r="H2671">
        <v>0.26712002536757001</v>
      </c>
      <c r="I2671">
        <v>0.29778674840920499</v>
      </c>
      <c r="J2671">
        <v>0.32606503636619899</v>
      </c>
      <c r="K2671">
        <v>0.36497348860626599</v>
      </c>
      <c r="L2671">
        <v>928.50361378676098</v>
      </c>
      <c r="M2671">
        <v>18.9055852046389</v>
      </c>
      <c r="N2671">
        <v>51.841445956422</v>
      </c>
      <c r="O2671">
        <v>48.573066030689297</v>
      </c>
      <c r="P2671">
        <v>-6.6640517461483195E-2</v>
      </c>
      <c r="Q2671">
        <v>0.31516479382551299</v>
      </c>
      <c r="R2671">
        <v>0.97594996064959905</v>
      </c>
      <c r="S2671" t="s">
        <v>6503</v>
      </c>
      <c r="T2671" t="s">
        <v>7662</v>
      </c>
      <c r="U2671" t="s">
        <v>7662</v>
      </c>
      <c r="V2671" t="s">
        <v>7662</v>
      </c>
      <c r="W2671">
        <v>6</v>
      </c>
      <c r="X2671" t="s">
        <v>10333</v>
      </c>
      <c r="Y2671">
        <v>0.53392078424800837</v>
      </c>
      <c r="Z2671" t="str">
        <f>HYPERLINK("Melting_Curves/meltCurve_sp_Q9H3P7_GCP60_HUMAN_.pdf", "Melting_Curves/meltCurve_sp_Q9H3P7_GCP60_HUMAN_.pdf")</f>
        <v>Melting_Curves/meltCurve_sp_Q9H3P7_GCP60_HUMAN_.pdf</v>
      </c>
      <c r="AA2671" t="s">
        <v>14131</v>
      </c>
      <c r="AB2671" t="s">
        <v>17911</v>
      </c>
    </row>
    <row r="2672" spans="1:28" x14ac:dyDescent="0.25">
      <c r="A2672" t="s">
        <v>2676</v>
      </c>
      <c r="B2672">
        <v>0.98876768158843997</v>
      </c>
      <c r="C2672">
        <v>1.02192729789833</v>
      </c>
      <c r="D2672">
        <v>0.84889810164169899</v>
      </c>
      <c r="E2672">
        <v>0.72301902854939804</v>
      </c>
      <c r="F2672">
        <v>0.68697177227363504</v>
      </c>
      <c r="G2672">
        <v>0.59655355738338101</v>
      </c>
      <c r="H2672">
        <v>0.412317681606649</v>
      </c>
      <c r="I2672">
        <v>0.44762827597132798</v>
      </c>
      <c r="J2672">
        <v>0.559305519322986</v>
      </c>
      <c r="K2672">
        <v>0.64979567684593198</v>
      </c>
      <c r="L2672">
        <v>840.27445527641498</v>
      </c>
      <c r="M2672">
        <v>17.035231508377699</v>
      </c>
      <c r="O2672">
        <v>48.661014015091503</v>
      </c>
      <c r="P2672">
        <v>-4.1722383338030501E-2</v>
      </c>
      <c r="Q2672">
        <v>0.52331049117439299</v>
      </c>
      <c r="R2672">
        <v>0.87479467840730096</v>
      </c>
      <c r="S2672" t="s">
        <v>6504</v>
      </c>
      <c r="T2672" t="s">
        <v>7662</v>
      </c>
      <c r="U2672" t="s">
        <v>7662</v>
      </c>
      <c r="V2672" t="s">
        <v>7662</v>
      </c>
      <c r="W2672">
        <v>2</v>
      </c>
      <c r="X2672" t="s">
        <v>10334</v>
      </c>
      <c r="Y2672">
        <v>0.68063209818564752</v>
      </c>
      <c r="Z2672" t="str">
        <f>HYPERLINK("Melting_Curves/meltCurve_sp_Q9H3Q1_BORG4_HUMAN_.pdf", "Melting_Curves/meltCurve_sp_Q9H3Q1_BORG4_HUMAN_.pdf")</f>
        <v>Melting_Curves/meltCurve_sp_Q9H3Q1_BORG4_HUMAN_.pdf</v>
      </c>
      <c r="AA2672" t="s">
        <v>14132</v>
      </c>
      <c r="AB2672" t="s">
        <v>17912</v>
      </c>
    </row>
    <row r="2673" spans="1:28" x14ac:dyDescent="0.25">
      <c r="A2673" t="s">
        <v>2677</v>
      </c>
      <c r="B2673">
        <v>0.98876768158843997</v>
      </c>
      <c r="C2673">
        <v>0.95050538379801397</v>
      </c>
      <c r="D2673">
        <v>0.90751885572070101</v>
      </c>
      <c r="E2673">
        <v>0.697670267415891</v>
      </c>
      <c r="F2673">
        <v>0.34012375701303799</v>
      </c>
      <c r="G2673">
        <v>0.152178752894048</v>
      </c>
      <c r="H2673">
        <v>9.5577986149767494E-2</v>
      </c>
      <c r="I2673">
        <v>7.3432955108980694E-2</v>
      </c>
      <c r="J2673">
        <v>0.119518937950092</v>
      </c>
      <c r="K2673">
        <v>7.5216044178361197E-2</v>
      </c>
      <c r="L2673">
        <v>1247.1862309036201</v>
      </c>
      <c r="M2673">
        <v>24.3712717085488</v>
      </c>
      <c r="N2673">
        <v>51.554841813110102</v>
      </c>
      <c r="O2673">
        <v>50.833628001965302</v>
      </c>
      <c r="P2673">
        <v>-0.109996344522372</v>
      </c>
      <c r="Q2673">
        <v>8.2291619287046106E-2</v>
      </c>
      <c r="R2673">
        <v>0.99589376661252205</v>
      </c>
      <c r="S2673" t="s">
        <v>6505</v>
      </c>
      <c r="T2673" t="s">
        <v>7662</v>
      </c>
      <c r="U2673" t="s">
        <v>7662</v>
      </c>
      <c r="V2673" t="s">
        <v>7662</v>
      </c>
      <c r="W2673">
        <v>17</v>
      </c>
      <c r="X2673" t="s">
        <v>10335</v>
      </c>
      <c r="Y2673">
        <v>0.43285151614922768</v>
      </c>
      <c r="Z2673" t="str">
        <f>HYPERLINK("Melting_Curves/meltCurve_sp_Q9H3S7_PTN23_HUMAN_.pdf", "Melting_Curves/meltCurve_sp_Q9H3S7_PTN23_HUMAN_.pdf")</f>
        <v>Melting_Curves/meltCurve_sp_Q9H3S7_PTN23_HUMAN_.pdf</v>
      </c>
      <c r="AA2673" t="s">
        <v>14133</v>
      </c>
      <c r="AB2673" t="s">
        <v>17913</v>
      </c>
    </row>
    <row r="2674" spans="1:28" x14ac:dyDescent="0.25">
      <c r="A2674" t="s">
        <v>2678</v>
      </c>
      <c r="B2674">
        <v>0.98876768158843997</v>
      </c>
      <c r="C2674">
        <v>0.98766039780042802</v>
      </c>
      <c r="D2674">
        <v>0.85439569535271997</v>
      </c>
      <c r="E2674">
        <v>0.33172114846170497</v>
      </c>
      <c r="F2674">
        <v>0.137440222957803</v>
      </c>
      <c r="G2674">
        <v>8.4861910904591401E-2</v>
      </c>
      <c r="H2674">
        <v>6.1379728288689997E-2</v>
      </c>
      <c r="I2674">
        <v>5.4918953698680301E-2</v>
      </c>
      <c r="J2674">
        <v>8.8676894994435707E-2</v>
      </c>
      <c r="K2674">
        <v>5.3654100254978701E-2</v>
      </c>
      <c r="L2674">
        <v>1485.05491243086</v>
      </c>
      <c r="M2674">
        <v>30.6086210022027</v>
      </c>
      <c r="N2674">
        <v>48.745956231357098</v>
      </c>
      <c r="O2674">
        <v>48.311873161473201</v>
      </c>
      <c r="P2674">
        <v>-0.14780979747171799</v>
      </c>
      <c r="Q2674">
        <v>6.6808963895388401E-2</v>
      </c>
      <c r="R2674">
        <v>0.99928410652074795</v>
      </c>
      <c r="S2674" t="s">
        <v>6506</v>
      </c>
      <c r="T2674" t="s">
        <v>7662</v>
      </c>
      <c r="U2674" t="s">
        <v>7662</v>
      </c>
      <c r="V2674" t="s">
        <v>7662</v>
      </c>
      <c r="W2674">
        <v>12</v>
      </c>
      <c r="X2674" t="s">
        <v>10336</v>
      </c>
      <c r="Y2674">
        <v>0.33717660204359778</v>
      </c>
      <c r="Z2674" t="str">
        <f>HYPERLINK("Melting_Curves/meltCurve_sp_Q9H3U1_2_UN45A_HUMAN_.pdf", "Melting_Curves/meltCurve_sp_Q9H3U1_2_UN45A_HUMAN_.pdf")</f>
        <v>Melting_Curves/meltCurve_sp_Q9H3U1_2_UN45A_HUMAN_.pdf</v>
      </c>
      <c r="AA2674" t="s">
        <v>14134</v>
      </c>
      <c r="AB2674" t="s">
        <v>17914</v>
      </c>
    </row>
    <row r="2675" spans="1:28" x14ac:dyDescent="0.25">
      <c r="A2675" t="s">
        <v>2679</v>
      </c>
      <c r="B2675">
        <v>0.98876768158843997</v>
      </c>
      <c r="C2675">
        <v>0.98077077110956801</v>
      </c>
      <c r="D2675">
        <v>0.93659817563006098</v>
      </c>
      <c r="E2675">
        <v>0.72685495274203205</v>
      </c>
      <c r="F2675">
        <v>0.74677042565222596</v>
      </c>
      <c r="G2675">
        <v>0.40440951236467698</v>
      </c>
      <c r="H2675">
        <v>0.35768818023038301</v>
      </c>
      <c r="I2675">
        <v>0.39103843355354601</v>
      </c>
      <c r="J2675">
        <v>0.33669684885782403</v>
      </c>
      <c r="K2675">
        <v>0.46804595711354102</v>
      </c>
      <c r="L2675">
        <v>932.97194336024995</v>
      </c>
      <c r="M2675">
        <v>17.933010833226799</v>
      </c>
      <c r="N2675">
        <v>56.132823975972997</v>
      </c>
      <c r="O2675">
        <v>51.391388336247203</v>
      </c>
      <c r="P2675">
        <v>-5.5364535881359103E-2</v>
      </c>
      <c r="Q2675">
        <v>0.36538966592754302</v>
      </c>
      <c r="R2675">
        <v>0.94508862771817403</v>
      </c>
      <c r="S2675" t="s">
        <v>6507</v>
      </c>
      <c r="T2675" t="s">
        <v>7662</v>
      </c>
      <c r="U2675" t="s">
        <v>7662</v>
      </c>
      <c r="V2675" t="s">
        <v>7662</v>
      </c>
      <c r="W2675">
        <v>1</v>
      </c>
      <c r="X2675" t="s">
        <v>10337</v>
      </c>
      <c r="Y2675">
        <v>0.63039491356712862</v>
      </c>
      <c r="Z2675" t="str">
        <f>HYPERLINK("Melting_Curves/meltCurve_sp_Q9H400_2_LIME1_HUMAN_.pdf", "Melting_Curves/meltCurve_sp_Q9H400_2_LIME1_HUMAN_.pdf")</f>
        <v>Melting_Curves/meltCurve_sp_Q9H400_2_LIME1_HUMAN_.pdf</v>
      </c>
      <c r="AA2675" t="s">
        <v>14135</v>
      </c>
      <c r="AB2675" t="s">
        <v>17915</v>
      </c>
    </row>
    <row r="2676" spans="1:28" x14ac:dyDescent="0.25">
      <c r="A2676" t="s">
        <v>2680</v>
      </c>
      <c r="B2676">
        <v>0.98876768158843997</v>
      </c>
      <c r="C2676">
        <v>1.2808221545524601</v>
      </c>
      <c r="D2676">
        <v>0.89769677454785501</v>
      </c>
      <c r="E2676">
        <v>0.74671236446042799</v>
      </c>
      <c r="F2676">
        <v>1.1404356791665</v>
      </c>
      <c r="G2676">
        <v>0.77223014456050498</v>
      </c>
      <c r="H2676">
        <v>0.63379993158249004</v>
      </c>
      <c r="I2676">
        <v>0.85449600584861496</v>
      </c>
      <c r="J2676">
        <v>1.0702942858829601</v>
      </c>
      <c r="K2676">
        <v>1.37058916979517</v>
      </c>
      <c r="L2676">
        <v>15000</v>
      </c>
      <c r="M2676">
        <v>222.428055144414</v>
      </c>
      <c r="O2676">
        <v>67.432084851367406</v>
      </c>
      <c r="P2676">
        <v>0.30569076076461399</v>
      </c>
      <c r="Q2676">
        <v>1.3706972154096</v>
      </c>
      <c r="R2676">
        <v>0.263769090113946</v>
      </c>
      <c r="S2676" t="s">
        <v>6508</v>
      </c>
      <c r="T2676" t="s">
        <v>7662</v>
      </c>
      <c r="U2676" t="s">
        <v>7662</v>
      </c>
      <c r="V2676" t="s">
        <v>7662</v>
      </c>
      <c r="W2676">
        <v>8</v>
      </c>
      <c r="X2676" t="s">
        <v>10338</v>
      </c>
      <c r="Y2676">
        <v>1.0316090328207499</v>
      </c>
      <c r="Z2676" t="str">
        <f>HYPERLINK("Melting_Curves/meltCurve_sp_Q9H444_CHM4B_HUMAN_.pdf", "Melting_Curves/meltCurve_sp_Q9H444_CHM4B_HUMAN_.pdf")</f>
        <v>Melting_Curves/meltCurve_sp_Q9H444_CHM4B_HUMAN_.pdf</v>
      </c>
      <c r="AA2676" t="s">
        <v>14136</v>
      </c>
      <c r="AB2676" t="s">
        <v>17916</v>
      </c>
    </row>
    <row r="2677" spans="1:28" x14ac:dyDescent="0.25">
      <c r="A2677" t="s">
        <v>2681</v>
      </c>
      <c r="B2677">
        <v>0.98876768158843997</v>
      </c>
      <c r="C2677">
        <v>1.1278501286601099</v>
      </c>
      <c r="D2677">
        <v>0.85346412248666703</v>
      </c>
      <c r="E2677">
        <v>0.68869906955743998</v>
      </c>
      <c r="F2677">
        <v>0.64802857502770195</v>
      </c>
      <c r="G2677">
        <v>0.21837072301149499</v>
      </c>
      <c r="H2677">
        <v>8.0013781299185197E-2</v>
      </c>
      <c r="I2677">
        <v>6.3100724918133802E-2</v>
      </c>
      <c r="J2677">
        <v>0.14513127632116901</v>
      </c>
      <c r="K2677">
        <v>5.8237193538284701E-2</v>
      </c>
      <c r="L2677">
        <v>920.008170196592</v>
      </c>
      <c r="M2677">
        <v>17.3134443657449</v>
      </c>
      <c r="N2677">
        <v>53.407957005321599</v>
      </c>
      <c r="O2677">
        <v>52.444654927970703</v>
      </c>
      <c r="P2677">
        <v>-7.9083476384676499E-2</v>
      </c>
      <c r="Q2677">
        <v>4.1838926283811299E-2</v>
      </c>
      <c r="R2677">
        <v>0.96308904873910495</v>
      </c>
      <c r="S2677" t="s">
        <v>6509</v>
      </c>
      <c r="T2677" t="s">
        <v>7662</v>
      </c>
      <c r="U2677" t="s">
        <v>7662</v>
      </c>
      <c r="V2677" t="s">
        <v>7662</v>
      </c>
      <c r="W2677">
        <v>14</v>
      </c>
      <c r="X2677" t="s">
        <v>10339</v>
      </c>
      <c r="Y2677">
        <v>0.47808908395558392</v>
      </c>
      <c r="Z2677" t="str">
        <f>HYPERLINK("Melting_Curves/meltCurve_sp_Q9H479_FN3K_HUMAN_.pdf", "Melting_Curves/meltCurve_sp_Q9H479_FN3K_HUMAN_.pdf")</f>
        <v>Melting_Curves/meltCurve_sp_Q9H479_FN3K_HUMAN_.pdf</v>
      </c>
      <c r="AA2677" t="s">
        <v>14137</v>
      </c>
      <c r="AB2677" t="s">
        <v>17917</v>
      </c>
    </row>
    <row r="2678" spans="1:28" x14ac:dyDescent="0.25">
      <c r="A2678" t="s">
        <v>2682</v>
      </c>
      <c r="B2678">
        <v>0.98876768158843997</v>
      </c>
      <c r="C2678">
        <v>1.0301902165374199</v>
      </c>
      <c r="D2678">
        <v>0.70122885842597005</v>
      </c>
      <c r="E2678">
        <v>0.63939910294393798</v>
      </c>
      <c r="F2678">
        <v>0.33736024769336698</v>
      </c>
      <c r="G2678">
        <v>0.106322568002876</v>
      </c>
      <c r="H2678">
        <v>6.0309882779222203E-2</v>
      </c>
      <c r="I2678">
        <v>5.7533485102704701E-2</v>
      </c>
      <c r="J2678">
        <v>6.3842965781222602E-2</v>
      </c>
      <c r="K2678">
        <v>5.2711441469777201E-2</v>
      </c>
      <c r="L2678">
        <v>800.42090676618295</v>
      </c>
      <c r="M2678">
        <v>15.8333318860731</v>
      </c>
      <c r="N2678">
        <v>50.687893704784301</v>
      </c>
      <c r="O2678">
        <v>49.767111709008901</v>
      </c>
      <c r="P2678">
        <v>-7.7901341832751506E-2</v>
      </c>
      <c r="Q2678">
        <v>2.06463217947561E-2</v>
      </c>
      <c r="R2678">
        <v>0.97520997120312303</v>
      </c>
      <c r="S2678" t="s">
        <v>6510</v>
      </c>
      <c r="T2678" t="s">
        <v>7662</v>
      </c>
      <c r="U2678" t="s">
        <v>7662</v>
      </c>
      <c r="V2678" t="s">
        <v>7662</v>
      </c>
      <c r="W2678">
        <v>6</v>
      </c>
      <c r="X2678" t="s">
        <v>10340</v>
      </c>
      <c r="Y2678">
        <v>0.38604582320992048</v>
      </c>
      <c r="Z2678" t="str">
        <f>HYPERLINK("Melting_Curves/meltCurve_sp_Q9H488_OFUT1_HUMAN_.pdf", "Melting_Curves/meltCurve_sp_Q9H488_OFUT1_HUMAN_.pdf")</f>
        <v>Melting_Curves/meltCurve_sp_Q9H488_OFUT1_HUMAN_.pdf</v>
      </c>
      <c r="AA2678" t="s">
        <v>14138</v>
      </c>
      <c r="AB2678" t="s">
        <v>17918</v>
      </c>
    </row>
    <row r="2679" spans="1:28" x14ac:dyDescent="0.25">
      <c r="A2679" t="s">
        <v>2683</v>
      </c>
      <c r="B2679">
        <v>0.98876768158843997</v>
      </c>
      <c r="C2679">
        <v>1.01066014042906</v>
      </c>
      <c r="D2679">
        <v>0.87164839095718005</v>
      </c>
      <c r="E2679">
        <v>0.70364198844426695</v>
      </c>
      <c r="F2679">
        <v>0.279675034091387</v>
      </c>
      <c r="G2679">
        <v>9.2984511752870105E-2</v>
      </c>
      <c r="H2679">
        <v>5.03444433213074E-2</v>
      </c>
      <c r="I2679">
        <v>4.0421463813157303E-2</v>
      </c>
      <c r="J2679">
        <v>4.8628198431714703E-2</v>
      </c>
      <c r="K2679">
        <v>3.9602132991615697E-2</v>
      </c>
      <c r="L2679">
        <v>1385.7059358665699</v>
      </c>
      <c r="M2679">
        <v>27.092345045874101</v>
      </c>
      <c r="N2679">
        <v>51.295754251021798</v>
      </c>
      <c r="O2679">
        <v>50.871278910730602</v>
      </c>
      <c r="P2679">
        <v>-0.12812976543631399</v>
      </c>
      <c r="Q2679">
        <v>3.7652695111951802E-2</v>
      </c>
      <c r="R2679">
        <v>0.99402023272782003</v>
      </c>
      <c r="S2679" t="s">
        <v>6511</v>
      </c>
      <c r="T2679" t="s">
        <v>7662</v>
      </c>
      <c r="U2679" t="s">
        <v>7662</v>
      </c>
      <c r="V2679" t="s">
        <v>7662</v>
      </c>
      <c r="W2679">
        <v>26</v>
      </c>
      <c r="X2679" t="s">
        <v>10341</v>
      </c>
      <c r="Y2679">
        <v>0.40267626640577742</v>
      </c>
      <c r="Z2679" t="str">
        <f>HYPERLINK("Melting_Curves/meltCurve_sp_Q9H4A4_AMPB_HUMAN_.pdf", "Melting_Curves/meltCurve_sp_Q9H4A4_AMPB_HUMAN_.pdf")</f>
        <v>Melting_Curves/meltCurve_sp_Q9H4A4_AMPB_HUMAN_.pdf</v>
      </c>
      <c r="AA2679" t="s">
        <v>14139</v>
      </c>
      <c r="AB2679" t="s">
        <v>17919</v>
      </c>
    </row>
    <row r="2680" spans="1:28" x14ac:dyDescent="0.25">
      <c r="A2680" t="s">
        <v>2684</v>
      </c>
      <c r="B2680">
        <v>0.98876768158843997</v>
      </c>
      <c r="C2680">
        <v>2.9186733963263101</v>
      </c>
      <c r="D2680">
        <v>2.4197006487150401</v>
      </c>
      <c r="E2680">
        <v>1.5000556794594899</v>
      </c>
      <c r="F2680">
        <v>1.1926972444217101</v>
      </c>
      <c r="G2680">
        <v>0.37814332061165801</v>
      </c>
      <c r="H2680">
        <v>0.242807598560253</v>
      </c>
      <c r="I2680">
        <v>0.19053493774136099</v>
      </c>
      <c r="J2680">
        <v>0.20154354132739599</v>
      </c>
      <c r="K2680">
        <v>0.15564462278151101</v>
      </c>
      <c r="L2680">
        <v>14179.495583278</v>
      </c>
      <c r="M2680">
        <v>250</v>
      </c>
      <c r="N2680">
        <v>56.832321067298103</v>
      </c>
      <c r="O2680">
        <v>56.714354940495703</v>
      </c>
      <c r="P2680">
        <v>-0.88421988513341998</v>
      </c>
      <c r="Q2680">
        <v>0.19763266521829501</v>
      </c>
      <c r="R2680">
        <v>0.33067323424068901</v>
      </c>
      <c r="S2680" t="s">
        <v>6512</v>
      </c>
      <c r="T2680" t="s">
        <v>7662</v>
      </c>
      <c r="U2680" t="s">
        <v>7662</v>
      </c>
      <c r="V2680" t="s">
        <v>7662</v>
      </c>
      <c r="W2680">
        <v>2</v>
      </c>
      <c r="X2680" t="s">
        <v>10342</v>
      </c>
      <c r="Y2680">
        <v>0.64484462978675372</v>
      </c>
      <c r="Z2680" t="str">
        <f>HYPERLINK("Melting_Curves/meltCurve_sp_Q9H4A6_GOLP3_HUMAN_.pdf", "Melting_Curves/meltCurve_sp_Q9H4A6_GOLP3_HUMAN_.pdf")</f>
        <v>Melting_Curves/meltCurve_sp_Q9H4A6_GOLP3_HUMAN_.pdf</v>
      </c>
      <c r="AA2680" t="s">
        <v>14140</v>
      </c>
      <c r="AB2680" t="s">
        <v>17920</v>
      </c>
    </row>
    <row r="2681" spans="1:28" x14ac:dyDescent="0.25">
      <c r="A2681" t="s">
        <v>2685</v>
      </c>
      <c r="B2681">
        <v>0.98876768158843997</v>
      </c>
      <c r="C2681">
        <v>0.99871361245942403</v>
      </c>
      <c r="D2681">
        <v>0.83032142331836001</v>
      </c>
      <c r="E2681">
        <v>0.49503807995440402</v>
      </c>
      <c r="F2681">
        <v>0.24159331127584599</v>
      </c>
      <c r="G2681">
        <v>0.141364476491559</v>
      </c>
      <c r="H2681">
        <v>9.9719030605864206E-2</v>
      </c>
      <c r="I2681">
        <v>0.103285933205189</v>
      </c>
      <c r="J2681">
        <v>0.10604637013125801</v>
      </c>
      <c r="K2681">
        <v>9.4038807206747801E-2</v>
      </c>
      <c r="L2681">
        <v>1103.24828697884</v>
      </c>
      <c r="M2681">
        <v>22.363902862250399</v>
      </c>
      <c r="N2681">
        <v>49.802207077564901</v>
      </c>
      <c r="O2681">
        <v>48.942270719344101</v>
      </c>
      <c r="P2681">
        <v>-0.103358889834886</v>
      </c>
      <c r="Q2681">
        <v>9.5235701814093507E-2</v>
      </c>
      <c r="R2681">
        <v>0.99864532301006304</v>
      </c>
      <c r="S2681" t="s">
        <v>6513</v>
      </c>
      <c r="T2681" t="s">
        <v>7662</v>
      </c>
      <c r="U2681" t="s">
        <v>7662</v>
      </c>
      <c r="V2681" t="s">
        <v>7662</v>
      </c>
      <c r="W2681">
        <v>4</v>
      </c>
      <c r="X2681" t="s">
        <v>10343</v>
      </c>
      <c r="Y2681">
        <v>0.38675359036118417</v>
      </c>
      <c r="Z2681" t="str">
        <f>HYPERLINK("Melting_Curves/meltCurve_sp_Q9H4B0_OSGP2_HUMAN_.pdf", "Melting_Curves/meltCurve_sp_Q9H4B0_OSGP2_HUMAN_.pdf")</f>
        <v>Melting_Curves/meltCurve_sp_Q9H4B0_OSGP2_HUMAN_.pdf</v>
      </c>
      <c r="AA2681" t="s">
        <v>14141</v>
      </c>
      <c r="AB2681" t="s">
        <v>17921</v>
      </c>
    </row>
    <row r="2682" spans="1:28" x14ac:dyDescent="0.25">
      <c r="A2682" t="s">
        <v>2686</v>
      </c>
      <c r="B2682">
        <v>0.98876768158843997</v>
      </c>
      <c r="C2682">
        <v>1.0289339257968499</v>
      </c>
      <c r="D2682">
        <v>0.88657489917468302</v>
      </c>
      <c r="E2682">
        <v>0.69250597621741505</v>
      </c>
      <c r="F2682">
        <v>0.61783194182885004</v>
      </c>
      <c r="G2682">
        <v>0.44509917297278301</v>
      </c>
      <c r="H2682">
        <v>0.35917549591771702</v>
      </c>
      <c r="I2682">
        <v>0.39547820613163298</v>
      </c>
      <c r="J2682">
        <v>0.55336125676292902</v>
      </c>
      <c r="K2682">
        <v>0.53808636052745196</v>
      </c>
      <c r="L2682">
        <v>1075.8436450883701</v>
      </c>
      <c r="M2682">
        <v>21.711442898356001</v>
      </c>
      <c r="N2682">
        <v>55.864458133769901</v>
      </c>
      <c r="O2682">
        <v>49.137285215090401</v>
      </c>
      <c r="P2682">
        <v>-5.9983244111764901E-2</v>
      </c>
      <c r="Q2682">
        <v>0.45699696443628102</v>
      </c>
      <c r="R2682">
        <v>0.926565147849851</v>
      </c>
      <c r="S2682" t="s">
        <v>6514</v>
      </c>
      <c r="T2682" t="s">
        <v>7662</v>
      </c>
      <c r="U2682" t="s">
        <v>7662</v>
      </c>
      <c r="V2682" t="s">
        <v>7662</v>
      </c>
      <c r="W2682">
        <v>5</v>
      </c>
      <c r="X2682" t="s">
        <v>10344</v>
      </c>
      <c r="Y2682">
        <v>0.63631589577921377</v>
      </c>
      <c r="Z2682" t="str">
        <f>HYPERLINK("Melting_Curves/meltCurve_sp_Q9H4I2_ZHX3_HUMAN_.pdf", "Melting_Curves/meltCurve_sp_Q9H4I2_ZHX3_HUMAN_.pdf")</f>
        <v>Melting_Curves/meltCurve_sp_Q9H4I2_ZHX3_HUMAN_.pdf</v>
      </c>
      <c r="AA2682" t="s">
        <v>14142</v>
      </c>
      <c r="AB2682" t="s">
        <v>17922</v>
      </c>
    </row>
    <row r="2683" spans="1:28" x14ac:dyDescent="0.25">
      <c r="A2683" t="s">
        <v>2687</v>
      </c>
      <c r="B2683">
        <v>0.98876768158843997</v>
      </c>
      <c r="C2683">
        <v>0.87079756678936704</v>
      </c>
      <c r="D2683">
        <v>0.822603303152877</v>
      </c>
      <c r="E2683">
        <v>0.54382857690245001</v>
      </c>
      <c r="F2683">
        <v>0.19286237501808801</v>
      </c>
      <c r="G2683">
        <v>0.103363526171107</v>
      </c>
      <c r="H2683">
        <v>7.0117478301168407E-2</v>
      </c>
      <c r="I2683">
        <v>5.4631050451248102E-2</v>
      </c>
      <c r="J2683">
        <v>7.5404571596585798E-2</v>
      </c>
      <c r="K2683">
        <v>6.9392724228355102E-2</v>
      </c>
      <c r="L2683">
        <v>969.90855308955497</v>
      </c>
      <c r="M2683">
        <v>19.5841680264937</v>
      </c>
      <c r="N2683">
        <v>49.786218960853397</v>
      </c>
      <c r="O2683">
        <v>49.017430071718202</v>
      </c>
      <c r="P2683">
        <v>-9.5012544494911505E-2</v>
      </c>
      <c r="Q2683">
        <v>4.8801859936390697E-2</v>
      </c>
      <c r="R2683">
        <v>0.98793819880758404</v>
      </c>
      <c r="S2683" t="s">
        <v>6515</v>
      </c>
      <c r="T2683" t="s">
        <v>7662</v>
      </c>
      <c r="U2683" t="s">
        <v>7662</v>
      </c>
      <c r="V2683" t="s">
        <v>7662</v>
      </c>
      <c r="W2683">
        <v>10</v>
      </c>
      <c r="X2683" t="s">
        <v>10345</v>
      </c>
      <c r="Y2683">
        <v>0.36464877595729739</v>
      </c>
      <c r="Z2683" t="str">
        <f>HYPERLINK("Melting_Curves/meltCurve_sp_Q9H4M9_EHD1_HUMAN_.pdf", "Melting_Curves/meltCurve_sp_Q9H4M9_EHD1_HUMAN_.pdf")</f>
        <v>Melting_Curves/meltCurve_sp_Q9H4M9_EHD1_HUMAN_.pdf</v>
      </c>
      <c r="AA2683" t="s">
        <v>14143</v>
      </c>
      <c r="AB2683" t="s">
        <v>17923</v>
      </c>
    </row>
    <row r="2684" spans="1:28" x14ac:dyDescent="0.25">
      <c r="A2684" t="s">
        <v>2688</v>
      </c>
      <c r="B2684">
        <v>0.98876768158843997</v>
      </c>
      <c r="C2684">
        <v>0.96741159427919399</v>
      </c>
      <c r="D2684">
        <v>0.89235955693535796</v>
      </c>
      <c r="E2684">
        <v>0.73169646324170801</v>
      </c>
      <c r="F2684">
        <v>0.61090804043396296</v>
      </c>
      <c r="G2684">
        <v>0.43439539085212098</v>
      </c>
      <c r="H2684">
        <v>0.32949844727019501</v>
      </c>
      <c r="I2684">
        <v>0.36386859226944102</v>
      </c>
      <c r="J2684">
        <v>0.49801234353424001</v>
      </c>
      <c r="K2684">
        <v>0.52159015165807299</v>
      </c>
      <c r="L2684">
        <v>1013.09387948944</v>
      </c>
      <c r="M2684">
        <v>20.166035978663501</v>
      </c>
      <c r="N2684">
        <v>55.292126134167901</v>
      </c>
      <c r="O2684">
        <v>49.751443878862801</v>
      </c>
      <c r="P2684">
        <v>-5.8687747251440298E-2</v>
      </c>
      <c r="Q2684">
        <v>0.42086621373333399</v>
      </c>
      <c r="R2684">
        <v>0.93664826628460596</v>
      </c>
      <c r="S2684" t="s">
        <v>6516</v>
      </c>
      <c r="T2684" t="s">
        <v>7662</v>
      </c>
      <c r="U2684" t="s">
        <v>7662</v>
      </c>
      <c r="V2684" t="s">
        <v>7662</v>
      </c>
      <c r="W2684">
        <v>15</v>
      </c>
      <c r="X2684" t="s">
        <v>10346</v>
      </c>
      <c r="Y2684">
        <v>0.62642600357642619</v>
      </c>
      <c r="Z2684" t="str">
        <f>HYPERLINK("Melting_Curves/meltCurve_sp_Q9H5N1_RABE2_HUMAN_.pdf", "Melting_Curves/meltCurve_sp_Q9H5N1_RABE2_HUMAN_.pdf")</f>
        <v>Melting_Curves/meltCurve_sp_Q9H5N1_RABE2_HUMAN_.pdf</v>
      </c>
      <c r="AA2684" t="s">
        <v>14144</v>
      </c>
      <c r="AB2684" t="s">
        <v>17924</v>
      </c>
    </row>
    <row r="2685" spans="1:28" x14ac:dyDescent="0.25">
      <c r="A2685" t="s">
        <v>2689</v>
      </c>
      <c r="B2685">
        <v>0.98876768158843997</v>
      </c>
      <c r="C2685">
        <v>1.1125799869769499</v>
      </c>
      <c r="D2685">
        <v>0.89178070792360298</v>
      </c>
      <c r="E2685">
        <v>0.46076248654565799</v>
      </c>
      <c r="F2685">
        <v>0.13296162346269499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1517.53041874886</v>
      </c>
      <c r="M2685">
        <v>30.529433196348599</v>
      </c>
      <c r="N2685">
        <v>49.707127397393101</v>
      </c>
      <c r="O2685">
        <v>49.495316281080697</v>
      </c>
      <c r="P2685">
        <v>-0.15420458575802701</v>
      </c>
      <c r="Q2685">
        <v>0</v>
      </c>
      <c r="R2685">
        <v>0.99185503431051003</v>
      </c>
      <c r="S2685" t="s">
        <v>6517</v>
      </c>
      <c r="T2685" t="s">
        <v>7662</v>
      </c>
      <c r="U2685" t="s">
        <v>7662</v>
      </c>
      <c r="V2685" t="s">
        <v>7662</v>
      </c>
      <c r="W2685">
        <v>2</v>
      </c>
      <c r="X2685" t="s">
        <v>10347</v>
      </c>
      <c r="Y2685">
        <v>0.32951227929247873</v>
      </c>
      <c r="Z2685" t="str">
        <f>HYPERLINK("Melting_Curves/meltCurve_sp_Q9H5Q4_TFB2M_HUMAN_.pdf", "Melting_Curves/meltCurve_sp_Q9H5Q4_TFB2M_HUMAN_.pdf")</f>
        <v>Melting_Curves/meltCurve_sp_Q9H5Q4_TFB2M_HUMAN_.pdf</v>
      </c>
      <c r="AA2685" t="s">
        <v>14145</v>
      </c>
      <c r="AB2685" t="s">
        <v>17925</v>
      </c>
    </row>
    <row r="2686" spans="1:28" x14ac:dyDescent="0.25">
      <c r="A2686" t="s">
        <v>2690</v>
      </c>
      <c r="B2686">
        <v>0.98876768158843997</v>
      </c>
      <c r="C2686">
        <v>1.0652320578079499</v>
      </c>
      <c r="D2686">
        <v>0.86796609861784102</v>
      </c>
      <c r="E2686">
        <v>0.83248990266393297</v>
      </c>
      <c r="F2686">
        <v>0.97996624792269305</v>
      </c>
      <c r="G2686">
        <v>0.72424442328698801</v>
      </c>
      <c r="H2686">
        <v>0.50887511615347103</v>
      </c>
      <c r="I2686">
        <v>0.45417475096363202</v>
      </c>
      <c r="J2686">
        <v>0.38670252585960702</v>
      </c>
      <c r="K2686">
        <v>0.27214444937628701</v>
      </c>
      <c r="L2686">
        <v>636.02057376134599</v>
      </c>
      <c r="M2686">
        <v>10.3140685648738</v>
      </c>
      <c r="N2686">
        <v>62.626696117617101</v>
      </c>
      <c r="O2686">
        <v>59.482228631616401</v>
      </c>
      <c r="P2686">
        <v>-4.0192998694087802E-2</v>
      </c>
      <c r="Q2686">
        <v>7.3212844326638299E-2</v>
      </c>
      <c r="R2686">
        <v>0.93799854248996695</v>
      </c>
      <c r="S2686" t="s">
        <v>6518</v>
      </c>
      <c r="T2686" t="s">
        <v>7662</v>
      </c>
      <c r="U2686" t="s">
        <v>7662</v>
      </c>
      <c r="V2686" t="s">
        <v>7662</v>
      </c>
      <c r="W2686">
        <v>2</v>
      </c>
      <c r="X2686" t="s">
        <v>10348</v>
      </c>
      <c r="Y2686">
        <v>0.72739944131106171</v>
      </c>
      <c r="Z2686" t="str">
        <f>HYPERLINK("Melting_Curves/meltCurve_sp_Q9H5X1_FA96A_HUMAN_.pdf", "Melting_Curves/meltCurve_sp_Q9H5X1_FA96A_HUMAN_.pdf")</f>
        <v>Melting_Curves/meltCurve_sp_Q9H5X1_FA96A_HUMAN_.pdf</v>
      </c>
      <c r="AA2686" t="s">
        <v>14146</v>
      </c>
      <c r="AB2686" t="s">
        <v>17926</v>
      </c>
    </row>
    <row r="2687" spans="1:28" x14ac:dyDescent="0.25">
      <c r="A2687" t="s">
        <v>2691</v>
      </c>
      <c r="B2687">
        <v>0.98876768158843997</v>
      </c>
      <c r="C2687">
        <v>0.96689883972016699</v>
      </c>
      <c r="D2687">
        <v>0.89122406480448602</v>
      </c>
      <c r="E2687">
        <v>0.55494422574360203</v>
      </c>
      <c r="F2687">
        <v>0.361720377113323</v>
      </c>
      <c r="G2687">
        <v>0.165017322546513</v>
      </c>
      <c r="H2687">
        <v>7.7432976204690002E-2</v>
      </c>
      <c r="I2687">
        <v>6.0228500955709197E-2</v>
      </c>
      <c r="J2687">
        <v>5.82960238450188E-2</v>
      </c>
      <c r="K2687">
        <v>3.0070196367401401E-2</v>
      </c>
      <c r="L2687">
        <v>899.04602852814696</v>
      </c>
      <c r="M2687">
        <v>17.708246791353201</v>
      </c>
      <c r="N2687">
        <v>50.983466395278001</v>
      </c>
      <c r="O2687">
        <v>50.1357273456222</v>
      </c>
      <c r="P2687">
        <v>-8.5149569218227597E-2</v>
      </c>
      <c r="Q2687">
        <v>3.5746114728290999E-2</v>
      </c>
      <c r="R2687">
        <v>0.998647993304974</v>
      </c>
      <c r="S2687" t="s">
        <v>6519</v>
      </c>
      <c r="T2687" t="s">
        <v>7662</v>
      </c>
      <c r="U2687" t="s">
        <v>7662</v>
      </c>
      <c r="V2687" t="s">
        <v>7662</v>
      </c>
      <c r="W2687">
        <v>3</v>
      </c>
      <c r="X2687" t="s">
        <v>10349</v>
      </c>
      <c r="Y2687">
        <v>0.3986926747323109</v>
      </c>
      <c r="Z2687" t="str">
        <f>HYPERLINK("Melting_Curves/meltCurve_sp_Q9H6Q4_3_NARFL_HUMAN_.pdf", "Melting_Curves/meltCurve_sp_Q9H6Q4_3_NARFL_HUMAN_.pdf")</f>
        <v>Melting_Curves/meltCurve_sp_Q9H6Q4_3_NARFL_HUMAN_.pdf</v>
      </c>
      <c r="AA2687" t="s">
        <v>14147</v>
      </c>
      <c r="AB2687" t="s">
        <v>17927</v>
      </c>
    </row>
    <row r="2688" spans="1:28" x14ac:dyDescent="0.25">
      <c r="A2688" t="s">
        <v>2692</v>
      </c>
      <c r="B2688">
        <v>0.98876768158843997</v>
      </c>
      <c r="C2688">
        <v>0.96995127164880102</v>
      </c>
      <c r="D2688">
        <v>0.88066746877499702</v>
      </c>
      <c r="E2688">
        <v>0.77706508746963399</v>
      </c>
      <c r="F2688">
        <v>0.46200313993152697</v>
      </c>
      <c r="G2688">
        <v>0.12053885011736901</v>
      </c>
      <c r="H2688">
        <v>5.9202570709598702E-2</v>
      </c>
      <c r="I2688">
        <v>4.0554770839336299E-2</v>
      </c>
      <c r="J2688">
        <v>4.8192920410141803E-2</v>
      </c>
      <c r="K2688">
        <v>3.9843277786280197E-2</v>
      </c>
      <c r="L2688">
        <v>1213.44549989849</v>
      </c>
      <c r="M2688">
        <v>23.167995836299799</v>
      </c>
      <c r="N2688">
        <v>52.501999513704099</v>
      </c>
      <c r="O2688">
        <v>51.990402264215803</v>
      </c>
      <c r="P2688">
        <v>-0.108392531253772</v>
      </c>
      <c r="Q2688">
        <v>2.70597668276185E-2</v>
      </c>
      <c r="R2688">
        <v>0.99406859850426998</v>
      </c>
      <c r="S2688" t="s">
        <v>6520</v>
      </c>
      <c r="T2688" t="s">
        <v>7662</v>
      </c>
      <c r="U2688" t="s">
        <v>7662</v>
      </c>
      <c r="V2688" t="s">
        <v>7662</v>
      </c>
      <c r="W2688">
        <v>24</v>
      </c>
      <c r="X2688" t="s">
        <v>10350</v>
      </c>
      <c r="Y2688">
        <v>0.43871822862788712</v>
      </c>
      <c r="Z2688" t="str">
        <f>HYPERLINK("Melting_Curves/meltCurve_sp_Q9H6R3_ACSS3_HUMAN_.pdf", "Melting_Curves/meltCurve_sp_Q9H6R3_ACSS3_HUMAN_.pdf")</f>
        <v>Melting_Curves/meltCurve_sp_Q9H6R3_ACSS3_HUMAN_.pdf</v>
      </c>
      <c r="AA2688" t="s">
        <v>14148</v>
      </c>
      <c r="AB2688" t="s">
        <v>17928</v>
      </c>
    </row>
    <row r="2689" spans="1:28" x14ac:dyDescent="0.25">
      <c r="A2689" t="s">
        <v>2693</v>
      </c>
      <c r="B2689">
        <v>0.98876768158843997</v>
      </c>
      <c r="C2689">
        <v>1.1723932051797601</v>
      </c>
      <c r="D2689">
        <v>0.86579130860928799</v>
      </c>
      <c r="E2689">
        <v>0.88347296382525498</v>
      </c>
      <c r="F2689">
        <v>1.28107942784944</v>
      </c>
      <c r="G2689">
        <v>0.63060738946724504</v>
      </c>
      <c r="H2689">
        <v>0.40975125195116602</v>
      </c>
      <c r="I2689">
        <v>0.46889481102705299</v>
      </c>
      <c r="J2689">
        <v>0.54835387668063795</v>
      </c>
      <c r="K2689">
        <v>0.76530605995524004</v>
      </c>
      <c r="L2689">
        <v>14164.574864586801</v>
      </c>
      <c r="M2689">
        <v>250</v>
      </c>
      <c r="O2689">
        <v>56.654673828624098</v>
      </c>
      <c r="P2689">
        <v>-0.49855056114804103</v>
      </c>
      <c r="Q2689">
        <v>0.54807649066914399</v>
      </c>
      <c r="R2689">
        <v>0.72411009836018203</v>
      </c>
      <c r="S2689" t="s">
        <v>6521</v>
      </c>
      <c r="T2689" t="s">
        <v>7662</v>
      </c>
      <c r="U2689" t="s">
        <v>7662</v>
      </c>
      <c r="V2689" t="s">
        <v>7662</v>
      </c>
      <c r="W2689">
        <v>1</v>
      </c>
      <c r="X2689" t="s">
        <v>10351</v>
      </c>
      <c r="Y2689">
        <v>0.79906399911741233</v>
      </c>
      <c r="Z2689" t="str">
        <f>HYPERLINK("Melting_Curves/meltCurve_sp_Q9H6S0_YTDC2_HUMAN_.pdf", "Melting_Curves/meltCurve_sp_Q9H6S0_YTDC2_HUMAN_.pdf")</f>
        <v>Melting_Curves/meltCurve_sp_Q9H6S0_YTDC2_HUMAN_.pdf</v>
      </c>
      <c r="AA2689" t="s">
        <v>14149</v>
      </c>
      <c r="AB2689" t="s">
        <v>17929</v>
      </c>
    </row>
    <row r="2690" spans="1:28" x14ac:dyDescent="0.25">
      <c r="A2690" t="s">
        <v>2694</v>
      </c>
      <c r="B2690">
        <v>0.98876768158843997</v>
      </c>
      <c r="C2690">
        <v>0.99103194337036005</v>
      </c>
      <c r="D2690">
        <v>0.87421789686203499</v>
      </c>
      <c r="E2690">
        <v>0.64761241668233605</v>
      </c>
      <c r="F2690">
        <v>0.54106738710226099</v>
      </c>
      <c r="G2690">
        <v>0.13151786492248299</v>
      </c>
      <c r="H2690">
        <v>7.0379443542140305E-2</v>
      </c>
      <c r="I2690">
        <v>6.6642885262074403E-2</v>
      </c>
      <c r="J2690">
        <v>8.9464551769016104E-2</v>
      </c>
      <c r="K2690">
        <v>7.07434529137414E-2</v>
      </c>
      <c r="L2690">
        <v>913.34242239170703</v>
      </c>
      <c r="M2690">
        <v>17.5454821522661</v>
      </c>
      <c r="N2690">
        <v>52.277845228320302</v>
      </c>
      <c r="O2690">
        <v>51.393617373319103</v>
      </c>
      <c r="P2690">
        <v>-8.2287182759270494E-2</v>
      </c>
      <c r="Q2690">
        <v>3.59218058207251E-2</v>
      </c>
      <c r="R2690">
        <v>0.98539104440143099</v>
      </c>
      <c r="S2690" t="s">
        <v>6522</v>
      </c>
      <c r="T2690" t="s">
        <v>7662</v>
      </c>
      <c r="U2690" t="s">
        <v>7662</v>
      </c>
      <c r="V2690" t="s">
        <v>7662</v>
      </c>
      <c r="W2690">
        <v>19</v>
      </c>
      <c r="X2690" t="s">
        <v>10352</v>
      </c>
      <c r="Y2690">
        <v>0.4400813418171966</v>
      </c>
      <c r="Z2690" t="str">
        <f>HYPERLINK("Melting_Curves/meltCurve_sp_Q9H6S3_ES8L2_HUMAN_.pdf", "Melting_Curves/meltCurve_sp_Q9H6S3_ES8L2_HUMAN_.pdf")</f>
        <v>Melting_Curves/meltCurve_sp_Q9H6S3_ES8L2_HUMAN_.pdf</v>
      </c>
      <c r="AA2690" t="s">
        <v>14150</v>
      </c>
      <c r="AB2690" t="s">
        <v>17930</v>
      </c>
    </row>
    <row r="2691" spans="1:28" x14ac:dyDescent="0.25">
      <c r="A2691" t="s">
        <v>2695</v>
      </c>
      <c r="B2691">
        <v>0.98876768158843997</v>
      </c>
      <c r="C2691">
        <v>0.98364989995609797</v>
      </c>
      <c r="D2691">
        <v>0.69459459078268404</v>
      </c>
      <c r="E2691">
        <v>0.38852194236158699</v>
      </c>
      <c r="F2691">
        <v>0.23815458851118301</v>
      </c>
      <c r="G2691">
        <v>0.13220889655052001</v>
      </c>
      <c r="H2691">
        <v>9.6864217224634105E-2</v>
      </c>
      <c r="I2691">
        <v>8.0517820373175397E-2</v>
      </c>
      <c r="J2691">
        <v>9.8597468782896602E-2</v>
      </c>
      <c r="K2691">
        <v>8.5871236609730603E-2</v>
      </c>
      <c r="L2691">
        <v>933.88748072575095</v>
      </c>
      <c r="M2691">
        <v>19.407967931801</v>
      </c>
      <c r="N2691">
        <v>48.6002565063215</v>
      </c>
      <c r="O2691">
        <v>47.616629581565597</v>
      </c>
      <c r="P2691">
        <v>-9.2988005668901502E-2</v>
      </c>
      <c r="Q2691">
        <v>8.7464710691421796E-2</v>
      </c>
      <c r="R2691">
        <v>0.99497989074724702</v>
      </c>
      <c r="S2691" t="s">
        <v>6523</v>
      </c>
      <c r="T2691" t="s">
        <v>7662</v>
      </c>
      <c r="U2691" t="s">
        <v>7662</v>
      </c>
      <c r="V2691" t="s">
        <v>7662</v>
      </c>
      <c r="W2691">
        <v>6</v>
      </c>
      <c r="X2691" t="s">
        <v>10353</v>
      </c>
      <c r="Y2691">
        <v>0.34820335768173932</v>
      </c>
      <c r="Z2691" t="str">
        <f>HYPERLINK("Melting_Curves/meltCurve_sp_Q9H6T0_2_ESRP2_HUMAN_.pdf", "Melting_Curves/meltCurve_sp_Q9H6T0_2_ESRP2_HUMAN_.pdf")</f>
        <v>Melting_Curves/meltCurve_sp_Q9H6T0_2_ESRP2_HUMAN_.pdf</v>
      </c>
      <c r="AA2691" t="s">
        <v>14151</v>
      </c>
      <c r="AB2691" t="s">
        <v>17931</v>
      </c>
    </row>
    <row r="2692" spans="1:28" x14ac:dyDescent="0.25">
      <c r="A2692" t="s">
        <v>2696</v>
      </c>
      <c r="B2692">
        <v>0.98876768158843997</v>
      </c>
      <c r="C2692">
        <v>0.99022382193730496</v>
      </c>
      <c r="D2692">
        <v>0.96702618431139198</v>
      </c>
      <c r="E2692">
        <v>0.731097210625264</v>
      </c>
      <c r="F2692">
        <v>0.45095339521685901</v>
      </c>
      <c r="G2692">
        <v>0.244598656593843</v>
      </c>
      <c r="H2692">
        <v>0.17116345037640401</v>
      </c>
      <c r="I2692">
        <v>0.15667286280109</v>
      </c>
      <c r="J2692">
        <v>0.20446135442433799</v>
      </c>
      <c r="K2692">
        <v>0.19595156063552699</v>
      </c>
      <c r="L2692">
        <v>1309.8349220376699</v>
      </c>
      <c r="M2692">
        <v>25.443551641922198</v>
      </c>
      <c r="N2692">
        <v>52.382128035163198</v>
      </c>
      <c r="O2692">
        <v>51.1651947543522</v>
      </c>
      <c r="P2692">
        <v>-0.102268086804119</v>
      </c>
      <c r="Q2692">
        <v>0.17739469208547801</v>
      </c>
      <c r="R2692">
        <v>0.99810847480496601</v>
      </c>
      <c r="S2692" t="s">
        <v>6524</v>
      </c>
      <c r="T2692" t="s">
        <v>7662</v>
      </c>
      <c r="U2692" t="s">
        <v>7662</v>
      </c>
      <c r="V2692" t="s">
        <v>7662</v>
      </c>
      <c r="W2692">
        <v>3</v>
      </c>
      <c r="X2692" t="s">
        <v>10354</v>
      </c>
      <c r="Y2692">
        <v>0.49939728895646701</v>
      </c>
      <c r="Z2692" t="str">
        <f>HYPERLINK("Melting_Curves/meltCurve_sp_Q9H6T3_2_RPAP3_HUMAN_.pdf", "Melting_Curves/meltCurve_sp_Q9H6T3_2_RPAP3_HUMAN_.pdf")</f>
        <v>Melting_Curves/meltCurve_sp_Q9H6T3_2_RPAP3_HUMAN_.pdf</v>
      </c>
      <c r="AA2692" t="s">
        <v>14152</v>
      </c>
      <c r="AB2692" t="s">
        <v>17932</v>
      </c>
    </row>
    <row r="2693" spans="1:28" x14ac:dyDescent="0.25">
      <c r="A2693" t="s">
        <v>2697</v>
      </c>
      <c r="B2693">
        <v>0.98876768158843997</v>
      </c>
      <c r="C2693">
        <v>0.99562005996249203</v>
      </c>
      <c r="D2693">
        <v>0.83380303748662499</v>
      </c>
      <c r="E2693">
        <v>0.74040673299828896</v>
      </c>
      <c r="F2693">
        <v>0.61854307128581298</v>
      </c>
      <c r="G2693">
        <v>0.36294341525879498</v>
      </c>
      <c r="H2693">
        <v>0.18677675050842901</v>
      </c>
      <c r="I2693">
        <v>0.14120161415813201</v>
      </c>
      <c r="J2693">
        <v>0.108464104448781</v>
      </c>
      <c r="K2693">
        <v>0.108004571323242</v>
      </c>
      <c r="L2693">
        <v>663.51753053767197</v>
      </c>
      <c r="M2693">
        <v>12.258176626015199</v>
      </c>
      <c r="N2693">
        <v>54.348702065321802</v>
      </c>
      <c r="O2693">
        <v>52.748493201353199</v>
      </c>
      <c r="P2693">
        <v>-5.6702794218414898E-2</v>
      </c>
      <c r="Q2693">
        <v>2.4219254743766301E-2</v>
      </c>
      <c r="R2693">
        <v>0.99238496777642304</v>
      </c>
      <c r="S2693" t="s">
        <v>6525</v>
      </c>
      <c r="T2693" t="s">
        <v>7662</v>
      </c>
      <c r="U2693" t="s">
        <v>7662</v>
      </c>
      <c r="V2693" t="s">
        <v>7662</v>
      </c>
      <c r="W2693">
        <v>4</v>
      </c>
      <c r="X2693" t="s">
        <v>10355</v>
      </c>
      <c r="Y2693">
        <v>0.50845126783738792</v>
      </c>
      <c r="Z2693" t="str">
        <f>HYPERLINK("Melting_Curves/meltCurve_sp_Q9H773_DCTP1_HUMAN_.pdf", "Melting_Curves/meltCurve_sp_Q9H773_DCTP1_HUMAN_.pdf")</f>
        <v>Melting_Curves/meltCurve_sp_Q9H773_DCTP1_HUMAN_.pdf</v>
      </c>
      <c r="AA2693" t="s">
        <v>14153</v>
      </c>
      <c r="AB2693" t="s">
        <v>17933</v>
      </c>
    </row>
    <row r="2694" spans="1:28" x14ac:dyDescent="0.25">
      <c r="A2694" t="s">
        <v>2698</v>
      </c>
      <c r="B2694">
        <v>0.98876768158843997</v>
      </c>
      <c r="C2694">
        <v>0.88757237634114305</v>
      </c>
      <c r="D2694">
        <v>0.90043242114300204</v>
      </c>
      <c r="E2694">
        <v>0.80762274713975901</v>
      </c>
      <c r="F2694">
        <v>0.66749228044832098</v>
      </c>
      <c r="G2694">
        <v>0.50528781692407299</v>
      </c>
      <c r="H2694">
        <v>0.423649263098755</v>
      </c>
      <c r="I2694">
        <v>0.46888223424981601</v>
      </c>
      <c r="J2694">
        <v>0.38328428765578498</v>
      </c>
      <c r="K2694">
        <v>0.38920100390245499</v>
      </c>
      <c r="L2694">
        <v>610.44918980192904</v>
      </c>
      <c r="M2694">
        <v>11.6038414217201</v>
      </c>
      <c r="N2694">
        <v>58.600100717210502</v>
      </c>
      <c r="O2694">
        <v>51.117922400712899</v>
      </c>
      <c r="P2694">
        <v>-3.7046752185633899E-2</v>
      </c>
      <c r="Q2694">
        <v>0.34737705670369201</v>
      </c>
      <c r="R2694">
        <v>0.97827540999799101</v>
      </c>
      <c r="S2694" t="s">
        <v>6526</v>
      </c>
      <c r="T2694" t="s">
        <v>7662</v>
      </c>
      <c r="U2694" t="s">
        <v>7662</v>
      </c>
      <c r="V2694" t="s">
        <v>7662</v>
      </c>
      <c r="W2694">
        <v>1</v>
      </c>
      <c r="X2694" t="s">
        <v>10356</v>
      </c>
      <c r="Y2694">
        <v>0.64154633194421018</v>
      </c>
      <c r="Z2694" t="str">
        <f>HYPERLINK("Melting_Curves/meltCurve_sp_Q9H777_RNZ1_HUMAN_.pdf", "Melting_Curves/meltCurve_sp_Q9H777_RNZ1_HUMAN_.pdf")</f>
        <v>Melting_Curves/meltCurve_sp_Q9H777_RNZ1_HUMAN_.pdf</v>
      </c>
      <c r="AA2694" t="s">
        <v>14154</v>
      </c>
      <c r="AB2694" t="s">
        <v>17934</v>
      </c>
    </row>
    <row r="2695" spans="1:28" x14ac:dyDescent="0.25">
      <c r="A2695" t="s">
        <v>2699</v>
      </c>
      <c r="B2695">
        <v>0.98876768158843997</v>
      </c>
      <c r="C2695">
        <v>1.0488619225928999</v>
      </c>
      <c r="D2695">
        <v>0.88498322539063401</v>
      </c>
      <c r="E2695">
        <v>0.60690378964498903</v>
      </c>
      <c r="F2695">
        <v>0.29865265941151398</v>
      </c>
      <c r="G2695">
        <v>0.183130195619679</v>
      </c>
      <c r="H2695">
        <v>0.124341041128994</v>
      </c>
      <c r="I2695">
        <v>0.13973102587491701</v>
      </c>
      <c r="J2695">
        <v>0.20643293327721901</v>
      </c>
      <c r="K2695">
        <v>0.174901317831959</v>
      </c>
      <c r="L2695">
        <v>1343.9323587650699</v>
      </c>
      <c r="M2695">
        <v>26.843040491310799</v>
      </c>
      <c r="N2695">
        <v>50.777631046820602</v>
      </c>
      <c r="O2695">
        <v>49.790932793525002</v>
      </c>
      <c r="P2695">
        <v>-0.113659091956079</v>
      </c>
      <c r="Q2695">
        <v>0.156707308649191</v>
      </c>
      <c r="R2695">
        <v>0.99178031239567099</v>
      </c>
      <c r="S2695" t="s">
        <v>6527</v>
      </c>
      <c r="T2695" t="s">
        <v>7662</v>
      </c>
      <c r="U2695" t="s">
        <v>7662</v>
      </c>
      <c r="V2695" t="s">
        <v>7662</v>
      </c>
      <c r="W2695">
        <v>7</v>
      </c>
      <c r="X2695" t="s">
        <v>10357</v>
      </c>
      <c r="Y2695">
        <v>0.44620553383276829</v>
      </c>
      <c r="Z2695" t="str">
        <f>HYPERLINK("Melting_Curves/meltCurve_sp_Q9H788_SH24A_HUMAN_.pdf", "Melting_Curves/meltCurve_sp_Q9H788_SH24A_HUMAN_.pdf")</f>
        <v>Melting_Curves/meltCurve_sp_Q9H788_SH24A_HUMAN_.pdf</v>
      </c>
      <c r="AA2695" t="s">
        <v>14155</v>
      </c>
      <c r="AB2695" t="s">
        <v>17935</v>
      </c>
    </row>
    <row r="2696" spans="1:28" x14ac:dyDescent="0.25">
      <c r="A2696" t="s">
        <v>2700</v>
      </c>
      <c r="B2696">
        <v>0.98876768158843997</v>
      </c>
      <c r="C2696">
        <v>1.15891251838889</v>
      </c>
      <c r="D2696">
        <v>0.87966555457995699</v>
      </c>
      <c r="E2696">
        <v>0.82080338560622002</v>
      </c>
      <c r="F2696">
        <v>0.94837207324002903</v>
      </c>
      <c r="G2696">
        <v>0.66091881480106796</v>
      </c>
      <c r="H2696">
        <v>0.49783158409803702</v>
      </c>
      <c r="I2696">
        <v>0.62017319042468</v>
      </c>
      <c r="J2696">
        <v>0.72071860738298599</v>
      </c>
      <c r="K2696">
        <v>0.81312981115143501</v>
      </c>
      <c r="L2696">
        <v>1073.5985828902999</v>
      </c>
      <c r="M2696">
        <v>20.559535291386499</v>
      </c>
      <c r="O2696">
        <v>51.732511315838302</v>
      </c>
      <c r="P2696">
        <v>-3.3721699617708802E-2</v>
      </c>
      <c r="Q2696">
        <v>0.66060375049779096</v>
      </c>
      <c r="R2696">
        <v>0.62789859897568201</v>
      </c>
      <c r="S2696" t="s">
        <v>6528</v>
      </c>
      <c r="T2696" t="s">
        <v>7662</v>
      </c>
      <c r="U2696" t="s">
        <v>7662</v>
      </c>
      <c r="V2696" t="s">
        <v>7662</v>
      </c>
      <c r="W2696">
        <v>6</v>
      </c>
      <c r="X2696" t="s">
        <v>10358</v>
      </c>
      <c r="Y2696">
        <v>0.80330663535178148</v>
      </c>
      <c r="Z2696" t="str">
        <f>HYPERLINK("Melting_Curves/meltCurve_sp_Q9H7C9_AAMDC_HUMAN_.pdf", "Melting_Curves/meltCurve_sp_Q9H7C9_AAMDC_HUMAN_.pdf")</f>
        <v>Melting_Curves/meltCurve_sp_Q9H7C9_AAMDC_HUMAN_.pdf</v>
      </c>
      <c r="AA2696" t="s">
        <v>14156</v>
      </c>
      <c r="AB2696" t="s">
        <v>17936</v>
      </c>
    </row>
    <row r="2697" spans="1:28" x14ac:dyDescent="0.25">
      <c r="A2697" t="s">
        <v>2701</v>
      </c>
      <c r="B2697">
        <v>0.98876768158843997</v>
      </c>
      <c r="C2697">
        <v>0.99492760378387601</v>
      </c>
      <c r="D2697">
        <v>0.92620698638189902</v>
      </c>
      <c r="E2697">
        <v>0.95120240097816</v>
      </c>
      <c r="F2697">
        <v>1.04920714243061</v>
      </c>
      <c r="G2697">
        <v>0.53670088674078498</v>
      </c>
      <c r="H2697">
        <v>0.389260944362607</v>
      </c>
      <c r="I2697">
        <v>0.43146130074398298</v>
      </c>
      <c r="J2697">
        <v>0.57921609347481295</v>
      </c>
      <c r="K2697">
        <v>0.73677488624186305</v>
      </c>
      <c r="L2697">
        <v>13953.3270162972</v>
      </c>
      <c r="M2697">
        <v>250</v>
      </c>
      <c r="O2697">
        <v>55.809735277726901</v>
      </c>
      <c r="P2697">
        <v>-0.52166731595874904</v>
      </c>
      <c r="Q2697">
        <v>0.534174154404912</v>
      </c>
      <c r="R2697">
        <v>0.85435668195185199</v>
      </c>
      <c r="S2697" t="s">
        <v>6529</v>
      </c>
      <c r="T2697" t="s">
        <v>7662</v>
      </c>
      <c r="U2697" t="s">
        <v>7662</v>
      </c>
      <c r="V2697" t="s">
        <v>7662</v>
      </c>
      <c r="W2697">
        <v>2</v>
      </c>
      <c r="X2697" t="s">
        <v>10359</v>
      </c>
      <c r="Y2697">
        <v>0.77976136944324781</v>
      </c>
      <c r="Z2697" t="str">
        <f>HYPERLINK("Melting_Curves/meltCurve_sp_Q9H7D0_DOCK5_HUMAN_.pdf", "Melting_Curves/meltCurve_sp_Q9H7D0_DOCK5_HUMAN_.pdf")</f>
        <v>Melting_Curves/meltCurve_sp_Q9H7D0_DOCK5_HUMAN_.pdf</v>
      </c>
      <c r="AA2697" t="s">
        <v>14157</v>
      </c>
      <c r="AB2697" t="s">
        <v>17937</v>
      </c>
    </row>
    <row r="2698" spans="1:28" x14ac:dyDescent="0.25">
      <c r="A2698" t="s">
        <v>2702</v>
      </c>
      <c r="B2698">
        <v>0.98876768158843997</v>
      </c>
      <c r="C2698">
        <v>0.98258064005102197</v>
      </c>
      <c r="D2698">
        <v>0.78793412519091099</v>
      </c>
      <c r="E2698">
        <v>0.77022225467222805</v>
      </c>
      <c r="F2698">
        <v>0.69796740715170702</v>
      </c>
      <c r="G2698">
        <v>0.44381814733848002</v>
      </c>
      <c r="H2698">
        <v>0.21448929158614999</v>
      </c>
      <c r="I2698">
        <v>0.124164785087055</v>
      </c>
      <c r="J2698">
        <v>8.1748906395446297E-2</v>
      </c>
      <c r="K2698">
        <v>0.11093808583147199</v>
      </c>
      <c r="L2698">
        <v>652.66893369044703</v>
      </c>
      <c r="M2698">
        <v>11.7996399988935</v>
      </c>
      <c r="N2698">
        <v>55.312614090782603</v>
      </c>
      <c r="O2698">
        <v>53.7956553461702</v>
      </c>
      <c r="P2698">
        <v>-5.4849578868868501E-2</v>
      </c>
      <c r="Q2698">
        <v>0</v>
      </c>
      <c r="R2698">
        <v>0.97694844593630803</v>
      </c>
      <c r="S2698" t="s">
        <v>6530</v>
      </c>
      <c r="T2698" t="s">
        <v>7662</v>
      </c>
      <c r="U2698" t="s">
        <v>7662</v>
      </c>
      <c r="V2698" t="s">
        <v>7662</v>
      </c>
      <c r="W2698">
        <v>3</v>
      </c>
      <c r="X2698" t="s">
        <v>10360</v>
      </c>
      <c r="Y2698">
        <v>0.53318510328148927</v>
      </c>
      <c r="Z2698" t="str">
        <f>HYPERLINK("Melting_Curves/meltCurve_sp_Q9H7E2_3_TDRD3_HUMAN_.pdf", "Melting_Curves/meltCurve_sp_Q9H7E2_3_TDRD3_HUMAN_.pdf")</f>
        <v>Melting_Curves/meltCurve_sp_Q9H7E2_3_TDRD3_HUMAN_.pdf</v>
      </c>
      <c r="AA2698" t="s">
        <v>14158</v>
      </c>
      <c r="AB2698" t="s">
        <v>17938</v>
      </c>
    </row>
    <row r="2699" spans="1:28" x14ac:dyDescent="0.25">
      <c r="A2699" t="s">
        <v>2703</v>
      </c>
      <c r="B2699">
        <v>0.98876768158843997</v>
      </c>
      <c r="C2699">
        <v>1.2844499126462301</v>
      </c>
      <c r="D2699">
        <v>0.897124572204684</v>
      </c>
      <c r="E2699">
        <v>0.76902804713625705</v>
      </c>
      <c r="F2699">
        <v>0.91497331821443295</v>
      </c>
      <c r="G2699">
        <v>0.50115375478645197</v>
      </c>
      <c r="H2699">
        <v>0.47718338105209701</v>
      </c>
      <c r="I2699">
        <v>0.50867886673612805</v>
      </c>
      <c r="J2699">
        <v>0.43903089499307002</v>
      </c>
      <c r="K2699">
        <v>0.50691739021338</v>
      </c>
      <c r="L2699">
        <v>1066.2659864585601</v>
      </c>
      <c r="M2699">
        <v>19.854478800678699</v>
      </c>
      <c r="N2699">
        <v>61.208793676229497</v>
      </c>
      <c r="O2699">
        <v>53.168153662829901</v>
      </c>
      <c r="P2699">
        <v>-5.0771858335880098E-2</v>
      </c>
      <c r="Q2699">
        <v>0.45617199068299202</v>
      </c>
      <c r="R2699">
        <v>0.80806237924125002</v>
      </c>
      <c r="S2699" t="s">
        <v>6531</v>
      </c>
      <c r="T2699" t="s">
        <v>7662</v>
      </c>
      <c r="U2699" t="s">
        <v>7662</v>
      </c>
      <c r="V2699" t="s">
        <v>7662</v>
      </c>
      <c r="W2699">
        <v>2</v>
      </c>
      <c r="X2699" t="s">
        <v>10361</v>
      </c>
      <c r="Y2699">
        <v>0.71210588389689777</v>
      </c>
      <c r="Z2699" t="str">
        <f>HYPERLINK("Melting_Curves/meltCurve_sp_Q9H7N4_SFR19_HUMAN_.pdf", "Melting_Curves/meltCurve_sp_Q9H7N4_SFR19_HUMAN_.pdf")</f>
        <v>Melting_Curves/meltCurve_sp_Q9H7N4_SFR19_HUMAN_.pdf</v>
      </c>
      <c r="AA2699" t="s">
        <v>14159</v>
      </c>
      <c r="AB2699" t="s">
        <v>17939</v>
      </c>
    </row>
    <row r="2700" spans="1:28" x14ac:dyDescent="0.25">
      <c r="A2700" t="s">
        <v>2704</v>
      </c>
      <c r="B2700">
        <v>0.98876768158843997</v>
      </c>
      <c r="C2700">
        <v>1.0657459995735099</v>
      </c>
      <c r="D2700">
        <v>0.91831350547674895</v>
      </c>
      <c r="E2700">
        <v>0.70202175648070897</v>
      </c>
      <c r="F2700">
        <v>0.67084199578193604</v>
      </c>
      <c r="G2700">
        <v>0.472421039780967</v>
      </c>
      <c r="H2700">
        <v>0.31273526559666498</v>
      </c>
      <c r="I2700">
        <v>0.337733209726503</v>
      </c>
      <c r="J2700">
        <v>0.52605056060462996</v>
      </c>
      <c r="K2700">
        <v>0.46746965595657702</v>
      </c>
      <c r="L2700">
        <v>1000.49647991426</v>
      </c>
      <c r="M2700">
        <v>19.6768235402374</v>
      </c>
      <c r="N2700">
        <v>55.707015307797001</v>
      </c>
      <c r="O2700">
        <v>50.3300190274974</v>
      </c>
      <c r="P2700">
        <v>-5.7649990850878199E-2</v>
      </c>
      <c r="Q2700">
        <v>0.41018451937630601</v>
      </c>
      <c r="R2700">
        <v>0.92082570195441604</v>
      </c>
      <c r="S2700" t="s">
        <v>6532</v>
      </c>
      <c r="T2700" t="s">
        <v>7662</v>
      </c>
      <c r="U2700" t="s">
        <v>7662</v>
      </c>
      <c r="V2700" t="s">
        <v>7662</v>
      </c>
      <c r="W2700">
        <v>3</v>
      </c>
      <c r="X2700" t="s">
        <v>10362</v>
      </c>
      <c r="Y2700">
        <v>0.63187645679033067</v>
      </c>
      <c r="Z2700" t="str">
        <f>HYPERLINK("Melting_Curves/meltCurve_sp_Q9H7Z6_KAT8_HUMAN_.pdf", "Melting_Curves/meltCurve_sp_Q9H7Z6_KAT8_HUMAN_.pdf")</f>
        <v>Melting_Curves/meltCurve_sp_Q9H7Z6_KAT8_HUMAN_.pdf</v>
      </c>
      <c r="AA2700" t="s">
        <v>14160</v>
      </c>
      <c r="AB2700" t="s">
        <v>17940</v>
      </c>
    </row>
    <row r="2701" spans="1:28" x14ac:dyDescent="0.25">
      <c r="A2701" t="s">
        <v>2705</v>
      </c>
      <c r="B2701">
        <v>0.98876768158843997</v>
      </c>
      <c r="C2701">
        <v>1.04580221792439</v>
      </c>
      <c r="D2701">
        <v>0.84229186574965398</v>
      </c>
      <c r="E2701">
        <v>0.620617620365567</v>
      </c>
      <c r="F2701">
        <v>0.36266456362183302</v>
      </c>
      <c r="G2701">
        <v>0.20812354419074899</v>
      </c>
      <c r="H2701">
        <v>9.7577767960048994E-2</v>
      </c>
      <c r="I2701">
        <v>0.16612312956091399</v>
      </c>
      <c r="J2701">
        <v>4.8167197453391299E-2</v>
      </c>
      <c r="K2701">
        <v>0</v>
      </c>
      <c r="L2701">
        <v>858.59413874616098</v>
      </c>
      <c r="M2701">
        <v>16.802989818304201</v>
      </c>
      <c r="N2701">
        <v>51.414273550340297</v>
      </c>
      <c r="O2701">
        <v>50.390427688148698</v>
      </c>
      <c r="P2701">
        <v>-7.9272271778639103E-2</v>
      </c>
      <c r="Q2701">
        <v>4.9144198569346299E-2</v>
      </c>
      <c r="R2701">
        <v>0.98635947606928898</v>
      </c>
      <c r="S2701" t="s">
        <v>6533</v>
      </c>
      <c r="T2701" t="s">
        <v>7662</v>
      </c>
      <c r="U2701" t="s">
        <v>7662</v>
      </c>
      <c r="V2701" t="s">
        <v>7662</v>
      </c>
      <c r="W2701">
        <v>3</v>
      </c>
      <c r="X2701" t="s">
        <v>10363</v>
      </c>
      <c r="Y2701">
        <v>0.41896149395708537</v>
      </c>
      <c r="Z2701" t="str">
        <f>HYPERLINK("Melting_Curves/meltCurve_sp_Q9H7Z7_PGES2_HUMAN_.pdf", "Melting_Curves/meltCurve_sp_Q9H7Z7_PGES2_HUMAN_.pdf")</f>
        <v>Melting_Curves/meltCurve_sp_Q9H7Z7_PGES2_HUMAN_.pdf</v>
      </c>
      <c r="AA2701" t="s">
        <v>14161</v>
      </c>
      <c r="AB2701" t="s">
        <v>17941</v>
      </c>
    </row>
    <row r="2702" spans="1:28" x14ac:dyDescent="0.25">
      <c r="A2702" t="s">
        <v>2706</v>
      </c>
      <c r="B2702">
        <v>0.98876768158843997</v>
      </c>
      <c r="C2702">
        <v>1.09069560708139</v>
      </c>
      <c r="D2702">
        <v>0.97166221702123301</v>
      </c>
      <c r="E2702">
        <v>0.83460906353125697</v>
      </c>
      <c r="F2702">
        <v>0.75945326786484801</v>
      </c>
      <c r="G2702">
        <v>0.48052027359749599</v>
      </c>
      <c r="H2702">
        <v>0.36747674437748301</v>
      </c>
      <c r="I2702">
        <v>0.39592865671896199</v>
      </c>
      <c r="J2702">
        <v>0.30873916381399003</v>
      </c>
      <c r="K2702">
        <v>0.51469783499752897</v>
      </c>
      <c r="L2702">
        <v>1246.2026837716301</v>
      </c>
      <c r="M2702">
        <v>23.4064865689496</v>
      </c>
      <c r="N2702">
        <v>56.827906229463601</v>
      </c>
      <c r="O2702">
        <v>52.857729184049802</v>
      </c>
      <c r="P2702">
        <v>-6.79910300846545E-2</v>
      </c>
      <c r="Q2702">
        <v>0.38584763481526102</v>
      </c>
      <c r="R2702">
        <v>0.94785954304025599</v>
      </c>
      <c r="S2702" t="s">
        <v>6534</v>
      </c>
      <c r="T2702" t="s">
        <v>7662</v>
      </c>
      <c r="U2702" t="s">
        <v>7662</v>
      </c>
      <c r="V2702" t="s">
        <v>7662</v>
      </c>
      <c r="W2702">
        <v>1</v>
      </c>
      <c r="X2702" t="s">
        <v>10364</v>
      </c>
      <c r="Y2702">
        <v>0.66332432398181396</v>
      </c>
      <c r="Z2702" t="str">
        <f>HYPERLINK("Melting_Curves/meltCurve_sp_Q9H814_PHAX_HUMAN_.pdf", "Melting_Curves/meltCurve_sp_Q9H814_PHAX_HUMAN_.pdf")</f>
        <v>Melting_Curves/meltCurve_sp_Q9H814_PHAX_HUMAN_.pdf</v>
      </c>
      <c r="AA2702" t="s">
        <v>14162</v>
      </c>
      <c r="AB2702" t="s">
        <v>17942</v>
      </c>
    </row>
    <row r="2703" spans="1:28" x14ac:dyDescent="0.25">
      <c r="A2703" t="s">
        <v>2707</v>
      </c>
      <c r="B2703">
        <v>0.98876768158843997</v>
      </c>
      <c r="C2703">
        <v>1.0847596330070901</v>
      </c>
      <c r="D2703">
        <v>0.82464583690873305</v>
      </c>
      <c r="E2703">
        <v>0.584224635042221</v>
      </c>
      <c r="F2703">
        <v>0.59899883068761095</v>
      </c>
      <c r="G2703">
        <v>9.7094851175963698E-2</v>
      </c>
      <c r="H2703">
        <v>5.5832046833571E-2</v>
      </c>
      <c r="I2703">
        <v>3.9941274123035699E-2</v>
      </c>
      <c r="J2703">
        <v>5.2297912331684397E-2</v>
      </c>
      <c r="K2703">
        <v>5.17201107120022E-2</v>
      </c>
      <c r="L2703">
        <v>839.68589677609998</v>
      </c>
      <c r="M2703">
        <v>16.103180679390501</v>
      </c>
      <c r="N2703">
        <v>52.144109393390004</v>
      </c>
      <c r="O2703">
        <v>51.359846828645999</v>
      </c>
      <c r="P2703">
        <v>-7.8390096187176503E-2</v>
      </c>
      <c r="Q2703">
        <v>0</v>
      </c>
      <c r="R2703">
        <v>0.959792438403263</v>
      </c>
      <c r="S2703" t="s">
        <v>6535</v>
      </c>
      <c r="T2703" t="s">
        <v>7662</v>
      </c>
      <c r="U2703" t="s">
        <v>7662</v>
      </c>
      <c r="V2703" t="s">
        <v>7662</v>
      </c>
      <c r="W2703">
        <v>4</v>
      </c>
      <c r="X2703" t="s">
        <v>10365</v>
      </c>
      <c r="Y2703">
        <v>0.42473436194936298</v>
      </c>
      <c r="Z2703" t="str">
        <f>HYPERLINK("Melting_Curves/meltCurve_sp_Q9H832_UBE2Z_HUMAN_.pdf", "Melting_Curves/meltCurve_sp_Q9H832_UBE2Z_HUMAN_.pdf")</f>
        <v>Melting_Curves/meltCurve_sp_Q9H832_UBE2Z_HUMAN_.pdf</v>
      </c>
      <c r="AA2703" t="s">
        <v>14163</v>
      </c>
      <c r="AB2703" t="s">
        <v>17943</v>
      </c>
    </row>
    <row r="2704" spans="1:28" x14ac:dyDescent="0.25">
      <c r="A2704" t="s">
        <v>2708</v>
      </c>
      <c r="B2704">
        <v>0.98876768158843997</v>
      </c>
      <c r="C2704">
        <v>0.98178119261485897</v>
      </c>
      <c r="D2704">
        <v>0.93906688122903803</v>
      </c>
      <c r="E2704">
        <v>0.65439452713881396</v>
      </c>
      <c r="F2704">
        <v>0.338752397822214</v>
      </c>
      <c r="G2704">
        <v>0.19568172285515101</v>
      </c>
      <c r="H2704">
        <v>0.12059590119970701</v>
      </c>
      <c r="I2704">
        <v>0.112860767036781</v>
      </c>
      <c r="J2704">
        <v>0.11073293616522301</v>
      </c>
      <c r="K2704">
        <v>7.8340367963297797E-2</v>
      </c>
      <c r="L2704">
        <v>1200.5053268018801</v>
      </c>
      <c r="M2704">
        <v>23.572849370757702</v>
      </c>
      <c r="N2704">
        <v>51.423733034262</v>
      </c>
      <c r="O2704">
        <v>50.5651881110578</v>
      </c>
      <c r="P2704">
        <v>-0.10469155037391099</v>
      </c>
      <c r="Q2704">
        <v>0.1017361755419</v>
      </c>
      <c r="R2704">
        <v>0.99861468613121696</v>
      </c>
      <c r="S2704" t="s">
        <v>6536</v>
      </c>
      <c r="T2704" t="s">
        <v>7662</v>
      </c>
      <c r="U2704" t="s">
        <v>7662</v>
      </c>
      <c r="V2704" t="s">
        <v>7662</v>
      </c>
      <c r="W2704">
        <v>16</v>
      </c>
      <c r="X2704" t="s">
        <v>10366</v>
      </c>
      <c r="Y2704">
        <v>0.43802706054979362</v>
      </c>
      <c r="Z2704" t="str">
        <f>HYPERLINK("Melting_Curves/meltCurve_sp_Q9H845_ACAD9_HUMAN_.pdf", "Melting_Curves/meltCurve_sp_Q9H845_ACAD9_HUMAN_.pdf")</f>
        <v>Melting_Curves/meltCurve_sp_Q9H845_ACAD9_HUMAN_.pdf</v>
      </c>
      <c r="AA2704" t="s">
        <v>14164</v>
      </c>
      <c r="AB2704" t="s">
        <v>17944</v>
      </c>
    </row>
    <row r="2705" spans="1:28" x14ac:dyDescent="0.25">
      <c r="A2705" t="s">
        <v>2709</v>
      </c>
      <c r="B2705">
        <v>0.98876768158843997</v>
      </c>
      <c r="C2705">
        <v>1.0219252526506299</v>
      </c>
      <c r="D2705">
        <v>0.84689916958248801</v>
      </c>
      <c r="E2705">
        <v>0.73904985217983898</v>
      </c>
      <c r="F2705">
        <v>0.82045106880367302</v>
      </c>
      <c r="G2705">
        <v>0.55971538005334498</v>
      </c>
      <c r="H2705">
        <v>0.29946066677635802</v>
      </c>
      <c r="I2705">
        <v>0.15022277026967201</v>
      </c>
      <c r="J2705">
        <v>8.5375162071544303E-2</v>
      </c>
      <c r="K2705">
        <v>9.6315914652149906E-2</v>
      </c>
      <c r="L2705">
        <v>729.45220197401898</v>
      </c>
      <c r="M2705">
        <v>12.7808319970654</v>
      </c>
      <c r="N2705">
        <v>57.073911714836598</v>
      </c>
      <c r="O2705">
        <v>55.730817733102498</v>
      </c>
      <c r="P2705">
        <v>-5.7343696296174702E-2</v>
      </c>
      <c r="Q2705">
        <v>0</v>
      </c>
      <c r="R2705">
        <v>0.96485536848479803</v>
      </c>
      <c r="S2705" t="s">
        <v>6537</v>
      </c>
      <c r="T2705" t="s">
        <v>7662</v>
      </c>
      <c r="U2705" t="s">
        <v>7662</v>
      </c>
      <c r="V2705" t="s">
        <v>7662</v>
      </c>
      <c r="W2705">
        <v>5</v>
      </c>
      <c r="X2705" t="s">
        <v>10367</v>
      </c>
      <c r="Y2705">
        <v>0.58565671691012422</v>
      </c>
      <c r="Z2705" t="str">
        <f>HYPERLINK("Melting_Curves/meltCurve_sp_Q9H8S9_MOB1A_HUMAN_.pdf", "Melting_Curves/meltCurve_sp_Q9H8S9_MOB1A_HUMAN_.pdf")</f>
        <v>Melting_Curves/meltCurve_sp_Q9H8S9_MOB1A_HUMAN_.pdf</v>
      </c>
      <c r="AA2705" t="s">
        <v>14165</v>
      </c>
      <c r="AB2705" t="s">
        <v>17945</v>
      </c>
    </row>
    <row r="2706" spans="1:28" x14ac:dyDescent="0.25">
      <c r="A2706" t="s">
        <v>2710</v>
      </c>
      <c r="B2706">
        <v>0.98876768158843997</v>
      </c>
      <c r="C2706">
        <v>1.13108487207112</v>
      </c>
      <c r="D2706">
        <v>0.84234079908378801</v>
      </c>
      <c r="E2706">
        <v>0.72423549750177996</v>
      </c>
      <c r="F2706">
        <v>1.0874103178476799</v>
      </c>
      <c r="G2706">
        <v>0.67400888201285503</v>
      </c>
      <c r="H2706">
        <v>0.51137231093977698</v>
      </c>
      <c r="I2706">
        <v>0.65367324693650097</v>
      </c>
      <c r="J2706">
        <v>0.722926484276879</v>
      </c>
      <c r="K2706">
        <v>1.0368971355573899</v>
      </c>
      <c r="L2706">
        <v>840.86477258256798</v>
      </c>
      <c r="M2706">
        <v>17.3392952228476</v>
      </c>
      <c r="O2706">
        <v>47.863503910392602</v>
      </c>
      <c r="P2706">
        <v>-2.2902003704417799E-2</v>
      </c>
      <c r="Q2706">
        <v>0.74713909441912296</v>
      </c>
      <c r="R2706">
        <v>0.27804966319027402</v>
      </c>
      <c r="S2706" t="s">
        <v>6538</v>
      </c>
      <c r="T2706" t="s">
        <v>7662</v>
      </c>
      <c r="U2706" t="s">
        <v>7662</v>
      </c>
      <c r="V2706" t="s">
        <v>7662</v>
      </c>
      <c r="W2706">
        <v>2</v>
      </c>
      <c r="X2706" t="s">
        <v>10368</v>
      </c>
      <c r="Y2706">
        <v>0.8235155157860865</v>
      </c>
      <c r="Z2706" t="str">
        <f>HYPERLINK("Melting_Curves/meltCurve_sp_Q9H8U3_ZFAN3_HUMAN_.pdf", "Melting_Curves/meltCurve_sp_Q9H8U3_ZFAN3_HUMAN_.pdf")</f>
        <v>Melting_Curves/meltCurve_sp_Q9H8U3_ZFAN3_HUMAN_.pdf</v>
      </c>
      <c r="AA2706" t="s">
        <v>14166</v>
      </c>
      <c r="AB2706" t="s">
        <v>17946</v>
      </c>
    </row>
    <row r="2707" spans="1:28" x14ac:dyDescent="0.25">
      <c r="A2707" t="s">
        <v>2711</v>
      </c>
      <c r="B2707">
        <v>0.98876768158843997</v>
      </c>
      <c r="C2707">
        <v>1.1594234279625799</v>
      </c>
      <c r="D2707">
        <v>0.88225807803065404</v>
      </c>
      <c r="E2707">
        <v>0.69775927356170397</v>
      </c>
      <c r="F2707">
        <v>0.50412515746455</v>
      </c>
      <c r="G2707">
        <v>0.20164379522753301</v>
      </c>
      <c r="H2707">
        <v>0.130296244568848</v>
      </c>
      <c r="I2707">
        <v>0.144802265952542</v>
      </c>
      <c r="J2707">
        <v>0.12729607340969901</v>
      </c>
      <c r="K2707">
        <v>0.16487336902539099</v>
      </c>
      <c r="L2707">
        <v>1093.8934203553599</v>
      </c>
      <c r="M2707">
        <v>21.126375073692699</v>
      </c>
      <c r="N2707">
        <v>52.490787727997699</v>
      </c>
      <c r="O2707">
        <v>51.321336074114598</v>
      </c>
      <c r="P2707">
        <v>-9.0090302239638306E-2</v>
      </c>
      <c r="Q2707">
        <v>0.124613952053146</v>
      </c>
      <c r="R2707">
        <v>0.97354450671146997</v>
      </c>
      <c r="S2707" t="s">
        <v>6539</v>
      </c>
      <c r="T2707" t="s">
        <v>7662</v>
      </c>
      <c r="U2707" t="s">
        <v>7662</v>
      </c>
      <c r="V2707" t="s">
        <v>7662</v>
      </c>
      <c r="W2707">
        <v>3</v>
      </c>
      <c r="X2707" t="s">
        <v>10369</v>
      </c>
      <c r="Y2707">
        <v>0.479275596067888</v>
      </c>
      <c r="Z2707" t="str">
        <f>HYPERLINK("Melting_Curves/meltCurve_sp_Q9H8W4_PKHF2_HUMAN_.pdf", "Melting_Curves/meltCurve_sp_Q9H8W4_PKHF2_HUMAN_.pdf")</f>
        <v>Melting_Curves/meltCurve_sp_Q9H8W4_PKHF2_HUMAN_.pdf</v>
      </c>
      <c r="AA2707" t="s">
        <v>14167</v>
      </c>
      <c r="AB2707" t="s">
        <v>17947</v>
      </c>
    </row>
    <row r="2708" spans="1:28" x14ac:dyDescent="0.25">
      <c r="A2708" t="s">
        <v>2712</v>
      </c>
      <c r="B2708">
        <v>0.98876768158843997</v>
      </c>
      <c r="C2708">
        <v>1.0556180584816499</v>
      </c>
      <c r="D2708">
        <v>0.77911132788779103</v>
      </c>
      <c r="E2708">
        <v>0.45171869710311502</v>
      </c>
      <c r="F2708">
        <v>0.39839180320728101</v>
      </c>
      <c r="G2708">
        <v>0.23081546729338101</v>
      </c>
      <c r="H2708">
        <v>0.15839154534003</v>
      </c>
      <c r="I2708">
        <v>0.176138667413484</v>
      </c>
      <c r="J2708">
        <v>0.26191220459176701</v>
      </c>
      <c r="K2708">
        <v>0.29940102596288998</v>
      </c>
      <c r="L2708">
        <v>1093.16637870513</v>
      </c>
      <c r="M2708">
        <v>22.613701929607998</v>
      </c>
      <c r="N2708">
        <v>49.678814027799497</v>
      </c>
      <c r="O2708">
        <v>47.9676191845166</v>
      </c>
      <c r="P2708">
        <v>-9.0982191949284197E-2</v>
      </c>
      <c r="Q2708">
        <v>0.228058823114484</v>
      </c>
      <c r="R2708">
        <v>0.96815092124439395</v>
      </c>
      <c r="S2708" t="s">
        <v>6540</v>
      </c>
      <c r="T2708" t="s">
        <v>7662</v>
      </c>
      <c r="U2708" t="s">
        <v>7662</v>
      </c>
      <c r="V2708" t="s">
        <v>7662</v>
      </c>
      <c r="W2708">
        <v>5</v>
      </c>
      <c r="X2708" t="s">
        <v>10370</v>
      </c>
      <c r="Y2708">
        <v>0.45110571479480882</v>
      </c>
      <c r="Z2708" t="str">
        <f>HYPERLINK("Melting_Curves/meltCurve_sp_Q9H8Y8_GORS2_HUMAN_.pdf", "Melting_Curves/meltCurve_sp_Q9H8Y8_GORS2_HUMAN_.pdf")</f>
        <v>Melting_Curves/meltCurve_sp_Q9H8Y8_GORS2_HUMAN_.pdf</v>
      </c>
      <c r="AA2708" t="s">
        <v>14168</v>
      </c>
      <c r="AB2708" t="s">
        <v>17948</v>
      </c>
    </row>
    <row r="2709" spans="1:28" x14ac:dyDescent="0.25">
      <c r="A2709" t="s">
        <v>2713</v>
      </c>
      <c r="B2709">
        <v>0.98876768158843997</v>
      </c>
      <c r="C2709">
        <v>1.07592715643131</v>
      </c>
      <c r="D2709">
        <v>0.76028498098821495</v>
      </c>
      <c r="E2709">
        <v>0.54601281980145699</v>
      </c>
      <c r="F2709">
        <v>0.223621807078666</v>
      </c>
      <c r="G2709">
        <v>0.16877468337920001</v>
      </c>
      <c r="H2709">
        <v>8.4039648679901505E-2</v>
      </c>
      <c r="I2709">
        <v>5.3995541971966203E-2</v>
      </c>
      <c r="J2709">
        <v>8.67851182623888E-2</v>
      </c>
      <c r="K2709">
        <v>9.3042376428914594E-2</v>
      </c>
      <c r="L2709">
        <v>1006.11656887854</v>
      </c>
      <c r="M2709">
        <v>20.3068445261592</v>
      </c>
      <c r="N2709">
        <v>49.940718621026697</v>
      </c>
      <c r="O2709">
        <v>49.072705578727401</v>
      </c>
      <c r="P2709">
        <v>-9.5780063355921402E-2</v>
      </c>
      <c r="Q2709">
        <v>7.4195106613973202E-2</v>
      </c>
      <c r="R2709">
        <v>0.98170788074827697</v>
      </c>
      <c r="S2709" t="s">
        <v>6541</v>
      </c>
      <c r="T2709" t="s">
        <v>7662</v>
      </c>
      <c r="U2709" t="s">
        <v>7662</v>
      </c>
      <c r="V2709" t="s">
        <v>7662</v>
      </c>
      <c r="W2709">
        <v>1</v>
      </c>
      <c r="X2709" t="s">
        <v>10371</v>
      </c>
      <c r="Y2709">
        <v>0.38130715987013908</v>
      </c>
      <c r="Z2709" t="str">
        <f>HYPERLINK("Melting_Curves/meltCurve_sp_Q9H939_PPIP2_HUMAN_.pdf", "Melting_Curves/meltCurve_sp_Q9H939_PPIP2_HUMAN_.pdf")</f>
        <v>Melting_Curves/meltCurve_sp_Q9H939_PPIP2_HUMAN_.pdf</v>
      </c>
      <c r="AA2709" t="s">
        <v>14169</v>
      </c>
      <c r="AB2709" t="s">
        <v>17949</v>
      </c>
    </row>
    <row r="2710" spans="1:28" x14ac:dyDescent="0.25">
      <c r="A2710" t="s">
        <v>2714</v>
      </c>
      <c r="B2710">
        <v>0.98876768158843997</v>
      </c>
      <c r="C2710">
        <v>0.92036542398568</v>
      </c>
      <c r="D2710">
        <v>0.89065955042362799</v>
      </c>
      <c r="E2710">
        <v>0.719543804692512</v>
      </c>
      <c r="F2710">
        <v>0.485988896514714</v>
      </c>
      <c r="G2710">
        <v>0.32731629092598802</v>
      </c>
      <c r="H2710">
        <v>0.28983613589765</v>
      </c>
      <c r="I2710">
        <v>0.25423674950618003</v>
      </c>
      <c r="J2710">
        <v>0.24446372118913401</v>
      </c>
      <c r="K2710">
        <v>0.116513415542753</v>
      </c>
      <c r="L2710">
        <v>716.76587443080098</v>
      </c>
      <c r="M2710">
        <v>13.830889650774299</v>
      </c>
      <c r="N2710">
        <v>53.393589739236802</v>
      </c>
      <c r="O2710">
        <v>50.776221651142102</v>
      </c>
      <c r="P2710">
        <v>-5.6727557279018397E-2</v>
      </c>
      <c r="Q2710">
        <v>0.16707847988107299</v>
      </c>
      <c r="R2710">
        <v>0.98609128621458697</v>
      </c>
      <c r="S2710" t="s">
        <v>6542</v>
      </c>
      <c r="T2710" t="s">
        <v>7662</v>
      </c>
      <c r="U2710" t="s">
        <v>7662</v>
      </c>
      <c r="V2710" t="s">
        <v>7662</v>
      </c>
      <c r="W2710">
        <v>6</v>
      </c>
      <c r="X2710" t="s">
        <v>10372</v>
      </c>
      <c r="Y2710">
        <v>0.51652300951653374</v>
      </c>
      <c r="Z2710" t="str">
        <f>HYPERLINK("Melting_Curves/meltCurve_sp_Q9H974_QTRD1_HUMAN_.pdf", "Melting_Curves/meltCurve_sp_Q9H974_QTRD1_HUMAN_.pdf")</f>
        <v>Melting_Curves/meltCurve_sp_Q9H974_QTRD1_HUMAN_.pdf</v>
      </c>
      <c r="AA2710" t="s">
        <v>14170</v>
      </c>
      <c r="AB2710" t="s">
        <v>17950</v>
      </c>
    </row>
    <row r="2711" spans="1:28" x14ac:dyDescent="0.25">
      <c r="A2711" t="s">
        <v>2715</v>
      </c>
      <c r="B2711">
        <v>0.98876768158843997</v>
      </c>
      <c r="C2711">
        <v>1.00168237927675</v>
      </c>
      <c r="D2711">
        <v>0.75616254565160901</v>
      </c>
      <c r="E2711">
        <v>0.164516542856848</v>
      </c>
      <c r="F2711">
        <v>8.7666048142329603E-2</v>
      </c>
      <c r="G2711">
        <v>4.51250169856637E-2</v>
      </c>
      <c r="H2711">
        <v>2.7178260563484199E-2</v>
      </c>
      <c r="I2711">
        <v>2.7785759207772601E-2</v>
      </c>
      <c r="J2711">
        <v>3.8418010939173797E-2</v>
      </c>
      <c r="K2711">
        <v>3.0071323390310399E-2</v>
      </c>
      <c r="L2711">
        <v>1689.21315326949</v>
      </c>
      <c r="M2711">
        <v>35.6248575948389</v>
      </c>
      <c r="N2711">
        <v>47.521222227411798</v>
      </c>
      <c r="O2711">
        <v>47.268033506761903</v>
      </c>
      <c r="P2711">
        <v>-0.18131847026102699</v>
      </c>
      <c r="Q2711">
        <v>3.7689986322206902E-2</v>
      </c>
      <c r="R2711">
        <v>0.99888086711685198</v>
      </c>
      <c r="S2711" t="s">
        <v>6543</v>
      </c>
      <c r="T2711" t="s">
        <v>7662</v>
      </c>
      <c r="U2711" t="s">
        <v>7662</v>
      </c>
      <c r="V2711" t="s">
        <v>7662</v>
      </c>
      <c r="W2711">
        <v>6</v>
      </c>
      <c r="X2711" t="s">
        <v>10373</v>
      </c>
      <c r="Y2711">
        <v>0.27962043140870912</v>
      </c>
      <c r="Z2711" t="str">
        <f>HYPERLINK("Melting_Curves/meltCurve_sp_Q9H993_CF211_HUMAN_.pdf", "Melting_Curves/meltCurve_sp_Q9H993_CF211_HUMAN_.pdf")</f>
        <v>Melting_Curves/meltCurve_sp_Q9H993_CF211_HUMAN_.pdf</v>
      </c>
      <c r="AA2711" t="s">
        <v>14171</v>
      </c>
      <c r="AB2711" t="s">
        <v>17951</v>
      </c>
    </row>
    <row r="2712" spans="1:28" x14ac:dyDescent="0.25">
      <c r="A2712" t="s">
        <v>2716</v>
      </c>
      <c r="B2712">
        <v>0.98876768158843997</v>
      </c>
      <c r="C2712">
        <v>0.96333872829214195</v>
      </c>
      <c r="D2712">
        <v>0.78500613015325305</v>
      </c>
      <c r="E2712">
        <v>0.38944204576563601</v>
      </c>
      <c r="F2712">
        <v>0.107314826338357</v>
      </c>
      <c r="G2712">
        <v>5.5394512138809998E-2</v>
      </c>
      <c r="H2712">
        <v>2.11702936955676E-2</v>
      </c>
      <c r="I2712">
        <v>1.41266178292897E-2</v>
      </c>
      <c r="J2712">
        <v>0</v>
      </c>
      <c r="K2712">
        <v>0</v>
      </c>
      <c r="L2712">
        <v>1111.9559939104399</v>
      </c>
      <c r="M2712">
        <v>22.801757100223998</v>
      </c>
      <c r="N2712">
        <v>48.782859482443698</v>
      </c>
      <c r="O2712">
        <v>48.395819645927901</v>
      </c>
      <c r="P2712">
        <v>-0.117335026306964</v>
      </c>
      <c r="Q2712">
        <v>3.8640595397120702E-3</v>
      </c>
      <c r="R2712">
        <v>0.998454355682173</v>
      </c>
      <c r="S2712" t="s">
        <v>6544</v>
      </c>
      <c r="T2712" t="s">
        <v>7662</v>
      </c>
      <c r="U2712" t="s">
        <v>7662</v>
      </c>
      <c r="V2712" t="s">
        <v>7662</v>
      </c>
      <c r="W2712">
        <v>3</v>
      </c>
      <c r="X2712" t="s">
        <v>10374</v>
      </c>
      <c r="Y2712">
        <v>0.30561274135899341</v>
      </c>
      <c r="Z2712" t="str">
        <f>HYPERLINK("Melting_Curves/meltCurve_sp_Q9H999_PANK3_HUMAN_.pdf", "Melting_Curves/meltCurve_sp_Q9H999_PANK3_HUMAN_.pdf")</f>
        <v>Melting_Curves/meltCurve_sp_Q9H999_PANK3_HUMAN_.pdf</v>
      </c>
      <c r="AA2712" t="s">
        <v>14172</v>
      </c>
      <c r="AB2712" t="s">
        <v>17952</v>
      </c>
    </row>
    <row r="2713" spans="1:28" x14ac:dyDescent="0.25">
      <c r="A2713" t="s">
        <v>2717</v>
      </c>
      <c r="B2713">
        <v>0.98876768158843997</v>
      </c>
      <c r="C2713">
        <v>0.93198818737297195</v>
      </c>
      <c r="D2713">
        <v>0.87645579712225496</v>
      </c>
      <c r="E2713">
        <v>0.49611551784980701</v>
      </c>
      <c r="F2713">
        <v>0.132069255926311</v>
      </c>
      <c r="G2713">
        <v>9.7033078864166594E-2</v>
      </c>
      <c r="H2713">
        <v>5.37894780239868E-2</v>
      </c>
      <c r="I2713">
        <v>3.4042275486668501E-2</v>
      </c>
      <c r="J2713">
        <v>3.8823111509691199E-2</v>
      </c>
      <c r="K2713">
        <v>3.2952002964408103E-2</v>
      </c>
      <c r="L2713">
        <v>1311.4588194191599</v>
      </c>
      <c r="M2713">
        <v>26.4594849772114</v>
      </c>
      <c r="N2713">
        <v>49.710893257951703</v>
      </c>
      <c r="O2713">
        <v>49.284275624815102</v>
      </c>
      <c r="P2713">
        <v>-0.129199039970396</v>
      </c>
      <c r="Q2713">
        <v>3.74094843100857E-2</v>
      </c>
      <c r="R2713">
        <v>0.99488268580141404</v>
      </c>
      <c r="S2713" t="s">
        <v>6545</v>
      </c>
      <c r="T2713" t="s">
        <v>7662</v>
      </c>
      <c r="U2713" t="s">
        <v>7662</v>
      </c>
      <c r="V2713" t="s">
        <v>7662</v>
      </c>
      <c r="W2713">
        <v>15</v>
      </c>
      <c r="X2713" t="s">
        <v>10375</v>
      </c>
      <c r="Y2713">
        <v>0.35194281655690801</v>
      </c>
      <c r="Z2713" t="str">
        <f>HYPERLINK("Melting_Curves/meltCurve_sp_Q9H9A6_LRC40_HUMAN_.pdf", "Melting_Curves/meltCurve_sp_Q9H9A6_LRC40_HUMAN_.pdf")</f>
        <v>Melting_Curves/meltCurve_sp_Q9H9A6_LRC40_HUMAN_.pdf</v>
      </c>
      <c r="AA2713" t="s">
        <v>14173</v>
      </c>
      <c r="AB2713" t="s">
        <v>17953</v>
      </c>
    </row>
    <row r="2714" spans="1:28" x14ac:dyDescent="0.25">
      <c r="A2714" t="s">
        <v>2718</v>
      </c>
      <c r="B2714">
        <v>0.98876768158843997</v>
      </c>
      <c r="C2714">
        <v>1.1309333418315901</v>
      </c>
      <c r="D2714">
        <v>0.74167681601027702</v>
      </c>
      <c r="E2714">
        <v>0.69724261984854696</v>
      </c>
      <c r="F2714">
        <v>0.77757771563809397</v>
      </c>
      <c r="G2714">
        <v>0.58368289611114299</v>
      </c>
      <c r="H2714">
        <v>0.42573979512427301</v>
      </c>
      <c r="I2714">
        <v>0.58621321553386796</v>
      </c>
      <c r="J2714">
        <v>0.90912453995703502</v>
      </c>
      <c r="K2714">
        <v>0.77436810252260202</v>
      </c>
      <c r="L2714">
        <v>11434.754350450299</v>
      </c>
      <c r="M2714">
        <v>250</v>
      </c>
      <c r="O2714">
        <v>45.7360904183925</v>
      </c>
      <c r="P2714">
        <v>-0.43847272481636401</v>
      </c>
      <c r="Q2714">
        <v>0.67913554943732901</v>
      </c>
      <c r="R2714">
        <v>0.56094930453301695</v>
      </c>
      <c r="S2714" t="s">
        <v>6546</v>
      </c>
      <c r="T2714" t="s">
        <v>7662</v>
      </c>
      <c r="U2714" t="s">
        <v>7662</v>
      </c>
      <c r="V2714" t="s">
        <v>7662</v>
      </c>
      <c r="W2714">
        <v>1</v>
      </c>
      <c r="X2714" t="s">
        <v>10376</v>
      </c>
      <c r="Y2714">
        <v>0.74054286114553336</v>
      </c>
      <c r="Z2714" t="str">
        <f>HYPERLINK("Melting_Curves/meltCurve_sp_Q9H9B1_4_EHMT1_HUMAN_.pdf", "Melting_Curves/meltCurve_sp_Q9H9B1_4_EHMT1_HUMAN_.pdf")</f>
        <v>Melting_Curves/meltCurve_sp_Q9H9B1_4_EHMT1_HUMAN_.pdf</v>
      </c>
      <c r="AA2714" t="s">
        <v>14174</v>
      </c>
      <c r="AB2714" t="s">
        <v>17954</v>
      </c>
    </row>
    <row r="2715" spans="1:28" x14ac:dyDescent="0.25">
      <c r="A2715" t="s">
        <v>2719</v>
      </c>
      <c r="B2715">
        <v>0.98876768158843997</v>
      </c>
      <c r="C2715">
        <v>1.0096171107999301</v>
      </c>
      <c r="D2715">
        <v>0.985133562063912</v>
      </c>
      <c r="E2715">
        <v>0.67487770175287298</v>
      </c>
      <c r="F2715">
        <v>0.46931494158516202</v>
      </c>
      <c r="G2715">
        <v>0.27708100458469298</v>
      </c>
      <c r="H2715">
        <v>0.222428507117611</v>
      </c>
      <c r="I2715">
        <v>0.25692713749396101</v>
      </c>
      <c r="J2715">
        <v>0.21749758222469201</v>
      </c>
      <c r="K2715">
        <v>0.32508558551600503</v>
      </c>
      <c r="L2715">
        <v>1344.9910062322101</v>
      </c>
      <c r="M2715">
        <v>26.4880742572646</v>
      </c>
      <c r="N2715">
        <v>52.1616146021397</v>
      </c>
      <c r="O2715">
        <v>50.4904737524379</v>
      </c>
      <c r="P2715">
        <v>-9.8044785650900607E-2</v>
      </c>
      <c r="Q2715">
        <v>0.252452452523236</v>
      </c>
      <c r="R2715">
        <v>0.98924484661569101</v>
      </c>
      <c r="S2715" t="s">
        <v>6547</v>
      </c>
      <c r="T2715" t="s">
        <v>7662</v>
      </c>
      <c r="U2715" t="s">
        <v>7662</v>
      </c>
      <c r="V2715" t="s">
        <v>7662</v>
      </c>
      <c r="W2715">
        <v>3</v>
      </c>
      <c r="X2715" t="s">
        <v>10377</v>
      </c>
      <c r="Y2715">
        <v>0.52700902120269899</v>
      </c>
      <c r="Z2715" t="str">
        <f>HYPERLINK("Melting_Curves/meltCurve_sp_Q9H9C1_2_SPE39_HUMAN_.pdf", "Melting_Curves/meltCurve_sp_Q9H9C1_2_SPE39_HUMAN_.pdf")</f>
        <v>Melting_Curves/meltCurve_sp_Q9H9C1_2_SPE39_HUMAN_.pdf</v>
      </c>
      <c r="AA2715" t="s">
        <v>14175</v>
      </c>
      <c r="AB2715" t="s">
        <v>17955</v>
      </c>
    </row>
    <row r="2716" spans="1:28" x14ac:dyDescent="0.25">
      <c r="A2716" t="s">
        <v>2720</v>
      </c>
      <c r="B2716">
        <v>0.98876768158843997</v>
      </c>
      <c r="C2716">
        <v>0.82776182923636199</v>
      </c>
      <c r="D2716">
        <v>0.793301689943399</v>
      </c>
      <c r="E2716">
        <v>0.300679694255578</v>
      </c>
      <c r="F2716">
        <v>0.129490882676248</v>
      </c>
      <c r="G2716">
        <v>7.3623767929096307E-2</v>
      </c>
      <c r="H2716">
        <v>5.6718418257653003E-2</v>
      </c>
      <c r="I2716">
        <v>2.8405898796496E-2</v>
      </c>
      <c r="J2716">
        <v>2.3864897581852999E-2</v>
      </c>
      <c r="K2716">
        <v>2.1127393681338199E-2</v>
      </c>
      <c r="L2716">
        <v>1019.48615693231</v>
      </c>
      <c r="M2716">
        <v>21.2076530722176</v>
      </c>
      <c r="N2716">
        <v>48.193132768714499</v>
      </c>
      <c r="O2716">
        <v>47.650319921998602</v>
      </c>
      <c r="P2716">
        <v>-0.108372546718041</v>
      </c>
      <c r="Q2716">
        <v>2.6039664252362E-2</v>
      </c>
      <c r="R2716">
        <v>0.98823779346700602</v>
      </c>
      <c r="S2716" t="s">
        <v>6548</v>
      </c>
      <c r="T2716" t="s">
        <v>7662</v>
      </c>
      <c r="U2716" t="s">
        <v>7662</v>
      </c>
      <c r="V2716" t="s">
        <v>7662</v>
      </c>
      <c r="W2716">
        <v>4</v>
      </c>
      <c r="X2716" t="s">
        <v>10378</v>
      </c>
      <c r="Y2716">
        <v>0.30029413569023827</v>
      </c>
      <c r="Z2716" t="str">
        <f>HYPERLINK("Melting_Curves/meltCurve_sp_Q9H9E3_COG4_HUMAN_.pdf", "Melting_Curves/meltCurve_sp_Q9H9E3_COG4_HUMAN_.pdf")</f>
        <v>Melting_Curves/meltCurve_sp_Q9H9E3_COG4_HUMAN_.pdf</v>
      </c>
      <c r="AA2716" t="s">
        <v>14176</v>
      </c>
      <c r="AB2716" t="s">
        <v>17956</v>
      </c>
    </row>
    <row r="2717" spans="1:28" x14ac:dyDescent="0.25">
      <c r="A2717" t="s">
        <v>2721</v>
      </c>
      <c r="B2717">
        <v>0.98876768158843997</v>
      </c>
      <c r="C2717">
        <v>0.931797341586732</v>
      </c>
      <c r="D2717">
        <v>0.99603670688005896</v>
      </c>
      <c r="E2717">
        <v>0.74045947246219102</v>
      </c>
      <c r="F2717">
        <v>0.48266428058320898</v>
      </c>
      <c r="G2717">
        <v>0.30613291596429099</v>
      </c>
      <c r="H2717">
        <v>0.25599080095787802</v>
      </c>
      <c r="I2717">
        <v>0.24571682661336999</v>
      </c>
      <c r="J2717">
        <v>0.27926205827189898</v>
      </c>
      <c r="K2717">
        <v>0.188201032871498</v>
      </c>
      <c r="L2717">
        <v>1272.04610216625</v>
      </c>
      <c r="M2717">
        <v>24.736882145541902</v>
      </c>
      <c r="N2717">
        <v>52.795126602381401</v>
      </c>
      <c r="O2717">
        <v>51.090535222121098</v>
      </c>
      <c r="P2717">
        <v>-9.2344670950659596E-2</v>
      </c>
      <c r="Q2717">
        <v>0.237111321820692</v>
      </c>
      <c r="R2717">
        <v>0.99071470503995995</v>
      </c>
      <c r="S2717" t="s">
        <v>6549</v>
      </c>
      <c r="T2717" t="s">
        <v>7662</v>
      </c>
      <c r="U2717" t="s">
        <v>7662</v>
      </c>
      <c r="V2717" t="s">
        <v>7662</v>
      </c>
      <c r="W2717">
        <v>8</v>
      </c>
      <c r="X2717" t="s">
        <v>10379</v>
      </c>
      <c r="Y2717">
        <v>0.5346629482958315</v>
      </c>
      <c r="Z2717" t="str">
        <f>HYPERLINK("Melting_Curves/meltCurve_sp_Q9H9G7_2_AGO3_HUMAN_.pdf", "Melting_Curves/meltCurve_sp_Q9H9G7_2_AGO3_HUMAN_.pdf")</f>
        <v>Melting_Curves/meltCurve_sp_Q9H9G7_2_AGO3_HUMAN_.pdf</v>
      </c>
      <c r="AA2717" t="s">
        <v>14177</v>
      </c>
      <c r="AB2717" t="s">
        <v>17957</v>
      </c>
    </row>
    <row r="2718" spans="1:28" x14ac:dyDescent="0.25">
      <c r="A2718" t="s">
        <v>2722</v>
      </c>
      <c r="B2718">
        <v>0.98876768158843997</v>
      </c>
      <c r="C2718">
        <v>0.72597973331841503</v>
      </c>
      <c r="D2718">
        <v>1.17530995608753</v>
      </c>
      <c r="E2718">
        <v>1.2583154975375199</v>
      </c>
      <c r="F2718">
        <v>0.57777108369600505</v>
      </c>
      <c r="G2718">
        <v>0.49180805252307302</v>
      </c>
      <c r="H2718">
        <v>0.240980875885491</v>
      </c>
      <c r="I2718">
        <v>9.8374444479509299E-2</v>
      </c>
      <c r="J2718">
        <v>1.89236814919998E-2</v>
      </c>
      <c r="K2718">
        <v>1.4204359915163001E-2</v>
      </c>
      <c r="L2718">
        <v>1157.04525544083</v>
      </c>
      <c r="M2718">
        <v>20.482092329418698</v>
      </c>
      <c r="N2718">
        <v>56.548267506945102</v>
      </c>
      <c r="O2718">
        <v>55.960377284543704</v>
      </c>
      <c r="P2718">
        <v>-9.0559306025383798E-2</v>
      </c>
      <c r="Q2718">
        <v>1.0339169945948801E-2</v>
      </c>
      <c r="R2718">
        <v>0.86653688532089901</v>
      </c>
      <c r="S2718" t="s">
        <v>6550</v>
      </c>
      <c r="T2718" t="s">
        <v>7662</v>
      </c>
      <c r="U2718" t="s">
        <v>7662</v>
      </c>
      <c r="V2718" t="s">
        <v>7662</v>
      </c>
      <c r="W2718">
        <v>1</v>
      </c>
      <c r="X2718" t="s">
        <v>10380</v>
      </c>
      <c r="Y2718">
        <v>0.56642856329015723</v>
      </c>
      <c r="Z2718" t="str">
        <f>HYPERLINK("Melting_Curves/meltCurve_sp_Q9H9J2_RM44_HUMAN_.pdf", "Melting_Curves/meltCurve_sp_Q9H9J2_RM44_HUMAN_.pdf")</f>
        <v>Melting_Curves/meltCurve_sp_Q9H9J2_RM44_HUMAN_.pdf</v>
      </c>
      <c r="AA2718" t="s">
        <v>14178</v>
      </c>
      <c r="AB2718" t="s">
        <v>17958</v>
      </c>
    </row>
    <row r="2719" spans="1:28" x14ac:dyDescent="0.25">
      <c r="A2719" t="s">
        <v>2723</v>
      </c>
      <c r="B2719">
        <v>0.98876768158843997</v>
      </c>
      <c r="C2719">
        <v>0.60844428532827699</v>
      </c>
      <c r="D2719">
        <v>0.88150552079644795</v>
      </c>
      <c r="E2719">
        <v>0.43388781190162001</v>
      </c>
      <c r="F2719">
        <v>0.18204275941325601</v>
      </c>
      <c r="G2719">
        <v>0.113659571096284</v>
      </c>
      <c r="H2719">
        <v>7.1356390097909006E-2</v>
      </c>
      <c r="I2719">
        <v>6.1704288156821101E-2</v>
      </c>
      <c r="J2719">
        <v>8.0793713247471005E-2</v>
      </c>
      <c r="K2719">
        <v>6.9850363782255398E-2</v>
      </c>
      <c r="L2719">
        <v>662.09606366686296</v>
      </c>
      <c r="M2719">
        <v>13.6405169279071</v>
      </c>
      <c r="N2719">
        <v>48.738234278112699</v>
      </c>
      <c r="O2719">
        <v>47.531347200514801</v>
      </c>
      <c r="P2719">
        <v>-6.9808872333703101E-2</v>
      </c>
      <c r="Q2719">
        <v>2.7126663963269598E-2</v>
      </c>
      <c r="R2719">
        <v>0.90358754982414202</v>
      </c>
      <c r="S2719" t="s">
        <v>6551</v>
      </c>
      <c r="T2719" t="s">
        <v>7662</v>
      </c>
      <c r="U2719" t="s">
        <v>7662</v>
      </c>
      <c r="V2719" t="s">
        <v>7662</v>
      </c>
      <c r="W2719">
        <v>4</v>
      </c>
      <c r="X2719" t="s">
        <v>10381</v>
      </c>
      <c r="Y2719">
        <v>0.33329062622024741</v>
      </c>
      <c r="Z2719" t="str">
        <f>HYPERLINK("Melting_Curves/meltCurve_sp_Q9H9S4_CB39L_HUMAN_.pdf", "Melting_Curves/meltCurve_sp_Q9H9S4_CB39L_HUMAN_.pdf")</f>
        <v>Melting_Curves/meltCurve_sp_Q9H9S4_CB39L_HUMAN_.pdf</v>
      </c>
      <c r="AA2719" t="s">
        <v>14179</v>
      </c>
      <c r="AB2719" t="s">
        <v>17959</v>
      </c>
    </row>
    <row r="2720" spans="1:28" x14ac:dyDescent="0.25">
      <c r="A2720" t="s">
        <v>2724</v>
      </c>
      <c r="B2720">
        <v>0.98876768158843997</v>
      </c>
      <c r="C2720">
        <v>0.92573752407284604</v>
      </c>
      <c r="D2720">
        <v>0.96299426937769095</v>
      </c>
      <c r="E2720">
        <v>0.719451040256471</v>
      </c>
      <c r="F2720">
        <v>0.38589379463802798</v>
      </c>
      <c r="G2720">
        <v>0.168409930173504</v>
      </c>
      <c r="H2720">
        <v>0.105696503501365</v>
      </c>
      <c r="I2720">
        <v>0.102103378175668</v>
      </c>
      <c r="J2720">
        <v>0.103475942332346</v>
      </c>
      <c r="K2720">
        <v>8.4236787344747599E-2</v>
      </c>
      <c r="L2720">
        <v>1304.96042054697</v>
      </c>
      <c r="M2720">
        <v>25.328034284272199</v>
      </c>
      <c r="N2720">
        <v>51.939950466487502</v>
      </c>
      <c r="O2720">
        <v>51.2044234085959</v>
      </c>
      <c r="P2720">
        <v>-0.112271487146925</v>
      </c>
      <c r="Q2720">
        <v>9.2117090372307295E-2</v>
      </c>
      <c r="R2720">
        <v>0.99641044502648801</v>
      </c>
      <c r="S2720" t="s">
        <v>6552</v>
      </c>
      <c r="T2720" t="s">
        <v>7662</v>
      </c>
      <c r="U2720" t="s">
        <v>7662</v>
      </c>
      <c r="V2720" t="s">
        <v>7662</v>
      </c>
      <c r="W2720">
        <v>4</v>
      </c>
      <c r="X2720" t="s">
        <v>10382</v>
      </c>
      <c r="Y2720">
        <v>0.44885708669901409</v>
      </c>
      <c r="Z2720" t="str">
        <f>HYPERLINK("Melting_Curves/meltCurve_sp_Q9H9T3_2_ELP3_HUMAN_.pdf", "Melting_Curves/meltCurve_sp_Q9H9T3_2_ELP3_HUMAN_.pdf")</f>
        <v>Melting_Curves/meltCurve_sp_Q9H9T3_2_ELP3_HUMAN_.pdf</v>
      </c>
      <c r="AA2720" t="s">
        <v>14180</v>
      </c>
      <c r="AB2720" t="s">
        <v>17960</v>
      </c>
    </row>
    <row r="2721" spans="1:28" x14ac:dyDescent="0.25">
      <c r="A2721" t="s">
        <v>2725</v>
      </c>
      <c r="B2721">
        <v>0.98876768158843997</v>
      </c>
      <c r="C2721">
        <v>1.0116421380682901</v>
      </c>
      <c r="D2721">
        <v>0.85437788985357299</v>
      </c>
      <c r="E2721">
        <v>0.75591372658980704</v>
      </c>
      <c r="F2721">
        <v>0.803936702996916</v>
      </c>
      <c r="G2721">
        <v>0.50278266245276304</v>
      </c>
      <c r="H2721">
        <v>0.25630419677359001</v>
      </c>
      <c r="I2721">
        <v>9.4453395647100397E-2</v>
      </c>
      <c r="J2721">
        <v>5.5451873372880198E-2</v>
      </c>
      <c r="K2721">
        <v>5.4940083039873001E-2</v>
      </c>
      <c r="L2721">
        <v>813.57361520445897</v>
      </c>
      <c r="M2721">
        <v>14.4161727481252</v>
      </c>
      <c r="N2721">
        <v>56.434777593596799</v>
      </c>
      <c r="O2721">
        <v>55.382213351569199</v>
      </c>
      <c r="P2721">
        <v>-6.5083523575108104E-2</v>
      </c>
      <c r="Q2721">
        <v>0</v>
      </c>
      <c r="R2721">
        <v>0.97253774749739397</v>
      </c>
      <c r="S2721" t="s">
        <v>6553</v>
      </c>
      <c r="T2721" t="s">
        <v>7662</v>
      </c>
      <c r="U2721" t="s">
        <v>7662</v>
      </c>
      <c r="V2721" t="s">
        <v>7662</v>
      </c>
      <c r="W2721">
        <v>4</v>
      </c>
      <c r="X2721" t="s">
        <v>10383</v>
      </c>
      <c r="Y2721">
        <v>0.56525809367943902</v>
      </c>
      <c r="Z2721" t="str">
        <f>HYPERLINK("Melting_Curves/meltCurve_sp_Q9HA64_KT3K_HUMAN_.pdf", "Melting_Curves/meltCurve_sp_Q9HA64_KT3K_HUMAN_.pdf")</f>
        <v>Melting_Curves/meltCurve_sp_Q9HA64_KT3K_HUMAN_.pdf</v>
      </c>
      <c r="AA2721" t="s">
        <v>14181</v>
      </c>
      <c r="AB2721" t="s">
        <v>17961</v>
      </c>
    </row>
    <row r="2722" spans="1:28" x14ac:dyDescent="0.25">
      <c r="A2722" t="s">
        <v>2726</v>
      </c>
      <c r="B2722">
        <v>0.98876768158843997</v>
      </c>
      <c r="C2722">
        <v>0.91518368568970698</v>
      </c>
      <c r="D2722">
        <v>0.94143772863164099</v>
      </c>
      <c r="E2722">
        <v>0.79061430401332899</v>
      </c>
      <c r="F2722">
        <v>0.41261317476835202</v>
      </c>
      <c r="G2722">
        <v>0.25171277011736398</v>
      </c>
      <c r="H2722">
        <v>0.194742163997627</v>
      </c>
      <c r="I2722">
        <v>0.20817545468767701</v>
      </c>
      <c r="J2722">
        <v>0.22747683844539199</v>
      </c>
      <c r="K2722">
        <v>0.18212297343303999</v>
      </c>
      <c r="L2722">
        <v>1651.1435619030699</v>
      </c>
      <c r="M2722">
        <v>32.095653985439398</v>
      </c>
      <c r="N2722">
        <v>52.294697649394102</v>
      </c>
      <c r="O2722">
        <v>51.2459834563887</v>
      </c>
      <c r="P2722">
        <v>-0.124747551453418</v>
      </c>
      <c r="Q2722">
        <v>0.20328414122427199</v>
      </c>
      <c r="R2722">
        <v>0.99038133971277198</v>
      </c>
      <c r="S2722" t="s">
        <v>6554</v>
      </c>
      <c r="T2722" t="s">
        <v>7662</v>
      </c>
      <c r="U2722" t="s">
        <v>7662</v>
      </c>
      <c r="V2722" t="s">
        <v>7662</v>
      </c>
      <c r="W2722">
        <v>7</v>
      </c>
      <c r="X2722" t="s">
        <v>10384</v>
      </c>
      <c r="Y2722">
        <v>0.51162556164297479</v>
      </c>
      <c r="Z2722" t="str">
        <f>HYPERLINK("Melting_Curves/meltCurve_sp_Q9HA65_TBC17_HUMAN_.pdf", "Melting_Curves/meltCurve_sp_Q9HA65_TBC17_HUMAN_.pdf")</f>
        <v>Melting_Curves/meltCurve_sp_Q9HA65_TBC17_HUMAN_.pdf</v>
      </c>
      <c r="AA2722" t="s">
        <v>14182</v>
      </c>
      <c r="AB2722" t="s">
        <v>17962</v>
      </c>
    </row>
    <row r="2723" spans="1:28" x14ac:dyDescent="0.25">
      <c r="A2723" t="s">
        <v>2727</v>
      </c>
      <c r="B2723">
        <v>0.98876768158843997</v>
      </c>
      <c r="C2723">
        <v>0.96178725251568598</v>
      </c>
      <c r="D2723">
        <v>0.93355021322074605</v>
      </c>
      <c r="E2723">
        <v>0.85603854819929803</v>
      </c>
      <c r="F2723">
        <v>0.71121201376174203</v>
      </c>
      <c r="G2723">
        <v>0.468044995517922</v>
      </c>
      <c r="H2723">
        <v>0.25970831472243799</v>
      </c>
      <c r="I2723">
        <v>0.17172080912712101</v>
      </c>
      <c r="J2723">
        <v>0.118514745432674</v>
      </c>
      <c r="K2723">
        <v>0.15841500116491899</v>
      </c>
      <c r="L2723">
        <v>843.46192401831604</v>
      </c>
      <c r="M2723">
        <v>15.174250286136401</v>
      </c>
      <c r="N2723">
        <v>56.228019978224602</v>
      </c>
      <c r="O2723">
        <v>54.646523106780997</v>
      </c>
      <c r="P2723">
        <v>-6.3897185496157194E-2</v>
      </c>
      <c r="Q2723">
        <v>7.9645627140218E-2</v>
      </c>
      <c r="R2723">
        <v>0.99612471106657097</v>
      </c>
      <c r="S2723" t="s">
        <v>6555</v>
      </c>
      <c r="T2723" t="s">
        <v>7662</v>
      </c>
      <c r="U2723" t="s">
        <v>7662</v>
      </c>
      <c r="V2723" t="s">
        <v>7662</v>
      </c>
      <c r="W2723">
        <v>18</v>
      </c>
      <c r="X2723" t="s">
        <v>10385</v>
      </c>
      <c r="Y2723">
        <v>0.57454232177146003</v>
      </c>
      <c r="Z2723" t="str">
        <f>HYPERLINK("Melting_Curves/meltCurve_sp_Q9HA77_SYCM_HUMAN_.pdf", "Melting_Curves/meltCurve_sp_Q9HA77_SYCM_HUMAN_.pdf")</f>
        <v>Melting_Curves/meltCurve_sp_Q9HA77_SYCM_HUMAN_.pdf</v>
      </c>
      <c r="AA2723" t="s">
        <v>14183</v>
      </c>
      <c r="AB2723" t="s">
        <v>17963</v>
      </c>
    </row>
    <row r="2724" spans="1:28" x14ac:dyDescent="0.25">
      <c r="A2724" t="s">
        <v>2728</v>
      </c>
      <c r="B2724">
        <v>0.98876768158843997</v>
      </c>
      <c r="C2724">
        <v>1.05723475616435</v>
      </c>
      <c r="D2724">
        <v>0.90817076844441502</v>
      </c>
      <c r="E2724">
        <v>0.73585151164192997</v>
      </c>
      <c r="F2724">
        <v>0.42317439906006099</v>
      </c>
      <c r="G2724">
        <v>0.11211077354690201</v>
      </c>
      <c r="H2724">
        <v>6.3365343475664804E-2</v>
      </c>
      <c r="I2724">
        <v>4.9501362377034099E-2</v>
      </c>
      <c r="J2724">
        <v>5.1787095401163899E-2</v>
      </c>
      <c r="K2724">
        <v>3.9843897075391099E-2</v>
      </c>
      <c r="L2724">
        <v>1246.2089260334601</v>
      </c>
      <c r="M2724">
        <v>23.9733536469219</v>
      </c>
      <c r="N2724">
        <v>52.145019736084699</v>
      </c>
      <c r="O2724">
        <v>51.625407459194903</v>
      </c>
      <c r="P2724">
        <v>-0.111930056030768</v>
      </c>
      <c r="Q2724">
        <v>3.5871944858547701E-2</v>
      </c>
      <c r="R2724">
        <v>0.995382437619734</v>
      </c>
      <c r="S2724" t="s">
        <v>6556</v>
      </c>
      <c r="T2724" t="s">
        <v>7662</v>
      </c>
      <c r="U2724" t="s">
        <v>7662</v>
      </c>
      <c r="V2724" t="s">
        <v>7662</v>
      </c>
      <c r="W2724">
        <v>13</v>
      </c>
      <c r="X2724" t="s">
        <v>10386</v>
      </c>
      <c r="Y2724">
        <v>0.43051591350864887</v>
      </c>
      <c r="Z2724" t="str">
        <f>HYPERLINK("Melting_Curves/meltCurve_sp_Q9HAB8_PPCS_HUMAN_.pdf", "Melting_Curves/meltCurve_sp_Q9HAB8_PPCS_HUMAN_.pdf")</f>
        <v>Melting_Curves/meltCurve_sp_Q9HAB8_PPCS_HUMAN_.pdf</v>
      </c>
      <c r="AA2724" t="s">
        <v>14184</v>
      </c>
      <c r="AB2724" t="s">
        <v>17964</v>
      </c>
    </row>
    <row r="2725" spans="1:28" x14ac:dyDescent="0.25">
      <c r="A2725" t="s">
        <v>2729</v>
      </c>
      <c r="B2725">
        <v>0.98876768158843997</v>
      </c>
      <c r="C2725">
        <v>0.96051570203111902</v>
      </c>
      <c r="D2725">
        <v>0.92538525574429398</v>
      </c>
      <c r="E2725">
        <v>0.66515264230111404</v>
      </c>
      <c r="F2725">
        <v>0.31797343117699201</v>
      </c>
      <c r="G2725">
        <v>0.13484714071790899</v>
      </c>
      <c r="H2725">
        <v>7.3920920396401801E-2</v>
      </c>
      <c r="I2725">
        <v>5.5349506470555497E-2</v>
      </c>
      <c r="J2725">
        <v>6.3230951603096705E-2</v>
      </c>
      <c r="K2725">
        <v>5.6746246286440302E-2</v>
      </c>
      <c r="L2725">
        <v>1232.64862774476</v>
      </c>
      <c r="M2725">
        <v>24.129013467692999</v>
      </c>
      <c r="N2725">
        <v>51.3344969610772</v>
      </c>
      <c r="O2725">
        <v>50.738742340713301</v>
      </c>
      <c r="P2725">
        <v>-0.112330883936266</v>
      </c>
      <c r="Q2725">
        <v>5.5172559013109398E-2</v>
      </c>
      <c r="R2725">
        <v>0.998792294831094</v>
      </c>
      <c r="S2725" t="s">
        <v>6557</v>
      </c>
      <c r="T2725" t="s">
        <v>7662</v>
      </c>
      <c r="U2725" t="s">
        <v>7662</v>
      </c>
      <c r="V2725" t="s">
        <v>7662</v>
      </c>
      <c r="W2725">
        <v>3</v>
      </c>
      <c r="X2725" t="s">
        <v>10387</v>
      </c>
      <c r="Y2725">
        <v>0.41346764800807079</v>
      </c>
      <c r="Z2725" t="str">
        <f>HYPERLINK("Melting_Curves/meltCurve_sp_Q9HAC7_4_CG010_HUMAN_.pdf", "Melting_Curves/meltCurve_sp_Q9HAC7_4_CG010_HUMAN_.pdf")</f>
        <v>Melting_Curves/meltCurve_sp_Q9HAC7_4_CG010_HUMAN_.pdf</v>
      </c>
      <c r="AA2725" t="s">
        <v>14185</v>
      </c>
      <c r="AB2725" t="s">
        <v>17965</v>
      </c>
    </row>
    <row r="2726" spans="1:28" x14ac:dyDescent="0.25">
      <c r="A2726" t="s">
        <v>2730</v>
      </c>
      <c r="B2726">
        <v>0.98876768158843997</v>
      </c>
      <c r="C2726">
        <v>0.95074850724150195</v>
      </c>
      <c r="D2726">
        <v>0.92023569045382203</v>
      </c>
      <c r="E2726">
        <v>0.75516245148616901</v>
      </c>
      <c r="F2726">
        <v>0.60223975743666702</v>
      </c>
      <c r="G2726">
        <v>0.40278798264796201</v>
      </c>
      <c r="H2726">
        <v>0.34769668202075998</v>
      </c>
      <c r="I2726">
        <v>0.231276355869487</v>
      </c>
      <c r="J2726">
        <v>0.27841585323995299</v>
      </c>
      <c r="K2726">
        <v>0.105926231746983</v>
      </c>
      <c r="L2726">
        <v>611.69667226072602</v>
      </c>
      <c r="M2726">
        <v>11.2808293715945</v>
      </c>
      <c r="N2726">
        <v>55.450638527235903</v>
      </c>
      <c r="O2726">
        <v>52.604262237540503</v>
      </c>
      <c r="P2726">
        <v>-4.77082421583781E-2</v>
      </c>
      <c r="Q2726">
        <v>0.11038852494628799</v>
      </c>
      <c r="R2726">
        <v>0.98541715688044695</v>
      </c>
      <c r="S2726" t="s">
        <v>6558</v>
      </c>
      <c r="T2726" t="s">
        <v>7662</v>
      </c>
      <c r="U2726" t="s">
        <v>7662</v>
      </c>
      <c r="V2726" t="s">
        <v>7662</v>
      </c>
      <c r="W2726">
        <v>5</v>
      </c>
      <c r="X2726" t="s">
        <v>10388</v>
      </c>
      <c r="Y2726">
        <v>0.55612232823887942</v>
      </c>
      <c r="Z2726" t="str">
        <f>HYPERLINK("Melting_Curves/meltCurve_sp_Q9HAN9_NMNA1_HUMAN_.pdf", "Melting_Curves/meltCurve_sp_Q9HAN9_NMNA1_HUMAN_.pdf")</f>
        <v>Melting_Curves/meltCurve_sp_Q9HAN9_NMNA1_HUMAN_.pdf</v>
      </c>
      <c r="AA2726" t="s">
        <v>14186</v>
      </c>
      <c r="AB2726" t="s">
        <v>17966</v>
      </c>
    </row>
    <row r="2727" spans="1:28" x14ac:dyDescent="0.25">
      <c r="A2727" t="s">
        <v>2731</v>
      </c>
      <c r="B2727">
        <v>0.98876768158843997</v>
      </c>
      <c r="C2727">
        <v>0.78009226674899301</v>
      </c>
      <c r="D2727">
        <v>1.29862299363808</v>
      </c>
      <c r="E2727">
        <v>1.5206909332905401</v>
      </c>
      <c r="F2727">
        <v>0.67925549227735105</v>
      </c>
      <c r="G2727">
        <v>0.71709425590002296</v>
      </c>
      <c r="H2727">
        <v>0.55356013633830703</v>
      </c>
      <c r="I2727">
        <v>0.33531020251613203</v>
      </c>
      <c r="J2727">
        <v>0.13192292062833899</v>
      </c>
      <c r="K2727">
        <v>0.116373746336931</v>
      </c>
      <c r="L2727">
        <v>1050.6050901840399</v>
      </c>
      <c r="M2727">
        <v>17.233563404275898</v>
      </c>
      <c r="N2727">
        <v>61.005891808723199</v>
      </c>
      <c r="O2727">
        <v>60.159636704102901</v>
      </c>
      <c r="P2727">
        <v>-7.1186202503984206E-2</v>
      </c>
      <c r="Q2727">
        <v>6.0592051529424797E-3</v>
      </c>
      <c r="R2727">
        <v>0.73894626199589797</v>
      </c>
      <c r="S2727" t="s">
        <v>6559</v>
      </c>
      <c r="T2727" t="s">
        <v>7662</v>
      </c>
      <c r="U2727" t="s">
        <v>7662</v>
      </c>
      <c r="V2727" t="s">
        <v>7662</v>
      </c>
      <c r="W2727">
        <v>1</v>
      </c>
      <c r="X2727" t="s">
        <v>10389</v>
      </c>
      <c r="Y2727">
        <v>0.7054884897326249</v>
      </c>
      <c r="Z2727" t="str">
        <f>HYPERLINK("Melting_Curves/meltCurve_sp_Q9HAP2_MLXIP_HUMAN_.pdf", "Melting_Curves/meltCurve_sp_Q9HAP2_MLXIP_HUMAN_.pdf")</f>
        <v>Melting_Curves/meltCurve_sp_Q9HAP2_MLXIP_HUMAN_.pdf</v>
      </c>
      <c r="AA2727" t="s">
        <v>14187</v>
      </c>
      <c r="AB2727" t="s">
        <v>17967</v>
      </c>
    </row>
    <row r="2728" spans="1:28" x14ac:dyDescent="0.25">
      <c r="A2728" t="s">
        <v>2732</v>
      </c>
      <c r="B2728">
        <v>0.98876768158843997</v>
      </c>
      <c r="C2728">
        <v>0.91521126223736304</v>
      </c>
      <c r="D2728">
        <v>0.85523608611608304</v>
      </c>
      <c r="E2728">
        <v>0.76481196265930296</v>
      </c>
      <c r="F2728">
        <v>0.74163714005674197</v>
      </c>
      <c r="G2728">
        <v>0.54722040573610298</v>
      </c>
      <c r="H2728">
        <v>0.36498013009074298</v>
      </c>
      <c r="I2728">
        <v>0.272180043309593</v>
      </c>
      <c r="J2728">
        <v>0.126472354614764</v>
      </c>
      <c r="K2728">
        <v>9.1226003801811395E-2</v>
      </c>
      <c r="L2728">
        <v>574.70384987652403</v>
      </c>
      <c r="M2728">
        <v>10.0483237127472</v>
      </c>
      <c r="N2728">
        <v>57.1940023995583</v>
      </c>
      <c r="O2728">
        <v>55.067272390697703</v>
      </c>
      <c r="P2728">
        <v>-4.5640184227236903E-2</v>
      </c>
      <c r="Q2728">
        <v>0</v>
      </c>
      <c r="R2728">
        <v>0.98062503505543097</v>
      </c>
      <c r="S2728" t="s">
        <v>6560</v>
      </c>
      <c r="T2728" t="s">
        <v>7662</v>
      </c>
      <c r="U2728" t="s">
        <v>7662</v>
      </c>
      <c r="V2728" t="s">
        <v>7662</v>
      </c>
      <c r="W2728">
        <v>7</v>
      </c>
      <c r="X2728" t="s">
        <v>10390</v>
      </c>
      <c r="Y2728">
        <v>0.5879074634371555</v>
      </c>
      <c r="Z2728" t="str">
        <f>HYPERLINK("Melting_Curves/meltCurve_sp_Q9HAT2_SIAE_HUMAN_.pdf", "Melting_Curves/meltCurve_sp_Q9HAT2_SIAE_HUMAN_.pdf")</f>
        <v>Melting_Curves/meltCurve_sp_Q9HAT2_SIAE_HUMAN_.pdf</v>
      </c>
      <c r="AA2728" t="s">
        <v>14188</v>
      </c>
      <c r="AB2728" t="s">
        <v>17968</v>
      </c>
    </row>
    <row r="2729" spans="1:28" x14ac:dyDescent="0.25">
      <c r="A2729" t="s">
        <v>2733</v>
      </c>
      <c r="B2729">
        <v>0.98876768158843997</v>
      </c>
      <c r="C2729">
        <v>1.0915383096581099</v>
      </c>
      <c r="D2729">
        <v>0.91212837537866298</v>
      </c>
      <c r="E2729">
        <v>0.75871456347351596</v>
      </c>
      <c r="F2729">
        <v>0.73096227133883496</v>
      </c>
      <c r="G2729">
        <v>0.55804318079867399</v>
      </c>
      <c r="H2729">
        <v>0.35718317904218699</v>
      </c>
      <c r="I2729">
        <v>0.42693913614662798</v>
      </c>
      <c r="J2729">
        <v>0.49361977283929398</v>
      </c>
      <c r="K2729">
        <v>0.627287575331818</v>
      </c>
      <c r="L2729">
        <v>1004.64025134579</v>
      </c>
      <c r="M2729">
        <v>19.5869950408714</v>
      </c>
      <c r="N2729">
        <v>61.056749243268797</v>
      </c>
      <c r="O2729">
        <v>50.765527345771297</v>
      </c>
      <c r="P2729">
        <v>-5.0333445964606503E-2</v>
      </c>
      <c r="Q2729">
        <v>0.47820200662505702</v>
      </c>
      <c r="R2729">
        <v>0.88041609705938995</v>
      </c>
      <c r="S2729" t="s">
        <v>6561</v>
      </c>
      <c r="T2729" t="s">
        <v>7662</v>
      </c>
      <c r="U2729" t="s">
        <v>7662</v>
      </c>
      <c r="V2729" t="s">
        <v>7662</v>
      </c>
      <c r="W2729">
        <v>5</v>
      </c>
      <c r="X2729" t="s">
        <v>10391</v>
      </c>
      <c r="Y2729">
        <v>0.68211431071705619</v>
      </c>
      <c r="Z2729" t="str">
        <f>HYPERLINK("Melting_Curves/meltCurve_sp_Q9HAU0_PKHA5_HUMAN_.pdf", "Melting_Curves/meltCurve_sp_Q9HAU0_PKHA5_HUMAN_.pdf")</f>
        <v>Melting_Curves/meltCurve_sp_Q9HAU0_PKHA5_HUMAN_.pdf</v>
      </c>
      <c r="AA2729" t="s">
        <v>14189</v>
      </c>
      <c r="AB2729" t="s">
        <v>17969</v>
      </c>
    </row>
    <row r="2730" spans="1:28" x14ac:dyDescent="0.25">
      <c r="A2730" t="s">
        <v>2734</v>
      </c>
      <c r="B2730">
        <v>0.98876768158843997</v>
      </c>
      <c r="C2730">
        <v>0.93160087560672999</v>
      </c>
      <c r="D2730">
        <v>0.88451318514278099</v>
      </c>
      <c r="E2730">
        <v>0.53507263755476298</v>
      </c>
      <c r="F2730">
        <v>0.14517366113737201</v>
      </c>
      <c r="G2730">
        <v>0.11078320609105</v>
      </c>
      <c r="H2730">
        <v>2.1905033415816701E-2</v>
      </c>
      <c r="I2730">
        <v>8.1713274245647893E-2</v>
      </c>
      <c r="J2730">
        <v>3.9649321343237898E-2</v>
      </c>
      <c r="K2730">
        <v>0</v>
      </c>
      <c r="L2730">
        <v>1318.91735886424</v>
      </c>
      <c r="M2730">
        <v>26.458708955116201</v>
      </c>
      <c r="N2730">
        <v>49.986942326774802</v>
      </c>
      <c r="O2730">
        <v>49.566005385721397</v>
      </c>
      <c r="P2730">
        <v>-0.128726619578582</v>
      </c>
      <c r="Q2730">
        <v>3.5418533078727103E-2</v>
      </c>
      <c r="R2730">
        <v>0.991386865204821</v>
      </c>
      <c r="S2730" t="s">
        <v>6562</v>
      </c>
      <c r="T2730" t="s">
        <v>7662</v>
      </c>
      <c r="U2730" t="s">
        <v>7662</v>
      </c>
      <c r="V2730" t="s">
        <v>7662</v>
      </c>
      <c r="W2730">
        <v>2</v>
      </c>
      <c r="X2730" t="s">
        <v>10392</v>
      </c>
      <c r="Y2730">
        <v>0.35973903021170622</v>
      </c>
      <c r="Z2730" t="str">
        <f>HYPERLINK("Melting_Curves/meltCurve_sp_Q9HAU5_RENT2_HUMAN_.pdf", "Melting_Curves/meltCurve_sp_Q9HAU5_RENT2_HUMAN_.pdf")</f>
        <v>Melting_Curves/meltCurve_sp_Q9HAU5_RENT2_HUMAN_.pdf</v>
      </c>
      <c r="AA2730" t="s">
        <v>14190</v>
      </c>
      <c r="AB2730" t="s">
        <v>17970</v>
      </c>
    </row>
    <row r="2731" spans="1:28" x14ac:dyDescent="0.25">
      <c r="A2731" t="s">
        <v>2735</v>
      </c>
      <c r="B2731">
        <v>0.98876768158843997</v>
      </c>
      <c r="C2731">
        <v>0.84821582779934601</v>
      </c>
      <c r="D2731">
        <v>0.90278734332541699</v>
      </c>
      <c r="E2731">
        <v>0.52978035329847595</v>
      </c>
      <c r="F2731">
        <v>0.110054649184838</v>
      </c>
      <c r="G2731">
        <v>8.0562266407240402E-2</v>
      </c>
      <c r="H2731">
        <v>6.3968430352537603E-2</v>
      </c>
      <c r="I2731">
        <v>4.9573031899717901E-2</v>
      </c>
      <c r="J2731">
        <v>3.16008089514105E-2</v>
      </c>
      <c r="K2731">
        <v>4.1456539875105503E-2</v>
      </c>
      <c r="L2731">
        <v>1550.50735520333</v>
      </c>
      <c r="M2731">
        <v>31.1288090674215</v>
      </c>
      <c r="N2731">
        <v>49.949443425285097</v>
      </c>
      <c r="O2731">
        <v>49.605194224727903</v>
      </c>
      <c r="P2731">
        <v>-0.15032792707693099</v>
      </c>
      <c r="Q2731">
        <v>4.1787424863985102E-2</v>
      </c>
      <c r="R2731">
        <v>0.98123195405036301</v>
      </c>
      <c r="S2731" t="s">
        <v>6563</v>
      </c>
      <c r="T2731" t="s">
        <v>7662</v>
      </c>
      <c r="U2731" t="s">
        <v>7662</v>
      </c>
      <c r="V2731" t="s">
        <v>7662</v>
      </c>
      <c r="W2731">
        <v>1</v>
      </c>
      <c r="X2731" t="s">
        <v>10393</v>
      </c>
      <c r="Y2731">
        <v>0.36058598943044101</v>
      </c>
      <c r="Z2731" t="str">
        <f>HYPERLINK("Melting_Curves/meltCurve_sp_Q9HAV4_XPO5_HUMAN_.pdf", "Melting_Curves/meltCurve_sp_Q9HAV4_XPO5_HUMAN_.pdf")</f>
        <v>Melting_Curves/meltCurve_sp_Q9HAV4_XPO5_HUMAN_.pdf</v>
      </c>
      <c r="AA2731" t="s">
        <v>14191</v>
      </c>
      <c r="AB2731" t="s">
        <v>17971</v>
      </c>
    </row>
    <row r="2732" spans="1:28" x14ac:dyDescent="0.25">
      <c r="A2732" t="s">
        <v>2736</v>
      </c>
      <c r="B2732">
        <v>0.98876768158843997</v>
      </c>
      <c r="C2732">
        <v>0.96259197356707005</v>
      </c>
      <c r="D2732">
        <v>0.97092795762952699</v>
      </c>
      <c r="E2732">
        <v>0.87811357225199804</v>
      </c>
      <c r="F2732">
        <v>0.84982794791827299</v>
      </c>
      <c r="G2732">
        <v>0.38612500204644101</v>
      </c>
      <c r="H2732">
        <v>0.28594416285718499</v>
      </c>
      <c r="I2732">
        <v>0.32241488792593398</v>
      </c>
      <c r="J2732">
        <v>0.46090970800764902</v>
      </c>
      <c r="K2732">
        <v>0.55577148129253795</v>
      </c>
      <c r="L2732">
        <v>3887.3521276136298</v>
      </c>
      <c r="M2732">
        <v>72.292393628053802</v>
      </c>
      <c r="N2732">
        <v>55.000698553505899</v>
      </c>
      <c r="O2732">
        <v>53.731526774764099</v>
      </c>
      <c r="P2732">
        <v>-0.20165709691904299</v>
      </c>
      <c r="Q2732">
        <v>0.40047128603648602</v>
      </c>
      <c r="R2732">
        <v>0.91537459885596395</v>
      </c>
      <c r="S2732" t="s">
        <v>6564</v>
      </c>
      <c r="T2732" t="s">
        <v>7662</v>
      </c>
      <c r="U2732" t="s">
        <v>7662</v>
      </c>
      <c r="V2732" t="s">
        <v>7662</v>
      </c>
      <c r="W2732">
        <v>11</v>
      </c>
      <c r="X2732" t="s">
        <v>10394</v>
      </c>
      <c r="Y2732">
        <v>0.67638578229562518</v>
      </c>
      <c r="Z2732" t="str">
        <f>HYPERLINK("Melting_Curves/meltCurve_sp_Q9HAV7_GRPE1_HUMAN_.pdf", "Melting_Curves/meltCurve_sp_Q9HAV7_GRPE1_HUMAN_.pdf")</f>
        <v>Melting_Curves/meltCurve_sp_Q9HAV7_GRPE1_HUMAN_.pdf</v>
      </c>
      <c r="AA2732" t="s">
        <v>14192</v>
      </c>
      <c r="AB2732" t="s">
        <v>17972</v>
      </c>
    </row>
    <row r="2733" spans="1:28" x14ac:dyDescent="0.25">
      <c r="A2733" t="s">
        <v>2737</v>
      </c>
      <c r="B2733">
        <v>0.98876768158843997</v>
      </c>
      <c r="C2733">
        <v>0.96910076580143401</v>
      </c>
      <c r="D2733">
        <v>0.80581397868209204</v>
      </c>
      <c r="E2733">
        <v>0.60791779358099596</v>
      </c>
      <c r="F2733">
        <v>0.36443811289144901</v>
      </c>
      <c r="G2733">
        <v>0.20896381939851999</v>
      </c>
      <c r="H2733">
        <v>0.133664025621411</v>
      </c>
      <c r="I2733">
        <v>0.10122244729254599</v>
      </c>
      <c r="J2733">
        <v>9.1034718937577905E-2</v>
      </c>
      <c r="K2733">
        <v>6.3666530772457305E-2</v>
      </c>
      <c r="L2733">
        <v>770.37079787147195</v>
      </c>
      <c r="M2733">
        <v>15.1883390194282</v>
      </c>
      <c r="N2733">
        <v>51.156146751277603</v>
      </c>
      <c r="O2733">
        <v>49.866314564144403</v>
      </c>
      <c r="P2733">
        <v>-7.1539835272599606E-2</v>
      </c>
      <c r="Q2733">
        <v>6.0572787881206201E-2</v>
      </c>
      <c r="R2733">
        <v>0.99779971632336895</v>
      </c>
      <c r="S2733" t="s">
        <v>6565</v>
      </c>
      <c r="T2733" t="s">
        <v>7662</v>
      </c>
      <c r="U2733" t="s">
        <v>7662</v>
      </c>
      <c r="V2733" t="s">
        <v>7662</v>
      </c>
      <c r="W2733">
        <v>7</v>
      </c>
      <c r="X2733" t="s">
        <v>10395</v>
      </c>
      <c r="Y2733">
        <v>0.41773792555068601</v>
      </c>
      <c r="Z2733" t="str">
        <f>HYPERLINK("Melting_Curves/meltCurve_sp_Q9HB07_MYG1_HUMAN_.pdf", "Melting_Curves/meltCurve_sp_Q9HB07_MYG1_HUMAN_.pdf")</f>
        <v>Melting_Curves/meltCurve_sp_Q9HB07_MYG1_HUMAN_.pdf</v>
      </c>
      <c r="AA2733" t="s">
        <v>14193</v>
      </c>
      <c r="AB2733" t="s">
        <v>17973</v>
      </c>
    </row>
    <row r="2734" spans="1:28" x14ac:dyDescent="0.25">
      <c r="A2734" t="s">
        <v>2738</v>
      </c>
      <c r="B2734">
        <v>0.98876768158843997</v>
      </c>
      <c r="C2734">
        <v>1.02559689018231</v>
      </c>
      <c r="D2734">
        <v>0.69818131448732401</v>
      </c>
      <c r="E2734">
        <v>0.41819880124102898</v>
      </c>
      <c r="F2734">
        <v>0.46846260195112399</v>
      </c>
      <c r="G2734">
        <v>0.35191914282709202</v>
      </c>
      <c r="H2734">
        <v>0.27300153078810102</v>
      </c>
      <c r="I2734">
        <v>0.33146028372083702</v>
      </c>
      <c r="J2734">
        <v>0.40868869949025799</v>
      </c>
      <c r="K2734">
        <v>0.48699441609045901</v>
      </c>
      <c r="L2734">
        <v>11500.773212145399</v>
      </c>
      <c r="M2734">
        <v>250</v>
      </c>
      <c r="N2734">
        <v>46.2855457754927</v>
      </c>
      <c r="O2734">
        <v>46.0001489423585</v>
      </c>
      <c r="P2734">
        <v>-0.82710806126305503</v>
      </c>
      <c r="Q2734">
        <v>0.39124649638362502</v>
      </c>
      <c r="R2734">
        <v>0.94472587886107595</v>
      </c>
      <c r="S2734" t="s">
        <v>6566</v>
      </c>
      <c r="T2734" t="s">
        <v>7662</v>
      </c>
      <c r="U2734" t="s">
        <v>7662</v>
      </c>
      <c r="V2734" t="s">
        <v>7662</v>
      </c>
      <c r="W2734">
        <v>3</v>
      </c>
      <c r="X2734" t="s">
        <v>10396</v>
      </c>
      <c r="Y2734">
        <v>0.51310910405935661</v>
      </c>
      <c r="Z2734" t="str">
        <f>HYPERLINK("Melting_Curves/meltCurve_sp_Q9HB21_PKHA1_HUMAN_.pdf", "Melting_Curves/meltCurve_sp_Q9HB21_PKHA1_HUMAN_.pdf")</f>
        <v>Melting_Curves/meltCurve_sp_Q9HB21_PKHA1_HUMAN_.pdf</v>
      </c>
      <c r="AA2734" t="s">
        <v>14194</v>
      </c>
      <c r="AB2734" t="s">
        <v>17974</v>
      </c>
    </row>
    <row r="2735" spans="1:28" x14ac:dyDescent="0.25">
      <c r="A2735" t="s">
        <v>2739</v>
      </c>
      <c r="B2735">
        <v>0.98876768158843997</v>
      </c>
      <c r="C2735">
        <v>0.94955071248517997</v>
      </c>
      <c r="D2735">
        <v>0.77157145499802504</v>
      </c>
      <c r="E2735">
        <v>0.43897857561901399</v>
      </c>
      <c r="F2735">
        <v>0.27742966793908203</v>
      </c>
      <c r="G2735">
        <v>0.168692449520736</v>
      </c>
      <c r="H2735">
        <v>0.11684346119531699</v>
      </c>
      <c r="I2735">
        <v>8.8068709204794607E-2</v>
      </c>
      <c r="J2735">
        <v>0.22821842601603201</v>
      </c>
      <c r="K2735">
        <v>0.14389123709830501</v>
      </c>
      <c r="L2735">
        <v>985.58245504905005</v>
      </c>
      <c r="M2735">
        <v>20.3532946424437</v>
      </c>
      <c r="N2735">
        <v>49.211379305111002</v>
      </c>
      <c r="O2735">
        <v>47.963544137039101</v>
      </c>
      <c r="P2735">
        <v>-9.1342691708173204E-2</v>
      </c>
      <c r="Q2735">
        <v>0.13901185748068901</v>
      </c>
      <c r="R2735">
        <v>0.98910665600563097</v>
      </c>
      <c r="S2735" t="s">
        <v>6567</v>
      </c>
      <c r="T2735" t="s">
        <v>7662</v>
      </c>
      <c r="U2735" t="s">
        <v>7662</v>
      </c>
      <c r="V2735" t="s">
        <v>7662</v>
      </c>
      <c r="W2735">
        <v>2</v>
      </c>
      <c r="X2735" t="s">
        <v>10397</v>
      </c>
      <c r="Y2735">
        <v>0.39247848570417748</v>
      </c>
      <c r="Z2735" t="str">
        <f>HYPERLINK("Melting_Curves/meltCurve_sp_Q9HB40_RISC_HUMAN_.pdf", "Melting_Curves/meltCurve_sp_Q9HB40_RISC_HUMAN_.pdf")</f>
        <v>Melting_Curves/meltCurve_sp_Q9HB40_RISC_HUMAN_.pdf</v>
      </c>
      <c r="AA2735" t="s">
        <v>14195</v>
      </c>
      <c r="AB2735" t="s">
        <v>17975</v>
      </c>
    </row>
    <row r="2736" spans="1:28" x14ac:dyDescent="0.25">
      <c r="A2736" t="s">
        <v>2740</v>
      </c>
      <c r="B2736">
        <v>0.98876768158843997</v>
      </c>
      <c r="C2736">
        <v>1.0940971400239801</v>
      </c>
      <c r="D2736">
        <v>0.94054544065281698</v>
      </c>
      <c r="E2736">
        <v>0.78663927757754004</v>
      </c>
      <c r="F2736">
        <v>0.92618643748125296</v>
      </c>
      <c r="G2736">
        <v>0.43847672676641603</v>
      </c>
      <c r="H2736">
        <v>0.13993647158457501</v>
      </c>
      <c r="I2736">
        <v>9.52035472029788E-2</v>
      </c>
      <c r="J2736">
        <v>7.80480806530372E-2</v>
      </c>
      <c r="K2736">
        <v>7.0877158364044193E-2</v>
      </c>
      <c r="L2736">
        <v>1553.15765360041</v>
      </c>
      <c r="M2736">
        <v>27.602859043313199</v>
      </c>
      <c r="N2736">
        <v>56.528927543472697</v>
      </c>
      <c r="O2736">
        <v>55.97515634378</v>
      </c>
      <c r="P2736">
        <v>-0.11590884283845899</v>
      </c>
      <c r="Q2736">
        <v>5.98138079244332E-2</v>
      </c>
      <c r="R2736">
        <v>0.96898610244695105</v>
      </c>
      <c r="S2736" t="s">
        <v>6568</v>
      </c>
      <c r="T2736" t="s">
        <v>7662</v>
      </c>
      <c r="U2736" t="s">
        <v>7662</v>
      </c>
      <c r="V2736" t="s">
        <v>7662</v>
      </c>
      <c r="W2736">
        <v>14</v>
      </c>
      <c r="X2736" t="s">
        <v>10398</v>
      </c>
      <c r="Y2736">
        <v>0.57691902280745355</v>
      </c>
      <c r="Z2736" t="str">
        <f>HYPERLINK("Melting_Curves/meltCurve_sp_Q9HB71_CYBP_HUMAN_.pdf", "Melting_Curves/meltCurve_sp_Q9HB71_CYBP_HUMAN_.pdf")</f>
        <v>Melting_Curves/meltCurve_sp_Q9HB71_CYBP_HUMAN_.pdf</v>
      </c>
      <c r="AA2736" t="s">
        <v>14196</v>
      </c>
      <c r="AB2736" t="s">
        <v>17976</v>
      </c>
    </row>
    <row r="2737" spans="1:28" x14ac:dyDescent="0.25">
      <c r="A2737" t="s">
        <v>2741</v>
      </c>
      <c r="B2737">
        <v>0.98876768158843997</v>
      </c>
      <c r="C2737">
        <v>1.1098732719571101</v>
      </c>
      <c r="D2737">
        <v>0.99866694648278598</v>
      </c>
      <c r="E2737">
        <v>0.95994647210164097</v>
      </c>
      <c r="F2737">
        <v>0.71972510912410204</v>
      </c>
      <c r="G2737">
        <v>0.41349352552353003</v>
      </c>
      <c r="H2737">
        <v>0.23192547109488701</v>
      </c>
      <c r="I2737">
        <v>0.13640656633609199</v>
      </c>
      <c r="J2737">
        <v>0.106612254139307</v>
      </c>
      <c r="K2737">
        <v>0.140517616305808</v>
      </c>
      <c r="L2737">
        <v>1241.70610743572</v>
      </c>
      <c r="M2737">
        <v>22.494281597345299</v>
      </c>
      <c r="N2737">
        <v>55.8463667360068</v>
      </c>
      <c r="O2737">
        <v>54.770255695984098</v>
      </c>
      <c r="P2737">
        <v>-9.0925567749112104E-2</v>
      </c>
      <c r="Q2737">
        <v>0.11445678820745001</v>
      </c>
      <c r="R2737">
        <v>0.98917920038368101</v>
      </c>
      <c r="S2737" t="s">
        <v>6569</v>
      </c>
      <c r="T2737" t="s">
        <v>7662</v>
      </c>
      <c r="U2737" t="s">
        <v>7662</v>
      </c>
      <c r="V2737" t="s">
        <v>7662</v>
      </c>
      <c r="W2737">
        <v>4</v>
      </c>
      <c r="X2737" t="s">
        <v>10399</v>
      </c>
      <c r="Y2737">
        <v>0.57293546297404707</v>
      </c>
      <c r="Z2737" t="str">
        <f>HYPERLINK("Melting_Curves/meltCurve_sp_Q9HB90_RRAGC_HUMAN_.pdf", "Melting_Curves/meltCurve_sp_Q9HB90_RRAGC_HUMAN_.pdf")</f>
        <v>Melting_Curves/meltCurve_sp_Q9HB90_RRAGC_HUMAN_.pdf</v>
      </c>
      <c r="AA2737" t="s">
        <v>14197</v>
      </c>
      <c r="AB2737" t="s">
        <v>17977</v>
      </c>
    </row>
    <row r="2738" spans="1:28" x14ac:dyDescent="0.25">
      <c r="A2738" t="s">
        <v>2742</v>
      </c>
      <c r="B2738">
        <v>0.98876768158843997</v>
      </c>
      <c r="C2738">
        <v>1.01605081764095</v>
      </c>
      <c r="D2738">
        <v>0.90518459499816095</v>
      </c>
      <c r="E2738">
        <v>0.60687801314340994</v>
      </c>
      <c r="F2738">
        <v>1.0014565549913399</v>
      </c>
      <c r="G2738">
        <v>0.56780183757571501</v>
      </c>
      <c r="H2738">
        <v>0.45627248504516998</v>
      </c>
      <c r="I2738">
        <v>0.58547534881850005</v>
      </c>
      <c r="J2738">
        <v>0.70147884848903097</v>
      </c>
      <c r="K2738">
        <v>0.85961392806675196</v>
      </c>
      <c r="L2738">
        <v>970.42085405705905</v>
      </c>
      <c r="M2738">
        <v>20.3334622582124</v>
      </c>
      <c r="O2738">
        <v>47.2708981605711</v>
      </c>
      <c r="P2738">
        <v>-3.6132280543281402E-2</v>
      </c>
      <c r="Q2738">
        <v>0.66401134572868603</v>
      </c>
      <c r="R2738">
        <v>0.44788661576755201</v>
      </c>
      <c r="S2738" t="s">
        <v>6570</v>
      </c>
      <c r="T2738" t="s">
        <v>7662</v>
      </c>
      <c r="U2738" t="s">
        <v>7662</v>
      </c>
      <c r="V2738" t="s">
        <v>7662</v>
      </c>
      <c r="W2738">
        <v>4</v>
      </c>
      <c r="X2738" t="s">
        <v>10400</v>
      </c>
      <c r="Y2738">
        <v>0.75516927851734672</v>
      </c>
      <c r="Z2738" t="str">
        <f>HYPERLINK("Melting_Curves/meltCurve_sp_Q9HBF4_2_ZFYV1_HUMAN_.pdf", "Melting_Curves/meltCurve_sp_Q9HBF4_2_ZFYV1_HUMAN_.pdf")</f>
        <v>Melting_Curves/meltCurve_sp_Q9HBF4_2_ZFYV1_HUMAN_.pdf</v>
      </c>
      <c r="AA2738" t="s">
        <v>14198</v>
      </c>
      <c r="AB2738" t="s">
        <v>17978</v>
      </c>
    </row>
    <row r="2739" spans="1:28" x14ac:dyDescent="0.25">
      <c r="A2739" t="s">
        <v>2743</v>
      </c>
      <c r="B2739">
        <v>0.98876768158843997</v>
      </c>
      <c r="C2739">
        <v>1.0620328981418301</v>
      </c>
      <c r="D2739">
        <v>0.90231044914307901</v>
      </c>
      <c r="E2739">
        <v>0.80294860400722101</v>
      </c>
      <c r="F2739">
        <v>0.77595227403908296</v>
      </c>
      <c r="G2739">
        <v>0.45411918302717902</v>
      </c>
      <c r="H2739">
        <v>0.249059577147413</v>
      </c>
      <c r="I2739">
        <v>0.117072994637604</v>
      </c>
      <c r="J2739">
        <v>7.4531901384294302E-2</v>
      </c>
      <c r="K2739">
        <v>5.4283674136982103E-2</v>
      </c>
      <c r="L2739">
        <v>834.52952160359496</v>
      </c>
      <c r="M2739">
        <v>14.8194633545633</v>
      </c>
      <c r="N2739">
        <v>56.313065829037598</v>
      </c>
      <c r="O2739">
        <v>55.317511824229499</v>
      </c>
      <c r="P2739">
        <v>-6.6981670570907995E-2</v>
      </c>
      <c r="Q2739">
        <v>0</v>
      </c>
      <c r="R2739">
        <v>0.98782185350226903</v>
      </c>
      <c r="S2739" t="s">
        <v>6571</v>
      </c>
      <c r="T2739" t="s">
        <v>7662</v>
      </c>
      <c r="U2739" t="s">
        <v>7662</v>
      </c>
      <c r="V2739" t="s">
        <v>7662</v>
      </c>
      <c r="W2739">
        <v>6</v>
      </c>
      <c r="X2739" t="s">
        <v>10401</v>
      </c>
      <c r="Y2739">
        <v>0.56111247995177904</v>
      </c>
      <c r="Z2739" t="str">
        <f>HYPERLINK("Melting_Curves/meltCurve_sp_Q9HBH1_DEFM_HUMAN_.pdf", "Melting_Curves/meltCurve_sp_Q9HBH1_DEFM_HUMAN_.pdf")</f>
        <v>Melting_Curves/meltCurve_sp_Q9HBH1_DEFM_HUMAN_.pdf</v>
      </c>
      <c r="AA2739" t="s">
        <v>14199</v>
      </c>
      <c r="AB2739" t="s">
        <v>17979</v>
      </c>
    </row>
    <row r="2740" spans="1:28" x14ac:dyDescent="0.25">
      <c r="A2740" t="s">
        <v>2744</v>
      </c>
      <c r="B2740">
        <v>0.98876768158843997</v>
      </c>
      <c r="C2740">
        <v>0.86573057624360095</v>
      </c>
      <c r="D2740">
        <v>0.88366437171935197</v>
      </c>
      <c r="E2740">
        <v>0.52338370248799104</v>
      </c>
      <c r="F2740">
        <v>0.20904194085903399</v>
      </c>
      <c r="G2740">
        <v>0.115406698311203</v>
      </c>
      <c r="H2740">
        <v>8.30034731762197E-2</v>
      </c>
      <c r="I2740">
        <v>4.4829490254262701E-2</v>
      </c>
      <c r="J2740">
        <v>0.11011462042738</v>
      </c>
      <c r="K2740">
        <v>4.2342582228833199E-2</v>
      </c>
      <c r="L2740">
        <v>1106.26353553029</v>
      </c>
      <c r="M2740">
        <v>22.2655649143015</v>
      </c>
      <c r="N2740">
        <v>49.973475222055001</v>
      </c>
      <c r="O2740">
        <v>49.2893784418807</v>
      </c>
      <c r="P2740">
        <v>-0.106123548927712</v>
      </c>
      <c r="Q2740">
        <v>6.0315346116486299E-2</v>
      </c>
      <c r="R2740">
        <v>0.98742486152703002</v>
      </c>
      <c r="S2740" t="s">
        <v>6572</v>
      </c>
      <c r="T2740" t="s">
        <v>7662</v>
      </c>
      <c r="U2740" t="s">
        <v>7662</v>
      </c>
      <c r="V2740" t="s">
        <v>7662</v>
      </c>
      <c r="W2740">
        <v>2</v>
      </c>
      <c r="X2740" t="s">
        <v>10402</v>
      </c>
      <c r="Y2740">
        <v>0.37425279743554152</v>
      </c>
      <c r="Z2740" t="str">
        <f>HYPERLINK("Melting_Curves/meltCurve_sp_Q9HBI1_PARVB_HUMAN_.pdf", "Melting_Curves/meltCurve_sp_Q9HBI1_PARVB_HUMAN_.pdf")</f>
        <v>Melting_Curves/meltCurve_sp_Q9HBI1_PARVB_HUMAN_.pdf</v>
      </c>
      <c r="AA2740" t="s">
        <v>14200</v>
      </c>
      <c r="AB2740" t="s">
        <v>17980</v>
      </c>
    </row>
    <row r="2741" spans="1:28" x14ac:dyDescent="0.25">
      <c r="A2741" t="s">
        <v>2745</v>
      </c>
      <c r="B2741">
        <v>0.98876768158843997</v>
      </c>
      <c r="C2741">
        <v>0.98272356395197702</v>
      </c>
      <c r="D2741">
        <v>0.57637292287203401</v>
      </c>
      <c r="E2741">
        <v>0.22190042248428099</v>
      </c>
      <c r="F2741">
        <v>0.128163035637233</v>
      </c>
      <c r="G2741">
        <v>8.0748100115648105E-2</v>
      </c>
      <c r="H2741">
        <v>5.5759403011530699E-2</v>
      </c>
      <c r="I2741">
        <v>5.0411575531377997E-2</v>
      </c>
      <c r="J2741">
        <v>6.9215379767966406E-2</v>
      </c>
      <c r="K2741">
        <v>5.6720346047922199E-2</v>
      </c>
      <c r="L2741">
        <v>1266.7850538740099</v>
      </c>
      <c r="M2741">
        <v>27.190109841079298</v>
      </c>
      <c r="N2741">
        <v>46.843864539367999</v>
      </c>
      <c r="O2741">
        <v>46.3400867765858</v>
      </c>
      <c r="P2741">
        <v>-0.136637461423983</v>
      </c>
      <c r="Q2741">
        <v>6.8524255318018507E-2</v>
      </c>
      <c r="R2741">
        <v>0.99413499288990304</v>
      </c>
      <c r="S2741" t="s">
        <v>6573</v>
      </c>
      <c r="T2741" t="s">
        <v>7662</v>
      </c>
      <c r="U2741" t="s">
        <v>7662</v>
      </c>
      <c r="V2741" t="s">
        <v>7662</v>
      </c>
      <c r="W2741">
        <v>9</v>
      </c>
      <c r="X2741" t="s">
        <v>10403</v>
      </c>
      <c r="Y2741">
        <v>0.28010023391475142</v>
      </c>
      <c r="Z2741" t="str">
        <f>HYPERLINK("Melting_Curves/meltCurve_sp_Q9HBK9_AS3MT_HUMAN_.pdf", "Melting_Curves/meltCurve_sp_Q9HBK9_AS3MT_HUMAN_.pdf")</f>
        <v>Melting_Curves/meltCurve_sp_Q9HBK9_AS3MT_HUMAN_.pdf</v>
      </c>
      <c r="AA2741" t="s">
        <v>14201</v>
      </c>
      <c r="AB2741" t="s">
        <v>17981</v>
      </c>
    </row>
    <row r="2742" spans="1:28" x14ac:dyDescent="0.25">
      <c r="A2742" t="s">
        <v>2746</v>
      </c>
      <c r="B2742">
        <v>0.98876768158843997</v>
      </c>
      <c r="C2742">
        <v>1.0026925445272401</v>
      </c>
      <c r="D2742">
        <v>0.68965323139997603</v>
      </c>
      <c r="E2742">
        <v>0.49237253822798599</v>
      </c>
      <c r="F2742">
        <v>0.45886686228100199</v>
      </c>
      <c r="G2742">
        <v>0.31284724509956002</v>
      </c>
      <c r="H2742">
        <v>0.18812516838837201</v>
      </c>
      <c r="I2742">
        <v>7.3709798911323399E-2</v>
      </c>
      <c r="J2742">
        <v>5.3482316539622203E-2</v>
      </c>
      <c r="K2742">
        <v>4.5818163025249603E-2</v>
      </c>
      <c r="L2742">
        <v>538.17480870204599</v>
      </c>
      <c r="M2742">
        <v>10.4947019495816</v>
      </c>
      <c r="N2742">
        <v>51.280598905808603</v>
      </c>
      <c r="O2742">
        <v>49.523634970717197</v>
      </c>
      <c r="P2742">
        <v>-5.2999668917596901E-2</v>
      </c>
      <c r="Q2742">
        <v>0</v>
      </c>
      <c r="R2742">
        <v>0.97104296582557303</v>
      </c>
      <c r="S2742" t="s">
        <v>6574</v>
      </c>
      <c r="T2742" t="s">
        <v>7662</v>
      </c>
      <c r="U2742" t="s">
        <v>7662</v>
      </c>
      <c r="V2742" t="s">
        <v>7662</v>
      </c>
      <c r="W2742">
        <v>10</v>
      </c>
      <c r="X2742" t="s">
        <v>10404</v>
      </c>
      <c r="Y2742">
        <v>0.41427761777183958</v>
      </c>
      <c r="Z2742" t="str">
        <f>HYPERLINK("Melting_Curves/meltCurve_sp_Q9HBL8_NMRL1_HUMAN_.pdf", "Melting_Curves/meltCurve_sp_Q9HBL8_NMRL1_HUMAN_.pdf")</f>
        <v>Melting_Curves/meltCurve_sp_Q9HBL8_NMRL1_HUMAN_.pdf</v>
      </c>
      <c r="AA2742" t="s">
        <v>14202</v>
      </c>
      <c r="AB2742" t="s">
        <v>17982</v>
      </c>
    </row>
    <row r="2743" spans="1:28" x14ac:dyDescent="0.25">
      <c r="A2743" t="s">
        <v>2747</v>
      </c>
      <c r="B2743">
        <v>0.98876768158843997</v>
      </c>
      <c r="C2743">
        <v>0.94730742322708905</v>
      </c>
      <c r="D2743">
        <v>1.0458757864016099</v>
      </c>
      <c r="E2743">
        <v>0.62974760788116202</v>
      </c>
      <c r="F2743">
        <v>0.58233056333083899</v>
      </c>
      <c r="G2743">
        <v>0.40324103649458898</v>
      </c>
      <c r="H2743">
        <v>0.37132887088093203</v>
      </c>
      <c r="I2743">
        <v>0.40219789525667199</v>
      </c>
      <c r="J2743">
        <v>0.30414137791032397</v>
      </c>
      <c r="K2743">
        <v>0.66047644921043602</v>
      </c>
      <c r="L2743">
        <v>1750.98135721619</v>
      </c>
      <c r="M2743">
        <v>35.327408314221202</v>
      </c>
      <c r="N2743">
        <v>52.708220698726699</v>
      </c>
      <c r="O2743">
        <v>49.406375772399699</v>
      </c>
      <c r="P2743">
        <v>-0.10024735047521401</v>
      </c>
      <c r="Q2743">
        <v>0.43920695026845302</v>
      </c>
      <c r="R2743">
        <v>0.86114102445599905</v>
      </c>
      <c r="S2743" t="s">
        <v>6575</v>
      </c>
      <c r="T2743" t="s">
        <v>7662</v>
      </c>
      <c r="U2743" t="s">
        <v>7662</v>
      </c>
      <c r="V2743" t="s">
        <v>7662</v>
      </c>
      <c r="W2743">
        <v>1</v>
      </c>
      <c r="X2743" t="s">
        <v>10405</v>
      </c>
      <c r="Y2743">
        <v>0.62046672079856457</v>
      </c>
      <c r="Z2743" t="str">
        <f>HYPERLINK("Melting_Curves/meltCurve_sp_Q9HBR0_S38AA_HUMAN_.pdf", "Melting_Curves/meltCurve_sp_Q9HBR0_S38AA_HUMAN_.pdf")</f>
        <v>Melting_Curves/meltCurve_sp_Q9HBR0_S38AA_HUMAN_.pdf</v>
      </c>
      <c r="AA2743" t="s">
        <v>14203</v>
      </c>
      <c r="AB2743" t="s">
        <v>17983</v>
      </c>
    </row>
    <row r="2744" spans="1:28" x14ac:dyDescent="0.25">
      <c r="A2744" t="s">
        <v>2748</v>
      </c>
      <c r="B2744">
        <v>0.98876768158843997</v>
      </c>
      <c r="C2744">
        <v>1.0506961975209701</v>
      </c>
      <c r="D2744">
        <v>0.93098265533867697</v>
      </c>
      <c r="E2744">
        <v>0.58144960373786903</v>
      </c>
      <c r="F2744">
        <v>0.23556854724005</v>
      </c>
      <c r="G2744">
        <v>0.13040873932500499</v>
      </c>
      <c r="H2744">
        <v>8.5933090218544297E-2</v>
      </c>
      <c r="I2744">
        <v>8.9437385078817794E-2</v>
      </c>
      <c r="J2744">
        <v>0.10459894603896799</v>
      </c>
      <c r="K2744">
        <v>0.104912874527314</v>
      </c>
      <c r="L2744">
        <v>1553.77654928212</v>
      </c>
      <c r="M2744">
        <v>30.956300732308499</v>
      </c>
      <c r="N2744">
        <v>50.543380710672402</v>
      </c>
      <c r="O2744">
        <v>49.984512649747401</v>
      </c>
      <c r="P2744">
        <v>-0.139861809975415</v>
      </c>
      <c r="Q2744">
        <v>9.6676993128349306E-2</v>
      </c>
      <c r="R2744">
        <v>0.99730677622904895</v>
      </c>
      <c r="S2744" t="s">
        <v>6576</v>
      </c>
      <c r="T2744" t="s">
        <v>7662</v>
      </c>
      <c r="U2744" t="s">
        <v>7662</v>
      </c>
      <c r="V2744" t="s">
        <v>7662</v>
      </c>
      <c r="W2744">
        <v>35</v>
      </c>
      <c r="X2744" t="s">
        <v>10406</v>
      </c>
      <c r="Y2744">
        <v>0.40884385359358771</v>
      </c>
      <c r="Z2744" t="str">
        <f>HYPERLINK("Melting_Curves/meltCurve_sp_Q9HC35_EMAL4_HUMAN_.pdf", "Melting_Curves/meltCurve_sp_Q9HC35_EMAL4_HUMAN_.pdf")</f>
        <v>Melting_Curves/meltCurve_sp_Q9HC35_EMAL4_HUMAN_.pdf</v>
      </c>
      <c r="AA2744" t="s">
        <v>14204</v>
      </c>
      <c r="AB2744" t="s">
        <v>17984</v>
      </c>
    </row>
    <row r="2745" spans="1:28" x14ac:dyDescent="0.25">
      <c r="A2745" t="s">
        <v>2749</v>
      </c>
      <c r="B2745">
        <v>0.98876768158843997</v>
      </c>
      <c r="C2745">
        <v>1.03599223002906</v>
      </c>
      <c r="D2745">
        <v>0.85519141334283699</v>
      </c>
      <c r="E2745">
        <v>0.73743970638383405</v>
      </c>
      <c r="F2745">
        <v>0.435990161152782</v>
      </c>
      <c r="G2745">
        <v>9.6626523164776504E-2</v>
      </c>
      <c r="H2745">
        <v>4.4745583341149503E-2</v>
      </c>
      <c r="I2745">
        <v>3.5258806894886599E-2</v>
      </c>
      <c r="J2745">
        <v>4.1885210161468699E-2</v>
      </c>
      <c r="K2745">
        <v>3.79924002202639E-2</v>
      </c>
      <c r="L2745">
        <v>1151.17876826614</v>
      </c>
      <c r="M2745">
        <v>22.116237395549099</v>
      </c>
      <c r="N2745">
        <v>52.137016231643997</v>
      </c>
      <c r="O2745">
        <v>51.6313397544384</v>
      </c>
      <c r="P2745">
        <v>-0.105177549218509</v>
      </c>
      <c r="Q2745">
        <v>1.7854808117629802E-2</v>
      </c>
      <c r="R2745">
        <v>0.99120486429016097</v>
      </c>
      <c r="S2745" t="s">
        <v>6577</v>
      </c>
      <c r="T2745" t="s">
        <v>7662</v>
      </c>
      <c r="U2745" t="s">
        <v>7662</v>
      </c>
      <c r="V2745" t="s">
        <v>7662</v>
      </c>
      <c r="W2745">
        <v>18</v>
      </c>
      <c r="X2745" t="s">
        <v>10407</v>
      </c>
      <c r="Y2745">
        <v>0.42370339261428358</v>
      </c>
      <c r="Z2745" t="str">
        <f>HYPERLINK("Melting_Curves/meltCurve_sp_Q9HC38_2_GLOD4_HUMAN_.pdf", "Melting_Curves/meltCurve_sp_Q9HC38_2_GLOD4_HUMAN_.pdf")</f>
        <v>Melting_Curves/meltCurve_sp_Q9HC38_2_GLOD4_HUMAN_.pdf</v>
      </c>
      <c r="AA2745" t="s">
        <v>14205</v>
      </c>
      <c r="AB2745" t="s">
        <v>17985</v>
      </c>
    </row>
    <row r="2746" spans="1:28" x14ac:dyDescent="0.25">
      <c r="A2746" t="s">
        <v>2750</v>
      </c>
      <c r="B2746">
        <v>0.98876768158843997</v>
      </c>
      <c r="C2746">
        <v>0.58173334424776202</v>
      </c>
      <c r="D2746">
        <v>1.39627721455724</v>
      </c>
      <c r="E2746">
        <v>1.09265583255837</v>
      </c>
      <c r="F2746">
        <v>0.20935487259899699</v>
      </c>
      <c r="G2746">
        <v>7.7105086895635805E-2</v>
      </c>
      <c r="H2746">
        <v>4.5200994190640904E-3</v>
      </c>
      <c r="I2746">
        <v>0</v>
      </c>
      <c r="J2746">
        <v>0</v>
      </c>
      <c r="K2746">
        <v>0</v>
      </c>
      <c r="L2746">
        <v>13175.2700851634</v>
      </c>
      <c r="M2746">
        <v>250</v>
      </c>
      <c r="N2746">
        <v>52.708078903305498</v>
      </c>
      <c r="O2746">
        <v>52.697707981269801</v>
      </c>
      <c r="P2746">
        <v>-1.1666483198837301</v>
      </c>
      <c r="Q2746">
        <v>1.6324924494067802E-2</v>
      </c>
      <c r="R2746">
        <v>0.86803185105207803</v>
      </c>
      <c r="S2746" t="s">
        <v>6578</v>
      </c>
      <c r="T2746" t="s">
        <v>7662</v>
      </c>
      <c r="U2746" t="s">
        <v>7662</v>
      </c>
      <c r="V2746" t="s">
        <v>7662</v>
      </c>
      <c r="W2746">
        <v>1</v>
      </c>
      <c r="X2746" t="s">
        <v>10408</v>
      </c>
      <c r="Y2746">
        <v>0.43287377628782581</v>
      </c>
      <c r="Z2746" t="str">
        <f>HYPERLINK("Melting_Curves/meltCurve_sp_Q9HCB6_SPON1_HUMAN_.pdf", "Melting_Curves/meltCurve_sp_Q9HCB6_SPON1_HUMAN_.pdf")</f>
        <v>Melting_Curves/meltCurve_sp_Q9HCB6_SPON1_HUMAN_.pdf</v>
      </c>
      <c r="AA2746" t="s">
        <v>14206</v>
      </c>
      <c r="AB2746" t="s">
        <v>17986</v>
      </c>
    </row>
    <row r="2747" spans="1:28" x14ac:dyDescent="0.25">
      <c r="A2747" t="s">
        <v>2751</v>
      </c>
      <c r="B2747">
        <v>0.98876768158843997</v>
      </c>
      <c r="C2747">
        <v>0.95463293916222602</v>
      </c>
      <c r="D2747">
        <v>0.94135248983974795</v>
      </c>
      <c r="E2747">
        <v>0.84309957393878499</v>
      </c>
      <c r="F2747">
        <v>0.662449842162812</v>
      </c>
      <c r="G2747">
        <v>0.51694598689236204</v>
      </c>
      <c r="H2747">
        <v>0.43523260368526201</v>
      </c>
      <c r="I2747">
        <v>0.50781301069019602</v>
      </c>
      <c r="J2747">
        <v>0.16089147930130401</v>
      </c>
      <c r="K2747">
        <v>8.4426073970621907E-2</v>
      </c>
      <c r="L2747">
        <v>526.56935594258903</v>
      </c>
      <c r="M2747">
        <v>8.9994003637202393</v>
      </c>
      <c r="N2747">
        <v>58.511604570690402</v>
      </c>
      <c r="O2747">
        <v>55.839149974416898</v>
      </c>
      <c r="P2747">
        <v>-4.0320894149935199E-2</v>
      </c>
      <c r="Q2747">
        <v>0</v>
      </c>
      <c r="R2747">
        <v>0.93703937725148201</v>
      </c>
      <c r="S2747" t="s">
        <v>6579</v>
      </c>
      <c r="T2747" t="s">
        <v>7662</v>
      </c>
      <c r="U2747" t="s">
        <v>7662</v>
      </c>
      <c r="V2747" t="s">
        <v>7662</v>
      </c>
      <c r="W2747">
        <v>25</v>
      </c>
      <c r="X2747" t="s">
        <v>10409</v>
      </c>
      <c r="Y2747">
        <v>0.62051884278615332</v>
      </c>
      <c r="Z2747" t="str">
        <f>HYPERLINK("Melting_Curves/meltCurve_sp_Q9HCC0_MCCB_HUMAN_.pdf", "Melting_Curves/meltCurve_sp_Q9HCC0_MCCB_HUMAN_.pdf")</f>
        <v>Melting_Curves/meltCurve_sp_Q9HCC0_MCCB_HUMAN_.pdf</v>
      </c>
      <c r="AA2747" t="s">
        <v>14207</v>
      </c>
      <c r="AB2747" t="s">
        <v>17987</v>
      </c>
    </row>
    <row r="2748" spans="1:28" x14ac:dyDescent="0.25">
      <c r="A2748" t="s">
        <v>2752</v>
      </c>
      <c r="B2748">
        <v>0.98876768158843997</v>
      </c>
      <c r="C2748">
        <v>0.921986904028538</v>
      </c>
      <c r="D2748">
        <v>0.98589049838944198</v>
      </c>
      <c r="E2748">
        <v>1.0539914279679301</v>
      </c>
      <c r="F2748">
        <v>0.82430344164384395</v>
      </c>
      <c r="G2748">
        <v>0.49630479805883898</v>
      </c>
      <c r="H2748">
        <v>3.70931649906601E-2</v>
      </c>
      <c r="I2748">
        <v>9.6882489144333398E-3</v>
      </c>
      <c r="J2748">
        <v>0</v>
      </c>
      <c r="K2748">
        <v>0</v>
      </c>
      <c r="L2748">
        <v>1793.9710491885801</v>
      </c>
      <c r="M2748">
        <v>31.6688845632948</v>
      </c>
      <c r="N2748">
        <v>56.647728463649301</v>
      </c>
      <c r="O2748">
        <v>56.4233097091874</v>
      </c>
      <c r="P2748">
        <v>-0.14031900869069</v>
      </c>
      <c r="Q2748">
        <v>0</v>
      </c>
      <c r="R2748">
        <v>0.98893780621854399</v>
      </c>
      <c r="S2748" t="s">
        <v>6580</v>
      </c>
      <c r="T2748" t="s">
        <v>7662</v>
      </c>
      <c r="U2748" t="s">
        <v>7662</v>
      </c>
      <c r="V2748" t="s">
        <v>7662</v>
      </c>
      <c r="W2748">
        <v>1</v>
      </c>
      <c r="X2748" t="s">
        <v>10410</v>
      </c>
      <c r="Y2748">
        <v>0.56097156870101894</v>
      </c>
      <c r="Z2748" t="str">
        <f>HYPERLINK("Melting_Curves/meltCurve_sp_Q9HCC9_5_LST2_HUMAN_.pdf", "Melting_Curves/meltCurve_sp_Q9HCC9_5_LST2_HUMAN_.pdf")</f>
        <v>Melting_Curves/meltCurve_sp_Q9HCC9_5_LST2_HUMAN_.pdf</v>
      </c>
      <c r="AA2748" t="s">
        <v>14208</v>
      </c>
      <c r="AB2748" t="s">
        <v>17988</v>
      </c>
    </row>
    <row r="2749" spans="1:28" x14ac:dyDescent="0.25">
      <c r="A2749" t="s">
        <v>2753</v>
      </c>
      <c r="B2749">
        <v>0.98876768158843997</v>
      </c>
      <c r="C2749">
        <v>0.99643285361680201</v>
      </c>
      <c r="D2749">
        <v>0.88534120577431796</v>
      </c>
      <c r="E2749">
        <v>0.789354393551988</v>
      </c>
      <c r="F2749">
        <v>0.44654471691214198</v>
      </c>
      <c r="G2749">
        <v>0.16815606549984</v>
      </c>
      <c r="H2749">
        <v>0.18888088804110501</v>
      </c>
      <c r="I2749">
        <v>0.22404795994965701</v>
      </c>
      <c r="J2749">
        <v>0.21114737831348401</v>
      </c>
      <c r="K2749">
        <v>0.31187181640697598</v>
      </c>
      <c r="L2749">
        <v>1725.71604728344</v>
      </c>
      <c r="M2749">
        <v>33.553523532818403</v>
      </c>
      <c r="N2749">
        <v>52.320125742090603</v>
      </c>
      <c r="O2749">
        <v>51.250093594218598</v>
      </c>
      <c r="P2749">
        <v>-0.128131919689385</v>
      </c>
      <c r="Q2749">
        <v>0.21716193326184299</v>
      </c>
      <c r="R2749">
        <v>0.97624226707155204</v>
      </c>
      <c r="S2749" t="s">
        <v>6581</v>
      </c>
      <c r="T2749" t="s">
        <v>7662</v>
      </c>
      <c r="U2749" t="s">
        <v>7662</v>
      </c>
      <c r="V2749" t="s">
        <v>7662</v>
      </c>
      <c r="W2749">
        <v>2</v>
      </c>
      <c r="X2749" t="s">
        <v>10411</v>
      </c>
      <c r="Y2749">
        <v>0.519430473723969</v>
      </c>
      <c r="Z2749" t="str">
        <f>HYPERLINK("Melting_Curves/meltCurve_sp_Q9HCE5_MET14_HUMAN_.pdf", "Melting_Curves/meltCurve_sp_Q9HCE5_MET14_HUMAN_.pdf")</f>
        <v>Melting_Curves/meltCurve_sp_Q9HCE5_MET14_HUMAN_.pdf</v>
      </c>
      <c r="AA2749" t="s">
        <v>14209</v>
      </c>
      <c r="AB2749" t="s">
        <v>17989</v>
      </c>
    </row>
    <row r="2750" spans="1:28" x14ac:dyDescent="0.25">
      <c r="A2750" t="s">
        <v>2754</v>
      </c>
      <c r="B2750">
        <v>0.98876768158843997</v>
      </c>
      <c r="C2750">
        <v>0.88906582861285899</v>
      </c>
      <c r="D2750">
        <v>0.89288479046145497</v>
      </c>
      <c r="E2750">
        <v>0.57384777769264395</v>
      </c>
      <c r="F2750">
        <v>0.28639421290876199</v>
      </c>
      <c r="G2750">
        <v>0.13705530718071801</v>
      </c>
      <c r="H2750">
        <v>9.2230330750492404E-2</v>
      </c>
      <c r="I2750">
        <v>9.3599481942426399E-2</v>
      </c>
      <c r="J2750">
        <v>0.104631914129557</v>
      </c>
      <c r="K2750">
        <v>9.9889878177423494E-2</v>
      </c>
      <c r="L2750">
        <v>1075.7615043713899</v>
      </c>
      <c r="M2750">
        <v>21.4662519027084</v>
      </c>
      <c r="N2750">
        <v>50.5554289190395</v>
      </c>
      <c r="O2750">
        <v>49.685254198166099</v>
      </c>
      <c r="P2750">
        <v>-9.8784757550150398E-2</v>
      </c>
      <c r="Q2750">
        <v>8.5443501246696599E-2</v>
      </c>
      <c r="R2750">
        <v>0.99308121460973198</v>
      </c>
      <c r="S2750" t="s">
        <v>6582</v>
      </c>
      <c r="T2750" t="s">
        <v>7662</v>
      </c>
      <c r="U2750" t="s">
        <v>7662</v>
      </c>
      <c r="V2750" t="s">
        <v>7662</v>
      </c>
      <c r="W2750">
        <v>10</v>
      </c>
      <c r="X2750" t="s">
        <v>10412</v>
      </c>
      <c r="Y2750">
        <v>0.40485543242655481</v>
      </c>
      <c r="Z2750" t="str">
        <f>HYPERLINK("Melting_Curves/meltCurve_sp_Q9HCE6_3_ARGAL_HUMAN_.pdf", "Melting_Curves/meltCurve_sp_Q9HCE6_3_ARGAL_HUMAN_.pdf")</f>
        <v>Melting_Curves/meltCurve_sp_Q9HCE6_3_ARGAL_HUMAN_.pdf</v>
      </c>
      <c r="AA2750" t="s">
        <v>14210</v>
      </c>
      <c r="AB2750" t="s">
        <v>17990</v>
      </c>
    </row>
    <row r="2751" spans="1:28" x14ac:dyDescent="0.25">
      <c r="A2751" t="s">
        <v>2755</v>
      </c>
      <c r="B2751">
        <v>0.98876768158843997</v>
      </c>
      <c r="C2751">
        <v>0.95044837651116099</v>
      </c>
      <c r="D2751">
        <v>0.89615987762383997</v>
      </c>
      <c r="E2751">
        <v>0.82204002339834503</v>
      </c>
      <c r="F2751">
        <v>0.36938892864161799</v>
      </c>
      <c r="G2751">
        <v>0.26172947154611598</v>
      </c>
      <c r="H2751">
        <v>0.137595600123918</v>
      </c>
      <c r="I2751">
        <v>7.2238309518954297E-2</v>
      </c>
      <c r="J2751">
        <v>6.9350680196110001E-2</v>
      </c>
      <c r="K2751">
        <v>9.1866329229459004E-2</v>
      </c>
      <c r="L2751">
        <v>1171.8668533807599</v>
      </c>
      <c r="M2751">
        <v>22.504743104356699</v>
      </c>
      <c r="N2751">
        <v>52.506060537705103</v>
      </c>
      <c r="O2751">
        <v>51.666067377919298</v>
      </c>
      <c r="P2751">
        <v>-9.9654066282667098E-2</v>
      </c>
      <c r="Q2751">
        <v>8.4881153384160898E-2</v>
      </c>
      <c r="R2751">
        <v>0.98295296862405002</v>
      </c>
      <c r="S2751" t="s">
        <v>6583</v>
      </c>
      <c r="T2751" t="s">
        <v>7662</v>
      </c>
      <c r="U2751" t="s">
        <v>7662</v>
      </c>
      <c r="V2751" t="s">
        <v>7662</v>
      </c>
      <c r="W2751">
        <v>3</v>
      </c>
      <c r="X2751" t="s">
        <v>10413</v>
      </c>
      <c r="Y2751">
        <v>0.46332859250831132</v>
      </c>
      <c r="Z2751" t="str">
        <f>HYPERLINK("Melting_Curves/meltCurve_sp_Q9HCM4_2_E41L5_HUMAN_.pdf", "Melting_Curves/meltCurve_sp_Q9HCM4_2_E41L5_HUMAN_.pdf")</f>
        <v>Melting_Curves/meltCurve_sp_Q9HCM4_2_E41L5_HUMAN_.pdf</v>
      </c>
      <c r="AA2751" t="s">
        <v>14211</v>
      </c>
      <c r="AB2751" t="s">
        <v>17991</v>
      </c>
    </row>
    <row r="2752" spans="1:28" x14ac:dyDescent="0.25">
      <c r="A2752" t="s">
        <v>2756</v>
      </c>
      <c r="B2752">
        <v>0.98876768158843997</v>
      </c>
      <c r="C2752">
        <v>1.08988718489836</v>
      </c>
      <c r="D2752">
        <v>0.85643787058846299</v>
      </c>
      <c r="E2752">
        <v>0.59930978809706104</v>
      </c>
      <c r="F2752">
        <v>0.45023374199894201</v>
      </c>
      <c r="G2752">
        <v>0.14505951307069201</v>
      </c>
      <c r="H2752">
        <v>5.38042420538134E-2</v>
      </c>
      <c r="I2752">
        <v>5.2283391873207498E-2</v>
      </c>
      <c r="J2752">
        <v>4.6936973380262301E-2</v>
      </c>
      <c r="K2752">
        <v>6.0466189423359601E-2</v>
      </c>
      <c r="L2752">
        <v>921.96703106189898</v>
      </c>
      <c r="M2752">
        <v>17.9195134855993</v>
      </c>
      <c r="N2752">
        <v>51.611048063840201</v>
      </c>
      <c r="O2752">
        <v>50.822536120431302</v>
      </c>
      <c r="P2752">
        <v>-8.5761490785669303E-2</v>
      </c>
      <c r="Q2752">
        <v>2.71169816083618E-2</v>
      </c>
      <c r="R2752">
        <v>0.98596164415956999</v>
      </c>
      <c r="S2752" t="s">
        <v>6584</v>
      </c>
      <c r="T2752" t="s">
        <v>7662</v>
      </c>
      <c r="U2752" t="s">
        <v>7662</v>
      </c>
      <c r="V2752" t="s">
        <v>7662</v>
      </c>
      <c r="W2752">
        <v>2</v>
      </c>
      <c r="X2752" t="s">
        <v>10414</v>
      </c>
      <c r="Y2752">
        <v>0.4148825449785315</v>
      </c>
      <c r="Z2752" t="str">
        <f>HYPERLINK("Melting_Curves/meltCurve_sp_Q9HCN4_3_GPN1_HUMAN_.pdf", "Melting_Curves/meltCurve_sp_Q9HCN4_3_GPN1_HUMAN_.pdf")</f>
        <v>Melting_Curves/meltCurve_sp_Q9HCN4_3_GPN1_HUMAN_.pdf</v>
      </c>
      <c r="AA2752" t="s">
        <v>14212</v>
      </c>
      <c r="AB2752" t="s">
        <v>17992</v>
      </c>
    </row>
    <row r="2753" spans="1:28" x14ac:dyDescent="0.25">
      <c r="A2753" t="s">
        <v>2757</v>
      </c>
      <c r="B2753">
        <v>0.98876768158843997</v>
      </c>
      <c r="C2753">
        <v>0.89685077459496398</v>
      </c>
      <c r="D2753">
        <v>0.90604033417989305</v>
      </c>
      <c r="E2753">
        <v>0.72951648499807997</v>
      </c>
      <c r="F2753">
        <v>0.47323788015747498</v>
      </c>
      <c r="G2753">
        <v>0.38226186355040598</v>
      </c>
      <c r="H2753">
        <v>0.28338311081455098</v>
      </c>
      <c r="I2753">
        <v>0.27992358554661101</v>
      </c>
      <c r="J2753">
        <v>0.35637776733791499</v>
      </c>
      <c r="K2753">
        <v>0.38496079826028801</v>
      </c>
      <c r="L2753">
        <v>1060.8324422793801</v>
      </c>
      <c r="M2753">
        <v>21.034938773987001</v>
      </c>
      <c r="N2753">
        <v>52.994936273593403</v>
      </c>
      <c r="O2753">
        <v>49.982762607324098</v>
      </c>
      <c r="P2753">
        <v>-7.1627441318145899E-2</v>
      </c>
      <c r="Q2753">
        <v>0.31921989914555199</v>
      </c>
      <c r="R2753">
        <v>0.97144095998870394</v>
      </c>
      <c r="S2753" t="s">
        <v>6585</v>
      </c>
      <c r="T2753" t="s">
        <v>7662</v>
      </c>
      <c r="U2753" t="s">
        <v>7662</v>
      </c>
      <c r="V2753" t="s">
        <v>7662</v>
      </c>
      <c r="W2753">
        <v>2</v>
      </c>
      <c r="X2753" t="s">
        <v>10415</v>
      </c>
      <c r="Y2753">
        <v>0.56453485336529308</v>
      </c>
      <c r="Z2753" t="str">
        <f>HYPERLINK("Melting_Curves/meltCurve_sp_Q9HCN8_SDF2L_HUMAN_.pdf", "Melting_Curves/meltCurve_sp_Q9HCN8_SDF2L_HUMAN_.pdf")</f>
        <v>Melting_Curves/meltCurve_sp_Q9HCN8_SDF2L_HUMAN_.pdf</v>
      </c>
      <c r="AA2753" t="s">
        <v>14213</v>
      </c>
      <c r="AB2753" t="s">
        <v>17993</v>
      </c>
    </row>
    <row r="2754" spans="1:28" x14ac:dyDescent="0.25">
      <c r="A2754" t="s">
        <v>2758</v>
      </c>
      <c r="B2754">
        <v>0.98876768158843997</v>
      </c>
      <c r="C2754">
        <v>1.3053613631419501</v>
      </c>
      <c r="D2754">
        <v>0.90500044048358597</v>
      </c>
      <c r="E2754">
        <v>0.87324380270038504</v>
      </c>
      <c r="F2754">
        <v>1.2391892304996801</v>
      </c>
      <c r="G2754">
        <v>0.73726376436020302</v>
      </c>
      <c r="H2754">
        <v>0.601413987023659</v>
      </c>
      <c r="I2754">
        <v>0.63225244132473202</v>
      </c>
      <c r="J2754">
        <v>0.86522046480132597</v>
      </c>
      <c r="K2754">
        <v>0.93838658391641405</v>
      </c>
      <c r="L2754">
        <v>9015.4289831719598</v>
      </c>
      <c r="M2754">
        <v>162.84357870220899</v>
      </c>
      <c r="O2754">
        <v>55.354148173918396</v>
      </c>
      <c r="P2754">
        <v>-0.180551143526751</v>
      </c>
      <c r="Q2754">
        <v>0.75450658097091905</v>
      </c>
      <c r="R2754">
        <v>0.45397923444462801</v>
      </c>
      <c r="S2754" t="s">
        <v>6586</v>
      </c>
      <c r="T2754" t="s">
        <v>7662</v>
      </c>
      <c r="U2754" t="s">
        <v>7662</v>
      </c>
      <c r="V2754" t="s">
        <v>7662</v>
      </c>
      <c r="W2754">
        <v>7</v>
      </c>
      <c r="X2754" t="s">
        <v>10416</v>
      </c>
      <c r="Y2754">
        <v>0.88027597138656721</v>
      </c>
      <c r="Z2754" t="str">
        <f>HYPERLINK("Melting_Curves/meltCurve_sp_Q9HD15_SRA1_HUMAN_.pdf", "Melting_Curves/meltCurve_sp_Q9HD15_SRA1_HUMAN_.pdf")</f>
        <v>Melting_Curves/meltCurve_sp_Q9HD15_SRA1_HUMAN_.pdf</v>
      </c>
      <c r="AA2754" t="s">
        <v>14214</v>
      </c>
      <c r="AB2754" t="s">
        <v>17994</v>
      </c>
    </row>
    <row r="2755" spans="1:28" x14ac:dyDescent="0.25">
      <c r="A2755" t="s">
        <v>2759</v>
      </c>
      <c r="B2755">
        <v>0.98876768158843997</v>
      </c>
      <c r="C2755">
        <v>0.88858689030003402</v>
      </c>
      <c r="D2755">
        <v>0.75058510024548897</v>
      </c>
      <c r="E2755">
        <v>0.30565141900981502</v>
      </c>
      <c r="F2755">
        <v>0.198435436665923</v>
      </c>
      <c r="G2755">
        <v>9.96588054734064E-2</v>
      </c>
      <c r="H2755">
        <v>7.4202642507798802E-2</v>
      </c>
      <c r="I2755">
        <v>6.4441692325481706E-2</v>
      </c>
      <c r="J2755">
        <v>0.119464364232201</v>
      </c>
      <c r="K2755">
        <v>6.13105642452276E-2</v>
      </c>
      <c r="L2755">
        <v>1030.55060315538</v>
      </c>
      <c r="M2755">
        <v>21.567237447853898</v>
      </c>
      <c r="N2755">
        <v>48.154884092498598</v>
      </c>
      <c r="O2755">
        <v>47.378037649035903</v>
      </c>
      <c r="P2755">
        <v>-0.10507969278629101</v>
      </c>
      <c r="Q2755">
        <v>7.6682972426030102E-2</v>
      </c>
      <c r="R2755">
        <v>0.99517088256782105</v>
      </c>
      <c r="S2755" t="s">
        <v>6587</v>
      </c>
      <c r="T2755" t="s">
        <v>7662</v>
      </c>
      <c r="U2755" t="s">
        <v>7662</v>
      </c>
      <c r="V2755" t="s">
        <v>7662</v>
      </c>
      <c r="W2755">
        <v>3</v>
      </c>
      <c r="X2755" t="s">
        <v>10417</v>
      </c>
      <c r="Y2755">
        <v>0.3274419149744594</v>
      </c>
      <c r="Z2755" t="str">
        <f>HYPERLINK("Melting_Curves/meltCurve_sp_Q9HD26_2_GOPC_HUMAN_.pdf", "Melting_Curves/meltCurve_sp_Q9HD26_2_GOPC_HUMAN_.pdf")</f>
        <v>Melting_Curves/meltCurve_sp_Q9HD26_2_GOPC_HUMAN_.pdf</v>
      </c>
      <c r="AA2755" t="s">
        <v>14215</v>
      </c>
      <c r="AB2755" t="s">
        <v>17995</v>
      </c>
    </row>
    <row r="2756" spans="1:28" x14ac:dyDescent="0.25">
      <c r="A2756" t="s">
        <v>2760</v>
      </c>
      <c r="B2756">
        <v>0.98876768158843997</v>
      </c>
      <c r="C2756">
        <v>0.87658037293135305</v>
      </c>
      <c r="D2756">
        <v>1.0687696124652499</v>
      </c>
      <c r="E2756">
        <v>1.0575226746442801</v>
      </c>
      <c r="F2756">
        <v>0.310718180533955</v>
      </c>
      <c r="G2756">
        <v>9.4286480339958095E-2</v>
      </c>
      <c r="H2756">
        <v>2.37373009062769E-2</v>
      </c>
      <c r="I2756">
        <v>1.2968354935134201E-2</v>
      </c>
      <c r="J2756">
        <v>1.7538272531743501E-2</v>
      </c>
      <c r="K2756">
        <v>2.3094326905885799E-2</v>
      </c>
      <c r="L2756">
        <v>13201.567314004</v>
      </c>
      <c r="M2756">
        <v>250</v>
      </c>
      <c r="N2756">
        <v>52.821294745755701</v>
      </c>
      <c r="O2756">
        <v>52.802889250787999</v>
      </c>
      <c r="P2756">
        <v>-1.14301873830125</v>
      </c>
      <c r="Q2756">
        <v>3.4324917733215901E-2</v>
      </c>
      <c r="R2756">
        <v>0.98675764931641397</v>
      </c>
      <c r="S2756" t="s">
        <v>6588</v>
      </c>
      <c r="T2756" t="s">
        <v>7662</v>
      </c>
      <c r="U2756" t="s">
        <v>7662</v>
      </c>
      <c r="V2756" t="s">
        <v>7662</v>
      </c>
      <c r="W2756">
        <v>1</v>
      </c>
      <c r="X2756" t="s">
        <v>10418</v>
      </c>
      <c r="Y2756">
        <v>0.44663758145807919</v>
      </c>
      <c r="Z2756" t="str">
        <f>HYPERLINK("Melting_Curves/meltCurve_sp_Q9HD33_2_RM47_HUMAN_.pdf", "Melting_Curves/meltCurve_sp_Q9HD33_2_RM47_HUMAN_.pdf")</f>
        <v>Melting_Curves/meltCurve_sp_Q9HD33_2_RM47_HUMAN_.pdf</v>
      </c>
      <c r="AA2756" t="s">
        <v>14216</v>
      </c>
      <c r="AB2756" t="s">
        <v>17996</v>
      </c>
    </row>
    <row r="2757" spans="1:28" x14ac:dyDescent="0.25">
      <c r="A2757" t="s">
        <v>2761</v>
      </c>
      <c r="B2757">
        <v>0.98876768158843997</v>
      </c>
      <c r="C2757">
        <v>0.94873335529884795</v>
      </c>
      <c r="D2757">
        <v>1.1227649112696401</v>
      </c>
      <c r="E2757">
        <v>1.0328738344678901</v>
      </c>
      <c r="F2757">
        <v>0.61796397790177804</v>
      </c>
      <c r="G2757">
        <v>0.49408598476142102</v>
      </c>
      <c r="H2757">
        <v>0.445163545002354</v>
      </c>
      <c r="I2757">
        <v>0.28698696690987302</v>
      </c>
      <c r="J2757">
        <v>8.4715402742777696E-2</v>
      </c>
      <c r="K2757">
        <v>6.0352208823977002E-2</v>
      </c>
      <c r="L2757">
        <v>756.56610312834005</v>
      </c>
      <c r="M2757">
        <v>13.055794509496399</v>
      </c>
      <c r="N2757">
        <v>57.948683469222502</v>
      </c>
      <c r="O2757">
        <v>56.6397099915064</v>
      </c>
      <c r="P2757">
        <v>-5.7636514388856398E-2</v>
      </c>
      <c r="Q2757">
        <v>0</v>
      </c>
      <c r="R2757">
        <v>0.93433615620333399</v>
      </c>
      <c r="S2757" t="s">
        <v>6589</v>
      </c>
      <c r="T2757" t="s">
        <v>7662</v>
      </c>
      <c r="U2757" t="s">
        <v>7662</v>
      </c>
      <c r="V2757" t="s">
        <v>7662</v>
      </c>
      <c r="W2757">
        <v>13</v>
      </c>
      <c r="X2757" t="s">
        <v>10419</v>
      </c>
      <c r="Y2757">
        <v>0.61177497022840943</v>
      </c>
      <c r="Z2757" t="str">
        <f>HYPERLINK("Melting_Curves/meltCurve_sp_Q9HD40_SPCS_HUMAN_.pdf", "Melting_Curves/meltCurve_sp_Q9HD40_SPCS_HUMAN_.pdf")</f>
        <v>Melting_Curves/meltCurve_sp_Q9HD40_SPCS_HUMAN_.pdf</v>
      </c>
      <c r="AA2757" t="s">
        <v>14217</v>
      </c>
      <c r="AB2757" t="s">
        <v>17997</v>
      </c>
    </row>
    <row r="2758" spans="1:28" x14ac:dyDescent="0.25">
      <c r="A2758" t="s">
        <v>2762</v>
      </c>
      <c r="B2758">
        <v>0.98876768158843997</v>
      </c>
      <c r="C2758">
        <v>1.00636904579899</v>
      </c>
      <c r="D2758">
        <v>0.85759382374887605</v>
      </c>
      <c r="E2758">
        <v>0.67091031153342395</v>
      </c>
      <c r="F2758">
        <v>0.81494510192705605</v>
      </c>
      <c r="G2758">
        <v>0.52687681235955397</v>
      </c>
      <c r="H2758">
        <v>0.39161357514728401</v>
      </c>
      <c r="I2758">
        <v>0.504325803042173</v>
      </c>
      <c r="J2758">
        <v>0.60266503576566599</v>
      </c>
      <c r="K2758">
        <v>0.62116239169563903</v>
      </c>
      <c r="L2758">
        <v>772.68554097632102</v>
      </c>
      <c r="M2758">
        <v>15.6264463035722</v>
      </c>
      <c r="O2758">
        <v>48.658746773428597</v>
      </c>
      <c r="P2758">
        <v>-3.7947420206178403E-2</v>
      </c>
      <c r="Q2758">
        <v>0.52738712406516597</v>
      </c>
      <c r="R2758">
        <v>0.80405028048067795</v>
      </c>
      <c r="S2758" t="s">
        <v>6590</v>
      </c>
      <c r="T2758" t="s">
        <v>7662</v>
      </c>
      <c r="U2758" t="s">
        <v>7662</v>
      </c>
      <c r="V2758" t="s">
        <v>7662</v>
      </c>
      <c r="W2758">
        <v>4</v>
      </c>
      <c r="X2758" t="s">
        <v>10420</v>
      </c>
      <c r="Y2758">
        <v>0.68686045490771641</v>
      </c>
      <c r="Z2758" t="str">
        <f>HYPERLINK("Melting_Curves/meltCurve_sp_Q9HD42_CHM1A_HUMAN_.pdf", "Melting_Curves/meltCurve_sp_Q9HD42_CHM1A_HUMAN_.pdf")</f>
        <v>Melting_Curves/meltCurve_sp_Q9HD42_CHM1A_HUMAN_.pdf</v>
      </c>
      <c r="AA2758" t="s">
        <v>14218</v>
      </c>
      <c r="AB2758" t="s">
        <v>17998</v>
      </c>
    </row>
    <row r="2759" spans="1:28" x14ac:dyDescent="0.25">
      <c r="A2759" t="s">
        <v>2763</v>
      </c>
      <c r="B2759">
        <v>0.98876768158843997</v>
      </c>
      <c r="C2759">
        <v>1.05231874697075</v>
      </c>
      <c r="D2759">
        <v>0.90212846905592403</v>
      </c>
      <c r="E2759">
        <v>0.83780390072190403</v>
      </c>
      <c r="F2759">
        <v>0.76393427599503505</v>
      </c>
      <c r="G2759">
        <v>0.55122500441462197</v>
      </c>
      <c r="H2759">
        <v>0.4429987301278</v>
      </c>
      <c r="I2759">
        <v>0.48913195547673899</v>
      </c>
      <c r="J2759">
        <v>0.69208036231984105</v>
      </c>
      <c r="K2759">
        <v>0.67331708925313705</v>
      </c>
      <c r="L2759">
        <v>1223.71884033586</v>
      </c>
      <c r="M2759">
        <v>23.860591902543899</v>
      </c>
      <c r="O2759">
        <v>50.930024861974502</v>
      </c>
      <c r="P2759">
        <v>-5.0651449674708998E-2</v>
      </c>
      <c r="Q2759">
        <v>0.56754838946747399</v>
      </c>
      <c r="R2759">
        <v>0.83122529417034996</v>
      </c>
      <c r="S2759" t="s">
        <v>6591</v>
      </c>
      <c r="T2759" t="s">
        <v>7662</v>
      </c>
      <c r="U2759" t="s">
        <v>7662</v>
      </c>
      <c r="V2759" t="s">
        <v>7662</v>
      </c>
      <c r="W2759">
        <v>3</v>
      </c>
      <c r="X2759" t="s">
        <v>10421</v>
      </c>
      <c r="Y2759">
        <v>0.73453095679295854</v>
      </c>
      <c r="Z2759" t="str">
        <f>HYPERLINK("Melting_Curves/meltCurve_sp_Q9HD89_RETN_HUMAN_.pdf", "Melting_Curves/meltCurve_sp_Q9HD89_RETN_HUMAN_.pdf")</f>
        <v>Melting_Curves/meltCurve_sp_Q9HD89_RETN_HUMAN_.pdf</v>
      </c>
      <c r="AA2759" t="s">
        <v>14219</v>
      </c>
      <c r="AB2759" t="s">
        <v>17999</v>
      </c>
    </row>
    <row r="2760" spans="1:28" x14ac:dyDescent="0.25">
      <c r="A2760" t="s">
        <v>2764</v>
      </c>
      <c r="B2760">
        <v>0.98876768158843997</v>
      </c>
      <c r="C2760">
        <v>1.1211003494274201</v>
      </c>
      <c r="D2760">
        <v>0.97430449561736698</v>
      </c>
      <c r="E2760">
        <v>0.86113838678591803</v>
      </c>
      <c r="F2760">
        <v>0.97199922203248001</v>
      </c>
      <c r="G2760">
        <v>0.56826256584002599</v>
      </c>
      <c r="H2760">
        <v>0.164677779558284</v>
      </c>
      <c r="I2760">
        <v>0.26607878026715998</v>
      </c>
      <c r="J2760">
        <v>0.12745886697911099</v>
      </c>
      <c r="K2760">
        <v>6.5898932956933595E-2</v>
      </c>
      <c r="L2760">
        <v>2041.75776553634</v>
      </c>
      <c r="M2760">
        <v>35.823310717264697</v>
      </c>
      <c r="N2760">
        <v>57.489731445915297</v>
      </c>
      <c r="O2760">
        <v>56.818494846294797</v>
      </c>
      <c r="P2760">
        <v>-0.136722621055787</v>
      </c>
      <c r="Q2760">
        <v>0.132592895646199</v>
      </c>
      <c r="R2760">
        <v>0.96576918414115898</v>
      </c>
      <c r="S2760" t="s">
        <v>6592</v>
      </c>
      <c r="T2760" t="s">
        <v>7662</v>
      </c>
      <c r="U2760" t="s">
        <v>7662</v>
      </c>
      <c r="V2760" t="s">
        <v>7662</v>
      </c>
      <c r="W2760">
        <v>1</v>
      </c>
      <c r="X2760" t="s">
        <v>10422</v>
      </c>
      <c r="Y2760">
        <v>0.62816077011504012</v>
      </c>
      <c r="Z2760" t="str">
        <f>HYPERLINK("Melting_Curves/meltCurve_sp_Q9HDC5_JPH1_HUMAN_.pdf", "Melting_Curves/meltCurve_sp_Q9HDC5_JPH1_HUMAN_.pdf")</f>
        <v>Melting_Curves/meltCurve_sp_Q9HDC5_JPH1_HUMAN_.pdf</v>
      </c>
      <c r="AA2760" t="s">
        <v>14220</v>
      </c>
      <c r="AB2760" t="s">
        <v>18000</v>
      </c>
    </row>
    <row r="2761" spans="1:28" x14ac:dyDescent="0.25">
      <c r="A2761" t="s">
        <v>2765</v>
      </c>
      <c r="B2761">
        <v>0.98876768158843997</v>
      </c>
      <c r="C2761">
        <v>1.1076619062573001</v>
      </c>
      <c r="D2761">
        <v>0.86667918074327399</v>
      </c>
      <c r="E2761">
        <v>0.66490374651454798</v>
      </c>
      <c r="F2761">
        <v>0.80682309360837301</v>
      </c>
      <c r="G2761">
        <v>0.50254452198812805</v>
      </c>
      <c r="H2761">
        <v>0.32655935701199301</v>
      </c>
      <c r="I2761">
        <v>0.38636473522054898</v>
      </c>
      <c r="J2761">
        <v>0.44324750730518497</v>
      </c>
      <c r="K2761">
        <v>0.521972591910837</v>
      </c>
      <c r="L2761">
        <v>801.76440132040295</v>
      </c>
      <c r="M2761">
        <v>15.5421654245363</v>
      </c>
      <c r="N2761">
        <v>57.854873596211903</v>
      </c>
      <c r="O2761">
        <v>50.755032772807297</v>
      </c>
      <c r="P2761">
        <v>-4.5387070493824101E-2</v>
      </c>
      <c r="Q2761">
        <v>0.40718181684717802</v>
      </c>
      <c r="R2761">
        <v>0.86078584339294495</v>
      </c>
      <c r="S2761" t="s">
        <v>6593</v>
      </c>
      <c r="T2761" t="s">
        <v>7662</v>
      </c>
      <c r="U2761" t="s">
        <v>7662</v>
      </c>
      <c r="V2761" t="s">
        <v>7662</v>
      </c>
      <c r="W2761">
        <v>14</v>
      </c>
      <c r="X2761" t="s">
        <v>10423</v>
      </c>
      <c r="Y2761">
        <v>0.64883517556991077</v>
      </c>
      <c r="Z2761" t="str">
        <f>HYPERLINK("Melting_Curves/meltCurve_sp_Q9NP61_ARFG3_HUMAN_.pdf", "Melting_Curves/meltCurve_sp_Q9NP61_ARFG3_HUMAN_.pdf")</f>
        <v>Melting_Curves/meltCurve_sp_Q9NP61_ARFG3_HUMAN_.pdf</v>
      </c>
      <c r="AA2761" t="s">
        <v>14221</v>
      </c>
      <c r="AB2761" t="s">
        <v>18001</v>
      </c>
    </row>
    <row r="2762" spans="1:28" x14ac:dyDescent="0.25">
      <c r="A2762" t="s">
        <v>2766</v>
      </c>
      <c r="B2762">
        <v>0.98876768158843997</v>
      </c>
      <c r="C2762">
        <v>0.81881346433496105</v>
      </c>
      <c r="D2762">
        <v>0.82085883537544801</v>
      </c>
      <c r="E2762">
        <v>0.682377830375413</v>
      </c>
      <c r="F2762">
        <v>0.36784959917723298</v>
      </c>
      <c r="G2762">
        <v>0.1604583297014</v>
      </c>
      <c r="H2762">
        <v>0.102933773291276</v>
      </c>
      <c r="I2762">
        <v>0.12224839935656601</v>
      </c>
      <c r="J2762">
        <v>0.14513606417377301</v>
      </c>
      <c r="K2762">
        <v>0.18265369872769899</v>
      </c>
      <c r="L2762">
        <v>812.184098033331</v>
      </c>
      <c r="M2762">
        <v>16.091394403564301</v>
      </c>
      <c r="N2762">
        <v>51.205238506697498</v>
      </c>
      <c r="O2762">
        <v>49.712973380593702</v>
      </c>
      <c r="P2762">
        <v>-7.2612249407209103E-2</v>
      </c>
      <c r="Q2762">
        <v>0.10275154981500401</v>
      </c>
      <c r="R2762">
        <v>0.96335018075280499</v>
      </c>
      <c r="S2762" t="s">
        <v>6594</v>
      </c>
      <c r="T2762" t="s">
        <v>7662</v>
      </c>
      <c r="U2762" t="s">
        <v>7662</v>
      </c>
      <c r="V2762" t="s">
        <v>7662</v>
      </c>
      <c r="W2762">
        <v>4</v>
      </c>
      <c r="X2762" t="s">
        <v>10424</v>
      </c>
      <c r="Y2762">
        <v>0.43463131643560821</v>
      </c>
      <c r="Z2762" t="str">
        <f>HYPERLINK("Melting_Curves/meltCurve_sp_Q9NP71_4_MLXPL_HUMAN_.pdf", "Melting_Curves/meltCurve_sp_Q9NP71_4_MLXPL_HUMAN_.pdf")</f>
        <v>Melting_Curves/meltCurve_sp_Q9NP71_4_MLXPL_HUMAN_.pdf</v>
      </c>
      <c r="AA2762" t="s">
        <v>14222</v>
      </c>
      <c r="AB2762" t="s">
        <v>18002</v>
      </c>
    </row>
    <row r="2763" spans="1:28" x14ac:dyDescent="0.25">
      <c r="A2763" t="s">
        <v>2767</v>
      </c>
      <c r="B2763">
        <v>0.98876768158843997</v>
      </c>
      <c r="C2763">
        <v>0.91552159049079196</v>
      </c>
      <c r="D2763">
        <v>0.91275774778214702</v>
      </c>
      <c r="E2763">
        <v>0.70303415313983497</v>
      </c>
      <c r="F2763">
        <v>0.48686205464756499</v>
      </c>
      <c r="G2763">
        <v>0.30992267781115501</v>
      </c>
      <c r="H2763">
        <v>0.16986800311262601</v>
      </c>
      <c r="I2763">
        <v>0.127282763913249</v>
      </c>
      <c r="J2763">
        <v>0.123053172016653</v>
      </c>
      <c r="K2763">
        <v>6.0659402044052603E-2</v>
      </c>
      <c r="L2763">
        <v>722.22778020989597</v>
      </c>
      <c r="M2763">
        <v>13.703548087038399</v>
      </c>
      <c r="N2763">
        <v>53.108881462659298</v>
      </c>
      <c r="O2763">
        <v>51.619373557157402</v>
      </c>
      <c r="P2763">
        <v>-6.3083233804174105E-2</v>
      </c>
      <c r="Q2763">
        <v>4.9633396956722503E-2</v>
      </c>
      <c r="R2763">
        <v>0.99646336397482205</v>
      </c>
      <c r="S2763" t="s">
        <v>6595</v>
      </c>
      <c r="T2763" t="s">
        <v>7662</v>
      </c>
      <c r="U2763" t="s">
        <v>7662</v>
      </c>
      <c r="V2763" t="s">
        <v>7662</v>
      </c>
      <c r="W2763">
        <v>7</v>
      </c>
      <c r="X2763" t="s">
        <v>10425</v>
      </c>
      <c r="Y2763">
        <v>0.47552390128371103</v>
      </c>
      <c r="Z2763" t="str">
        <f>HYPERLINK("Melting_Curves/meltCurve_sp_Q9NP72_RAB18_HUMAN_.pdf", "Melting_Curves/meltCurve_sp_Q9NP72_RAB18_HUMAN_.pdf")</f>
        <v>Melting_Curves/meltCurve_sp_Q9NP72_RAB18_HUMAN_.pdf</v>
      </c>
      <c r="AA2763" t="s">
        <v>14223</v>
      </c>
      <c r="AB2763" t="s">
        <v>18003</v>
      </c>
    </row>
    <row r="2764" spans="1:28" x14ac:dyDescent="0.25">
      <c r="A2764" t="s">
        <v>2768</v>
      </c>
      <c r="B2764">
        <v>0.98876768158843997</v>
      </c>
      <c r="C2764">
        <v>1.1588973878276201</v>
      </c>
      <c r="D2764">
        <v>0.90275877969597496</v>
      </c>
      <c r="E2764">
        <v>0.75119778551130301</v>
      </c>
      <c r="F2764">
        <v>1.02484266018369</v>
      </c>
      <c r="G2764">
        <v>0.73299105103173301</v>
      </c>
      <c r="H2764">
        <v>0.61482293462700799</v>
      </c>
      <c r="I2764">
        <v>0.69996914248114595</v>
      </c>
      <c r="J2764">
        <v>0.92591530607608796</v>
      </c>
      <c r="K2764">
        <v>1.02537925288683</v>
      </c>
      <c r="L2764">
        <v>11489.7051999698</v>
      </c>
      <c r="M2764">
        <v>250</v>
      </c>
      <c r="O2764">
        <v>45.955879993480004</v>
      </c>
      <c r="P2764">
        <v>-0.23797706309392699</v>
      </c>
      <c r="Q2764">
        <v>0.82501687552555103</v>
      </c>
      <c r="R2764">
        <v>0.311946645509937</v>
      </c>
      <c r="S2764" t="s">
        <v>6596</v>
      </c>
      <c r="T2764" t="s">
        <v>7662</v>
      </c>
      <c r="U2764" t="s">
        <v>7662</v>
      </c>
      <c r="V2764" t="s">
        <v>7662</v>
      </c>
      <c r="W2764">
        <v>14</v>
      </c>
      <c r="X2764" t="s">
        <v>10426</v>
      </c>
      <c r="Y2764">
        <v>0.8597874252002925</v>
      </c>
      <c r="Z2764" t="str">
        <f>HYPERLINK("Melting_Curves/meltCurve_sp_Q9NP74_PALMD_HUMAN_.pdf", "Melting_Curves/meltCurve_sp_Q9NP74_PALMD_HUMAN_.pdf")</f>
        <v>Melting_Curves/meltCurve_sp_Q9NP74_PALMD_HUMAN_.pdf</v>
      </c>
      <c r="AA2764" t="s">
        <v>14224</v>
      </c>
      <c r="AB2764" t="s">
        <v>18004</v>
      </c>
    </row>
    <row r="2765" spans="1:28" x14ac:dyDescent="0.25">
      <c r="A2765" t="s">
        <v>2769</v>
      </c>
      <c r="B2765">
        <v>0.98876768158843997</v>
      </c>
      <c r="C2765">
        <v>1.0719531550762</v>
      </c>
      <c r="D2765">
        <v>0.90879350055778196</v>
      </c>
      <c r="E2765">
        <v>0.68922744410396997</v>
      </c>
      <c r="F2765">
        <v>0.33963358143889499</v>
      </c>
      <c r="G2765">
        <v>0.15909548945093099</v>
      </c>
      <c r="H2765">
        <v>0.139254050293597</v>
      </c>
      <c r="I2765">
        <v>0.111981433149245</v>
      </c>
      <c r="J2765">
        <v>0.18113171669046199</v>
      </c>
      <c r="K2765">
        <v>0.101941007108885</v>
      </c>
      <c r="L2765">
        <v>1420.6996439647</v>
      </c>
      <c r="M2765">
        <v>27.898370364557099</v>
      </c>
      <c r="N2765">
        <v>51.4667407899355</v>
      </c>
      <c r="O2765">
        <v>50.664616557584402</v>
      </c>
      <c r="P2765">
        <v>-0.120122293595188</v>
      </c>
      <c r="Q2765">
        <v>0.12741901778553399</v>
      </c>
      <c r="R2765">
        <v>0.991254538849353</v>
      </c>
      <c r="S2765" t="s">
        <v>6597</v>
      </c>
      <c r="T2765" t="s">
        <v>7662</v>
      </c>
      <c r="U2765" t="s">
        <v>7662</v>
      </c>
      <c r="V2765" t="s">
        <v>7662</v>
      </c>
      <c r="W2765">
        <v>3</v>
      </c>
      <c r="X2765" t="s">
        <v>10427</v>
      </c>
      <c r="Y2765">
        <v>0.45149408561020737</v>
      </c>
      <c r="Z2765" t="str">
        <f>HYPERLINK("Melting_Curves/meltCurve_sp_Q9NP77_SSU72_HUMAN_.pdf", "Melting_Curves/meltCurve_sp_Q9NP77_SSU72_HUMAN_.pdf")</f>
        <v>Melting_Curves/meltCurve_sp_Q9NP77_SSU72_HUMAN_.pdf</v>
      </c>
      <c r="AA2765" t="s">
        <v>14225</v>
      </c>
      <c r="AB2765" t="s">
        <v>18005</v>
      </c>
    </row>
    <row r="2766" spans="1:28" x14ac:dyDescent="0.25">
      <c r="A2766" t="s">
        <v>2770</v>
      </c>
      <c r="B2766">
        <v>0.98876768158843997</v>
      </c>
      <c r="C2766">
        <v>1.0349723388085399</v>
      </c>
      <c r="D2766">
        <v>0.86288853773042196</v>
      </c>
      <c r="E2766">
        <v>0.67945534916314299</v>
      </c>
      <c r="F2766">
        <v>0.47239986636988601</v>
      </c>
      <c r="G2766">
        <v>0.214316603289682</v>
      </c>
      <c r="H2766">
        <v>0.125514623851743</v>
      </c>
      <c r="I2766">
        <v>0.11926907588359301</v>
      </c>
      <c r="J2766">
        <v>0.16706226213741901</v>
      </c>
      <c r="K2766">
        <v>0.14358244313896901</v>
      </c>
      <c r="L2766">
        <v>970.17026648972796</v>
      </c>
      <c r="M2766">
        <v>18.853421299149499</v>
      </c>
      <c r="N2766">
        <v>52.200977198708998</v>
      </c>
      <c r="O2766">
        <v>50.8901312438989</v>
      </c>
      <c r="P2766">
        <v>-8.1730019618274405E-2</v>
      </c>
      <c r="Q2766">
        <v>0.11759664807132</v>
      </c>
      <c r="R2766">
        <v>0.99149266802767899</v>
      </c>
      <c r="S2766" t="s">
        <v>6598</v>
      </c>
      <c r="T2766" t="s">
        <v>7662</v>
      </c>
      <c r="U2766" t="s">
        <v>7662</v>
      </c>
      <c r="V2766" t="s">
        <v>7662</v>
      </c>
      <c r="W2766">
        <v>6</v>
      </c>
      <c r="X2766" t="s">
        <v>10428</v>
      </c>
      <c r="Y2766">
        <v>0.4682514712035018</v>
      </c>
      <c r="Z2766" t="str">
        <f>HYPERLINK("Melting_Curves/meltCurve_sp_Q9NP79_VTA1_HUMAN_.pdf", "Melting_Curves/meltCurve_sp_Q9NP79_VTA1_HUMAN_.pdf")</f>
        <v>Melting_Curves/meltCurve_sp_Q9NP79_VTA1_HUMAN_.pdf</v>
      </c>
      <c r="AA2766" t="s">
        <v>14226</v>
      </c>
      <c r="AB2766" t="s">
        <v>18006</v>
      </c>
    </row>
    <row r="2767" spans="1:28" x14ac:dyDescent="0.25">
      <c r="A2767" t="s">
        <v>2771</v>
      </c>
      <c r="B2767">
        <v>0.98876768158843997</v>
      </c>
      <c r="C2767">
        <v>1.1360348761873</v>
      </c>
      <c r="D2767">
        <v>0.99014768101361605</v>
      </c>
      <c r="E2767">
        <v>0.80494201137005195</v>
      </c>
      <c r="F2767">
        <v>1.0466455933977199</v>
      </c>
      <c r="G2767">
        <v>0.73107633661254301</v>
      </c>
      <c r="H2767">
        <v>0.50674283089539496</v>
      </c>
      <c r="I2767">
        <v>0.569491091270517</v>
      </c>
      <c r="J2767">
        <v>0.67325458084113299</v>
      </c>
      <c r="K2767">
        <v>0.60497954355161299</v>
      </c>
      <c r="L2767">
        <v>14213.7838443662</v>
      </c>
      <c r="M2767">
        <v>250</v>
      </c>
      <c r="O2767">
        <v>56.851499517087099</v>
      </c>
      <c r="P2767">
        <v>-0.45225611008317801</v>
      </c>
      <c r="Q2767">
        <v>0.58861701011244805</v>
      </c>
      <c r="R2767">
        <v>0.83429679368670095</v>
      </c>
      <c r="S2767" t="s">
        <v>6599</v>
      </c>
      <c r="T2767" t="s">
        <v>7662</v>
      </c>
      <c r="U2767" t="s">
        <v>7662</v>
      </c>
      <c r="V2767" t="s">
        <v>7662</v>
      </c>
      <c r="W2767">
        <v>1</v>
      </c>
      <c r="X2767" t="s">
        <v>10429</v>
      </c>
      <c r="Y2767">
        <v>0.81978859074157506</v>
      </c>
      <c r="Z2767" t="str">
        <f>HYPERLINK("Melting_Curves/meltCurve_sp_Q9NP97_DLRB1_HUMAN_.pdf", "Melting_Curves/meltCurve_sp_Q9NP97_DLRB1_HUMAN_.pdf")</f>
        <v>Melting_Curves/meltCurve_sp_Q9NP97_DLRB1_HUMAN_.pdf</v>
      </c>
      <c r="AA2767" t="s">
        <v>14227</v>
      </c>
      <c r="AB2767" t="s">
        <v>18007</v>
      </c>
    </row>
    <row r="2768" spans="1:28" x14ac:dyDescent="0.25">
      <c r="A2768" t="s">
        <v>2772</v>
      </c>
      <c r="B2768">
        <v>0.98876768158843997</v>
      </c>
      <c r="C2768">
        <v>1.08285987448105</v>
      </c>
      <c r="D2768">
        <v>0.94918488256844702</v>
      </c>
      <c r="E2768">
        <v>0.78568257421417897</v>
      </c>
      <c r="F2768">
        <v>0.92003028484699401</v>
      </c>
      <c r="G2768">
        <v>0.56800612610597701</v>
      </c>
      <c r="H2768">
        <v>0.46229273046518898</v>
      </c>
      <c r="I2768">
        <v>0.497850503906694</v>
      </c>
      <c r="J2768">
        <v>0.77843462601049696</v>
      </c>
      <c r="K2768">
        <v>0.712315580392476</v>
      </c>
      <c r="L2768">
        <v>1188.8032879551299</v>
      </c>
      <c r="M2768">
        <v>22.790522956922899</v>
      </c>
      <c r="O2768">
        <v>51.765575552057904</v>
      </c>
      <c r="P2768">
        <v>-4.3534791727192899E-2</v>
      </c>
      <c r="Q2768">
        <v>0.60447439962652605</v>
      </c>
      <c r="R2768">
        <v>0.68875529277862801</v>
      </c>
      <c r="S2768" t="s">
        <v>6600</v>
      </c>
      <c r="T2768" t="s">
        <v>7662</v>
      </c>
      <c r="U2768" t="s">
        <v>7662</v>
      </c>
      <c r="V2768" t="s">
        <v>7662</v>
      </c>
      <c r="W2768">
        <v>5</v>
      </c>
      <c r="X2768" t="s">
        <v>10430</v>
      </c>
      <c r="Y2768">
        <v>0.76913196566973951</v>
      </c>
      <c r="Z2768" t="str">
        <f>HYPERLINK("Melting_Curves/meltCurve_sp_Q9NPA8_2_ENY2_HUMAN_.pdf", "Melting_Curves/meltCurve_sp_Q9NPA8_2_ENY2_HUMAN_.pdf")</f>
        <v>Melting_Curves/meltCurve_sp_Q9NPA8_2_ENY2_HUMAN_.pdf</v>
      </c>
      <c r="AA2768" t="s">
        <v>14228</v>
      </c>
      <c r="AB2768" t="s">
        <v>18008</v>
      </c>
    </row>
    <row r="2769" spans="1:28" x14ac:dyDescent="0.25">
      <c r="A2769" t="s">
        <v>2773</v>
      </c>
      <c r="B2769">
        <v>0.98876768158843997</v>
      </c>
      <c r="C2769">
        <v>1.0141603951320799</v>
      </c>
      <c r="D2769">
        <v>1.05475090203813</v>
      </c>
      <c r="E2769">
        <v>0.93731218229511604</v>
      </c>
      <c r="F2769">
        <v>0.52213866562959599</v>
      </c>
      <c r="G2769">
        <v>0.270043728540869</v>
      </c>
      <c r="H2769">
        <v>0.21264181209614799</v>
      </c>
      <c r="I2769">
        <v>0.13516444317078799</v>
      </c>
      <c r="J2769">
        <v>9.4965039694964407E-2</v>
      </c>
      <c r="K2769">
        <v>6.4017495152256104E-2</v>
      </c>
      <c r="L2769">
        <v>1602.7436127945</v>
      </c>
      <c r="M2769">
        <v>30.1934232030823</v>
      </c>
      <c r="N2769">
        <v>53.599517871481503</v>
      </c>
      <c r="O2769">
        <v>52.8513201757807</v>
      </c>
      <c r="P2769">
        <v>-0.124781582806787</v>
      </c>
      <c r="Q2769">
        <v>0.12632238278897201</v>
      </c>
      <c r="R2769">
        <v>0.98641623446328297</v>
      </c>
      <c r="S2769" t="s">
        <v>6601</v>
      </c>
      <c r="T2769" t="s">
        <v>7662</v>
      </c>
      <c r="U2769" t="s">
        <v>7662</v>
      </c>
      <c r="V2769" t="s">
        <v>7662</v>
      </c>
      <c r="W2769">
        <v>2</v>
      </c>
      <c r="X2769" t="s">
        <v>10431</v>
      </c>
      <c r="Y2769">
        <v>0.51292120323252444</v>
      </c>
      <c r="Z2769" t="str">
        <f>HYPERLINK("Melting_Curves/meltCurve_sp_Q9NPD3_EXOS4_HUMAN_.pdf", "Melting_Curves/meltCurve_sp_Q9NPD3_EXOS4_HUMAN_.pdf")</f>
        <v>Melting_Curves/meltCurve_sp_Q9NPD3_EXOS4_HUMAN_.pdf</v>
      </c>
      <c r="AA2769" t="s">
        <v>14229</v>
      </c>
      <c r="AB2769" t="s">
        <v>18009</v>
      </c>
    </row>
    <row r="2770" spans="1:28" x14ac:dyDescent="0.25">
      <c r="A2770" t="s">
        <v>2774</v>
      </c>
      <c r="B2770">
        <v>0.98876768158843997</v>
      </c>
      <c r="C2770">
        <v>0.912628888676286</v>
      </c>
      <c r="D2770">
        <v>0.87555886410451</v>
      </c>
      <c r="E2770">
        <v>0.64170615103302298</v>
      </c>
      <c r="F2770">
        <v>0.32935869345067198</v>
      </c>
      <c r="G2770">
        <v>0.18044372855733401</v>
      </c>
      <c r="H2770">
        <v>8.0841141579342399E-2</v>
      </c>
      <c r="I2770">
        <v>6.3004660964524006E-2</v>
      </c>
      <c r="J2770">
        <v>5.7464426770851097E-2</v>
      </c>
      <c r="K2770">
        <v>3.00479608787226E-2</v>
      </c>
      <c r="L2770">
        <v>885.49230135670598</v>
      </c>
      <c r="M2770">
        <v>17.337889986881301</v>
      </c>
      <c r="N2770">
        <v>51.260980060571598</v>
      </c>
      <c r="O2770">
        <v>50.407762983121799</v>
      </c>
      <c r="P2770">
        <v>-8.3339964618016293E-2</v>
      </c>
      <c r="Q2770">
        <v>3.0853054553570201E-2</v>
      </c>
      <c r="R2770">
        <v>0.99571055762763805</v>
      </c>
      <c r="S2770" t="s">
        <v>6602</v>
      </c>
      <c r="T2770" t="s">
        <v>7662</v>
      </c>
      <c r="U2770" t="s">
        <v>7662</v>
      </c>
      <c r="V2770" t="s">
        <v>7662</v>
      </c>
      <c r="W2770">
        <v>8</v>
      </c>
      <c r="X2770" t="s">
        <v>10432</v>
      </c>
      <c r="Y2770">
        <v>0.40599743976207892</v>
      </c>
      <c r="Z2770" t="str">
        <f>HYPERLINK("Melting_Curves/meltCurve_sp_Q9NPF4_OSGEP_HUMAN_.pdf", "Melting_Curves/meltCurve_sp_Q9NPF4_OSGEP_HUMAN_.pdf")</f>
        <v>Melting_Curves/meltCurve_sp_Q9NPF4_OSGEP_HUMAN_.pdf</v>
      </c>
      <c r="AA2770" t="s">
        <v>14230</v>
      </c>
      <c r="AB2770" t="s">
        <v>17921</v>
      </c>
    </row>
    <row r="2771" spans="1:28" x14ac:dyDescent="0.25">
      <c r="A2771" t="s">
        <v>2775</v>
      </c>
      <c r="B2771">
        <v>0.98876768158843997</v>
      </c>
      <c r="C2771">
        <v>1.0487926194828501</v>
      </c>
      <c r="D2771">
        <v>0.88803645757840899</v>
      </c>
      <c r="E2771">
        <v>0.82670747128043898</v>
      </c>
      <c r="F2771">
        <v>0.76792757192485295</v>
      </c>
      <c r="G2771">
        <v>0.46011524332312198</v>
      </c>
      <c r="H2771">
        <v>0.14159266199336501</v>
      </c>
      <c r="I2771">
        <v>7.2194739592028795E-2</v>
      </c>
      <c r="J2771">
        <v>8.5410180548023198E-2</v>
      </c>
      <c r="K2771">
        <v>6.3659974087298302E-2</v>
      </c>
      <c r="L2771">
        <v>960.91354659957904</v>
      </c>
      <c r="M2771">
        <v>17.173384374283899</v>
      </c>
      <c r="N2771">
        <v>55.9807174005985</v>
      </c>
      <c r="O2771">
        <v>55.211470152158597</v>
      </c>
      <c r="P2771">
        <v>-7.7444720724653901E-2</v>
      </c>
      <c r="Q2771">
        <v>4.1371035040716903E-3</v>
      </c>
      <c r="R2771">
        <v>0.98468719734308496</v>
      </c>
      <c r="S2771" t="s">
        <v>6603</v>
      </c>
      <c r="T2771" t="s">
        <v>7662</v>
      </c>
      <c r="U2771" t="s">
        <v>7662</v>
      </c>
      <c r="V2771" t="s">
        <v>7662</v>
      </c>
      <c r="W2771">
        <v>3</v>
      </c>
      <c r="X2771" t="s">
        <v>10433</v>
      </c>
      <c r="Y2771">
        <v>0.54925434631318615</v>
      </c>
      <c r="Z2771" t="str">
        <f>HYPERLINK("Melting_Curves/meltCurve_sp_Q9NPH0_PPA6_HUMAN_.pdf", "Melting_Curves/meltCurve_sp_Q9NPH0_PPA6_HUMAN_.pdf")</f>
        <v>Melting_Curves/meltCurve_sp_Q9NPH0_PPA6_HUMAN_.pdf</v>
      </c>
      <c r="AA2771" t="s">
        <v>14231</v>
      </c>
      <c r="AB2771" t="s">
        <v>18010</v>
      </c>
    </row>
    <row r="2772" spans="1:28" x14ac:dyDescent="0.25">
      <c r="A2772" t="s">
        <v>2776</v>
      </c>
      <c r="B2772">
        <v>0.98876768158843997</v>
      </c>
      <c r="C2772">
        <v>1.0301074988353001</v>
      </c>
      <c r="D2772">
        <v>0.89714237553862197</v>
      </c>
      <c r="E2772">
        <v>0.85744905838238705</v>
      </c>
      <c r="F2772">
        <v>0.82833371325244098</v>
      </c>
      <c r="G2772">
        <v>0.58704510788237896</v>
      </c>
      <c r="H2772">
        <v>0.385979704662475</v>
      </c>
      <c r="I2772">
        <v>0.21172320130028599</v>
      </c>
      <c r="J2772">
        <v>7.6649921675930696E-2</v>
      </c>
      <c r="K2772">
        <v>5.09186236910577E-2</v>
      </c>
      <c r="L2772">
        <v>844.82752307630096</v>
      </c>
      <c r="M2772">
        <v>14.5015048713369</v>
      </c>
      <c r="N2772">
        <v>58.257921030461098</v>
      </c>
      <c r="O2772">
        <v>57.183689768936901</v>
      </c>
      <c r="P2772">
        <v>-6.3406091512957896E-2</v>
      </c>
      <c r="Q2772">
        <v>0</v>
      </c>
      <c r="R2772">
        <v>0.98644092998326005</v>
      </c>
      <c r="S2772" t="s">
        <v>6604</v>
      </c>
      <c r="T2772" t="s">
        <v>7662</v>
      </c>
      <c r="U2772" t="s">
        <v>7662</v>
      </c>
      <c r="V2772" t="s">
        <v>7662</v>
      </c>
      <c r="W2772">
        <v>5</v>
      </c>
      <c r="X2772" t="s">
        <v>10434</v>
      </c>
      <c r="Y2772">
        <v>0.62131742176394644</v>
      </c>
      <c r="Z2772" t="str">
        <f>HYPERLINK("Melting_Curves/meltCurve_sp_Q9NPJ3_ACO13_HUMAN_.pdf", "Melting_Curves/meltCurve_sp_Q9NPJ3_ACO13_HUMAN_.pdf")</f>
        <v>Melting_Curves/meltCurve_sp_Q9NPJ3_ACO13_HUMAN_.pdf</v>
      </c>
      <c r="AA2772" t="s">
        <v>14232</v>
      </c>
      <c r="AB2772" t="s">
        <v>18011</v>
      </c>
    </row>
    <row r="2773" spans="1:28" x14ac:dyDescent="0.25">
      <c r="A2773" t="s">
        <v>2777</v>
      </c>
      <c r="B2773">
        <v>0.98876768158843997</v>
      </c>
      <c r="C2773">
        <v>1.0208865955036199</v>
      </c>
      <c r="D2773">
        <v>0.90316169356476494</v>
      </c>
      <c r="E2773">
        <v>0.70817401414479697</v>
      </c>
      <c r="F2773">
        <v>0.23128863432153901</v>
      </c>
      <c r="G2773">
        <v>0.120204899553123</v>
      </c>
      <c r="H2773">
        <v>7.66715961170088E-2</v>
      </c>
      <c r="I2773">
        <v>7.1835884985948104E-2</v>
      </c>
      <c r="J2773">
        <v>8.9857013008050199E-2</v>
      </c>
      <c r="K2773">
        <v>7.5473985474813293E-2</v>
      </c>
      <c r="L2773">
        <v>1907.4013761588001</v>
      </c>
      <c r="M2773">
        <v>37.470393303778501</v>
      </c>
      <c r="N2773">
        <v>51.144394893255303</v>
      </c>
      <c r="O2773">
        <v>50.759897311753697</v>
      </c>
      <c r="P2773">
        <v>-0.169659639094525</v>
      </c>
      <c r="Q2773">
        <v>8.0673527921775998E-2</v>
      </c>
      <c r="R2773">
        <v>0.99466373805131503</v>
      </c>
      <c r="S2773" t="s">
        <v>6605</v>
      </c>
      <c r="T2773" t="s">
        <v>7662</v>
      </c>
      <c r="U2773" t="s">
        <v>7662</v>
      </c>
      <c r="V2773" t="s">
        <v>7662</v>
      </c>
      <c r="W2773">
        <v>7</v>
      </c>
      <c r="X2773" t="s">
        <v>10435</v>
      </c>
      <c r="Y2773">
        <v>0.41851473998600858</v>
      </c>
      <c r="Z2773" t="str">
        <f>HYPERLINK("Melting_Curves/meltCurve_sp_Q9NPQ8_2_RIC8A_HUMAN_.pdf", "Melting_Curves/meltCurve_sp_Q9NPQ8_2_RIC8A_HUMAN_.pdf")</f>
        <v>Melting_Curves/meltCurve_sp_Q9NPQ8_2_RIC8A_HUMAN_.pdf</v>
      </c>
      <c r="AA2773" t="s">
        <v>14233</v>
      </c>
      <c r="AB2773" t="s">
        <v>18012</v>
      </c>
    </row>
    <row r="2774" spans="1:28" x14ac:dyDescent="0.25">
      <c r="A2774" t="s">
        <v>2778</v>
      </c>
      <c r="B2774">
        <v>0.98876768158843997</v>
      </c>
      <c r="C2774">
        <v>1.10789228907844</v>
      </c>
      <c r="D2774">
        <v>0.73362402637825896</v>
      </c>
      <c r="E2774">
        <v>0.57968737308207896</v>
      </c>
      <c r="F2774">
        <v>0.24826141099697299</v>
      </c>
      <c r="G2774">
        <v>0.12931385315721899</v>
      </c>
      <c r="H2774">
        <v>7.0828064743344299E-2</v>
      </c>
      <c r="I2774">
        <v>5.1535089732434099E-2</v>
      </c>
      <c r="J2774">
        <v>0.12813670826630999</v>
      </c>
      <c r="K2774">
        <v>0.11548766511816499</v>
      </c>
      <c r="L2774">
        <v>1013.75016839827</v>
      </c>
      <c r="M2774">
        <v>20.406061934054101</v>
      </c>
      <c r="N2774">
        <v>50.102996252733902</v>
      </c>
      <c r="O2774">
        <v>49.209154536029502</v>
      </c>
      <c r="P2774">
        <v>-9.5449730836988697E-2</v>
      </c>
      <c r="Q2774">
        <v>7.93206438738224E-2</v>
      </c>
      <c r="R2774">
        <v>0.96918970816868499</v>
      </c>
      <c r="S2774" t="s">
        <v>6606</v>
      </c>
      <c r="T2774" t="s">
        <v>7662</v>
      </c>
      <c r="U2774" t="s">
        <v>7662</v>
      </c>
      <c r="V2774" t="s">
        <v>7662</v>
      </c>
      <c r="W2774">
        <v>3</v>
      </c>
      <c r="X2774" t="s">
        <v>10436</v>
      </c>
      <c r="Y2774">
        <v>0.38869309667473989</v>
      </c>
      <c r="Z2774" t="str">
        <f>HYPERLINK("Melting_Curves/meltCurve_sp_Q9NQ88_TIGAR_HUMAN_.pdf", "Melting_Curves/meltCurve_sp_Q9NQ88_TIGAR_HUMAN_.pdf")</f>
        <v>Melting_Curves/meltCurve_sp_Q9NQ88_TIGAR_HUMAN_.pdf</v>
      </c>
      <c r="AA2774" t="s">
        <v>14234</v>
      </c>
      <c r="AB2774" t="s">
        <v>18013</v>
      </c>
    </row>
    <row r="2775" spans="1:28" x14ac:dyDescent="0.25">
      <c r="A2775" t="s">
        <v>2779</v>
      </c>
      <c r="B2775">
        <v>0.98876768158843997</v>
      </c>
      <c r="C2775">
        <v>0.96593314656505702</v>
      </c>
      <c r="D2775">
        <v>0.72734311648782002</v>
      </c>
      <c r="E2775">
        <v>0.44005349889808998</v>
      </c>
      <c r="F2775">
        <v>0.30061356342024897</v>
      </c>
      <c r="G2775">
        <v>0.17636446565378</v>
      </c>
      <c r="H2775">
        <v>0.111708833240169</v>
      </c>
      <c r="I2775">
        <v>0.10523125958091401</v>
      </c>
      <c r="J2775">
        <v>0.13648285726423101</v>
      </c>
      <c r="K2775">
        <v>0.11540938057159</v>
      </c>
      <c r="L2775">
        <v>854.32006544814396</v>
      </c>
      <c r="M2775">
        <v>17.588955531672099</v>
      </c>
      <c r="N2775">
        <v>49.265577704369697</v>
      </c>
      <c r="O2775">
        <v>47.956597232037701</v>
      </c>
      <c r="P2775">
        <v>-8.1632561359411104E-2</v>
      </c>
      <c r="Q2775">
        <v>0.109757646192522</v>
      </c>
      <c r="R2775">
        <v>0.99579126902338699</v>
      </c>
      <c r="S2775" t="s">
        <v>6607</v>
      </c>
      <c r="T2775" t="s">
        <v>7662</v>
      </c>
      <c r="U2775" t="s">
        <v>7662</v>
      </c>
      <c r="V2775" t="s">
        <v>7662</v>
      </c>
      <c r="W2775">
        <v>13</v>
      </c>
      <c r="X2775" t="s">
        <v>10437</v>
      </c>
      <c r="Y2775">
        <v>0.38041631656119379</v>
      </c>
      <c r="Z2775" t="str">
        <f>HYPERLINK("Melting_Curves/meltCurve_sp_Q9NQ94_2_A1CF_HUMAN_.pdf", "Melting_Curves/meltCurve_sp_Q9NQ94_2_A1CF_HUMAN_.pdf")</f>
        <v>Melting_Curves/meltCurve_sp_Q9NQ94_2_A1CF_HUMAN_.pdf</v>
      </c>
      <c r="AA2775" t="s">
        <v>14235</v>
      </c>
      <c r="AB2775" t="s">
        <v>18014</v>
      </c>
    </row>
    <row r="2776" spans="1:28" x14ac:dyDescent="0.25">
      <c r="A2776" t="s">
        <v>2780</v>
      </c>
      <c r="B2776">
        <v>0.98876768158843997</v>
      </c>
      <c r="C2776">
        <v>1.07656480230764</v>
      </c>
      <c r="D2776">
        <v>0.83232067264715004</v>
      </c>
      <c r="E2776">
        <v>0.60499830625512196</v>
      </c>
      <c r="F2776">
        <v>0.59971050419102101</v>
      </c>
      <c r="G2776">
        <v>0.23147663766163001</v>
      </c>
      <c r="H2776">
        <v>0.105206253931525</v>
      </c>
      <c r="I2776">
        <v>8.9499818997423694E-2</v>
      </c>
      <c r="J2776">
        <v>0.13537939685694</v>
      </c>
      <c r="K2776">
        <v>0.104833283087389</v>
      </c>
      <c r="L2776">
        <v>777.54467391262403</v>
      </c>
      <c r="M2776">
        <v>14.8887612949143</v>
      </c>
      <c r="N2776">
        <v>52.673462392905897</v>
      </c>
      <c r="O2776">
        <v>51.308647817284999</v>
      </c>
      <c r="P2776">
        <v>-6.8220996609731896E-2</v>
      </c>
      <c r="Q2776">
        <v>5.9703396713246197E-2</v>
      </c>
      <c r="R2776">
        <v>0.96859189004874702</v>
      </c>
      <c r="S2776" t="s">
        <v>6608</v>
      </c>
      <c r="T2776" t="s">
        <v>7662</v>
      </c>
      <c r="U2776" t="s">
        <v>7662</v>
      </c>
      <c r="V2776" t="s">
        <v>7662</v>
      </c>
      <c r="W2776">
        <v>8</v>
      </c>
      <c r="X2776" t="s">
        <v>10438</v>
      </c>
      <c r="Y2776">
        <v>0.46391914572245718</v>
      </c>
      <c r="Z2776" t="str">
        <f>HYPERLINK("Melting_Curves/meltCurve_sp_Q9NQG5_RPR1B_HUMAN_.pdf", "Melting_Curves/meltCurve_sp_Q9NQG5_RPR1B_HUMAN_.pdf")</f>
        <v>Melting_Curves/meltCurve_sp_Q9NQG5_RPR1B_HUMAN_.pdf</v>
      </c>
      <c r="AA2776" t="s">
        <v>14236</v>
      </c>
      <c r="AB2776" t="s">
        <v>18015</v>
      </c>
    </row>
    <row r="2777" spans="1:28" x14ac:dyDescent="0.25">
      <c r="A2777" t="s">
        <v>2781</v>
      </c>
      <c r="B2777">
        <v>0.98876768158843997</v>
      </c>
      <c r="C2777">
        <v>1.0127539556346199</v>
      </c>
      <c r="D2777">
        <v>0.94532810998953398</v>
      </c>
      <c r="E2777">
        <v>0.93361135114936</v>
      </c>
      <c r="F2777">
        <v>0.73978923453996104</v>
      </c>
      <c r="G2777">
        <v>0.35857816776822099</v>
      </c>
      <c r="H2777">
        <v>0.18394255493553499</v>
      </c>
      <c r="I2777">
        <v>0.154148520311198</v>
      </c>
      <c r="J2777">
        <v>0.13425421055700901</v>
      </c>
      <c r="K2777">
        <v>0.12630526899192501</v>
      </c>
      <c r="L2777">
        <v>1392.44428935272</v>
      </c>
      <c r="M2777">
        <v>25.427621652265</v>
      </c>
      <c r="N2777">
        <v>55.393128103871099</v>
      </c>
      <c r="O2777">
        <v>54.4257749635346</v>
      </c>
      <c r="P2777">
        <v>-0.102093811400156</v>
      </c>
      <c r="Q2777">
        <v>0.125916918827362</v>
      </c>
      <c r="R2777">
        <v>0.99811247104397804</v>
      </c>
      <c r="S2777" t="s">
        <v>6609</v>
      </c>
      <c r="T2777" t="s">
        <v>7662</v>
      </c>
      <c r="U2777" t="s">
        <v>7662</v>
      </c>
      <c r="V2777" t="s">
        <v>7662</v>
      </c>
      <c r="W2777">
        <v>6</v>
      </c>
      <c r="X2777" t="s">
        <v>10439</v>
      </c>
      <c r="Y2777">
        <v>0.56384935082870447</v>
      </c>
      <c r="Z2777" t="str">
        <f>HYPERLINK("Melting_Curves/meltCurve_sp_Q9NQH7_2_XPP3_HUMAN_.pdf", "Melting_Curves/meltCurve_sp_Q9NQH7_2_XPP3_HUMAN_.pdf")</f>
        <v>Melting_Curves/meltCurve_sp_Q9NQH7_2_XPP3_HUMAN_.pdf</v>
      </c>
      <c r="AA2777" t="s">
        <v>14237</v>
      </c>
      <c r="AB2777" t="s">
        <v>18016</v>
      </c>
    </row>
    <row r="2778" spans="1:28" x14ac:dyDescent="0.25">
      <c r="A2778" t="s">
        <v>2782</v>
      </c>
      <c r="B2778">
        <v>0.98876768158843997</v>
      </c>
      <c r="C2778">
        <v>0.94655970049669602</v>
      </c>
      <c r="D2778">
        <v>0.94114261001463395</v>
      </c>
      <c r="E2778">
        <v>0.87550695810179402</v>
      </c>
      <c r="F2778">
        <v>0.78357562498093603</v>
      </c>
      <c r="G2778">
        <v>0.60219579160775905</v>
      </c>
      <c r="H2778">
        <v>0.49078808682333602</v>
      </c>
      <c r="I2778">
        <v>0.54625187081127602</v>
      </c>
      <c r="J2778">
        <v>0.62089984732987302</v>
      </c>
      <c r="K2778">
        <v>0.75907512615353401</v>
      </c>
      <c r="L2778">
        <v>1374.9966058897401</v>
      </c>
      <c r="M2778">
        <v>26.524441780933198</v>
      </c>
      <c r="O2778">
        <v>51.546873179988403</v>
      </c>
      <c r="P2778">
        <v>-5.1470654379844299E-2</v>
      </c>
      <c r="Q2778">
        <v>0.59989752170980304</v>
      </c>
      <c r="R2778">
        <v>0.83111735152725397</v>
      </c>
      <c r="S2778" t="s">
        <v>6610</v>
      </c>
      <c r="T2778" t="s">
        <v>7662</v>
      </c>
      <c r="U2778" t="s">
        <v>7662</v>
      </c>
      <c r="V2778" t="s">
        <v>7662</v>
      </c>
      <c r="W2778">
        <v>4</v>
      </c>
      <c r="X2778" t="s">
        <v>10440</v>
      </c>
      <c r="Y2778">
        <v>0.76103980880913724</v>
      </c>
      <c r="Z2778" t="str">
        <f>HYPERLINK("Melting_Curves/meltCurve_sp_Q9NQP4_PFD4_HUMAN_.pdf", "Melting_Curves/meltCurve_sp_Q9NQP4_PFD4_HUMAN_.pdf")</f>
        <v>Melting_Curves/meltCurve_sp_Q9NQP4_PFD4_HUMAN_.pdf</v>
      </c>
      <c r="AA2778" t="s">
        <v>14238</v>
      </c>
      <c r="AB2778" t="s">
        <v>18017</v>
      </c>
    </row>
    <row r="2779" spans="1:28" x14ac:dyDescent="0.25">
      <c r="A2779" t="s">
        <v>2783</v>
      </c>
      <c r="B2779">
        <v>0.98876768158843997</v>
      </c>
      <c r="C2779">
        <v>0.83275112810979102</v>
      </c>
      <c r="D2779">
        <v>0.85184346555061397</v>
      </c>
      <c r="E2779">
        <v>0.810331955596575</v>
      </c>
      <c r="F2779">
        <v>0.72304070887238903</v>
      </c>
      <c r="G2779">
        <v>0.38661405107012098</v>
      </c>
      <c r="H2779">
        <v>0.21222784312717399</v>
      </c>
      <c r="I2779">
        <v>0.18936381599094701</v>
      </c>
      <c r="J2779">
        <v>0.13966176772264299</v>
      </c>
      <c r="K2779">
        <v>0.176164309217575</v>
      </c>
      <c r="L2779">
        <v>677.73600902421401</v>
      </c>
      <c r="M2779">
        <v>12.351647574910899</v>
      </c>
      <c r="N2779">
        <v>55.440965434950002</v>
      </c>
      <c r="O2779">
        <v>53.491333476212702</v>
      </c>
      <c r="P2779">
        <v>-5.4291864946779102E-2</v>
      </c>
      <c r="Q2779">
        <v>5.9714638051975598E-2</v>
      </c>
      <c r="R2779">
        <v>0.96034787288511003</v>
      </c>
      <c r="S2779" t="s">
        <v>6611</v>
      </c>
      <c r="T2779" t="s">
        <v>7662</v>
      </c>
      <c r="U2779" t="s">
        <v>7662</v>
      </c>
      <c r="V2779" t="s">
        <v>7662</v>
      </c>
      <c r="W2779">
        <v>19</v>
      </c>
      <c r="X2779" t="s">
        <v>10441</v>
      </c>
      <c r="Y2779">
        <v>0.54770377844551887</v>
      </c>
      <c r="Z2779" t="str">
        <f>HYPERLINK("Melting_Curves/meltCurve_sp_Q9NQR4_NIT2_HUMAN_.pdf", "Melting_Curves/meltCurve_sp_Q9NQR4_NIT2_HUMAN_.pdf")</f>
        <v>Melting_Curves/meltCurve_sp_Q9NQR4_NIT2_HUMAN_.pdf</v>
      </c>
      <c r="AA2779" t="s">
        <v>14239</v>
      </c>
      <c r="AB2779" t="s">
        <v>18018</v>
      </c>
    </row>
    <row r="2780" spans="1:28" x14ac:dyDescent="0.25">
      <c r="A2780" t="s">
        <v>2784</v>
      </c>
      <c r="B2780">
        <v>0.98876768158843997</v>
      </c>
      <c r="C2780">
        <v>1.25571179943777</v>
      </c>
      <c r="D2780">
        <v>0.79684981512145003</v>
      </c>
      <c r="E2780">
        <v>0.80409890530527395</v>
      </c>
      <c r="F2780">
        <v>1.1043087764283499</v>
      </c>
      <c r="G2780">
        <v>0.83237506027388697</v>
      </c>
      <c r="H2780">
        <v>0.76681693442312004</v>
      </c>
      <c r="I2780">
        <v>0.79586528971704296</v>
      </c>
      <c r="J2780">
        <v>1.0827386681775499</v>
      </c>
      <c r="K2780">
        <v>1.18810924072474</v>
      </c>
      <c r="L2780">
        <v>15000</v>
      </c>
      <c r="M2780">
        <v>223.63822429196199</v>
      </c>
      <c r="O2780">
        <v>67.067244402680302</v>
      </c>
      <c r="P2780">
        <v>0.15683081200037</v>
      </c>
      <c r="Q2780">
        <v>1.18812904004551</v>
      </c>
      <c r="R2780">
        <v>8.9246227820492199E-2</v>
      </c>
      <c r="S2780" t="s">
        <v>6612</v>
      </c>
      <c r="T2780" t="s">
        <v>7662</v>
      </c>
      <c r="U2780" t="s">
        <v>7662</v>
      </c>
      <c r="V2780" t="s">
        <v>7662</v>
      </c>
      <c r="W2780">
        <v>1</v>
      </c>
      <c r="X2780" t="s">
        <v>10442</v>
      </c>
      <c r="Y2780">
        <v>1.018330056630864</v>
      </c>
      <c r="Z2780" t="str">
        <f>HYPERLINK("Melting_Curves/meltCurve_sp_Q9NQS1_AVEN_HUMAN_.pdf", "Melting_Curves/meltCurve_sp_Q9NQS1_AVEN_HUMAN_.pdf")</f>
        <v>Melting_Curves/meltCurve_sp_Q9NQS1_AVEN_HUMAN_.pdf</v>
      </c>
      <c r="AA2780" t="s">
        <v>14240</v>
      </c>
      <c r="AB2780" t="s">
        <v>18019</v>
      </c>
    </row>
    <row r="2781" spans="1:28" x14ac:dyDescent="0.25">
      <c r="A2781" t="s">
        <v>2785</v>
      </c>
      <c r="B2781">
        <v>0.98876768158843997</v>
      </c>
      <c r="C2781">
        <v>0.80517938522782095</v>
      </c>
      <c r="D2781">
        <v>0.61478399968172104</v>
      </c>
      <c r="E2781">
        <v>0.30413411174781602</v>
      </c>
      <c r="F2781">
        <v>0.20475037128954099</v>
      </c>
      <c r="G2781">
        <v>0.11733056682040501</v>
      </c>
      <c r="H2781">
        <v>9.2180533388722896E-2</v>
      </c>
      <c r="I2781">
        <v>9.3834447530381601E-2</v>
      </c>
      <c r="J2781">
        <v>0.121017150379222</v>
      </c>
      <c r="K2781">
        <v>0.10938088115479</v>
      </c>
      <c r="L2781">
        <v>815.04605350403801</v>
      </c>
      <c r="M2781">
        <v>17.481647570100598</v>
      </c>
      <c r="N2781">
        <v>47.195859203858802</v>
      </c>
      <c r="O2781">
        <v>46.0257091985983</v>
      </c>
      <c r="P2781">
        <v>-8.5882700806998793E-2</v>
      </c>
      <c r="Q2781">
        <v>9.5601651524188896E-2</v>
      </c>
      <c r="R2781">
        <v>0.99617748871860701</v>
      </c>
      <c r="S2781" t="s">
        <v>6613</v>
      </c>
      <c r="T2781" t="s">
        <v>7662</v>
      </c>
      <c r="U2781" t="s">
        <v>7662</v>
      </c>
      <c r="V2781" t="s">
        <v>7662</v>
      </c>
      <c r="W2781">
        <v>17</v>
      </c>
      <c r="X2781" t="s">
        <v>10443</v>
      </c>
      <c r="Y2781">
        <v>0.31341739807787161</v>
      </c>
      <c r="Z2781" t="str">
        <f>HYPERLINK("Melting_Curves/meltCurve_sp_Q9NQT8_KI13B_HUMAN_.pdf", "Melting_Curves/meltCurve_sp_Q9NQT8_KI13B_HUMAN_.pdf")</f>
        <v>Melting_Curves/meltCurve_sp_Q9NQT8_KI13B_HUMAN_.pdf</v>
      </c>
      <c r="AA2781" t="s">
        <v>14241</v>
      </c>
      <c r="AB2781" t="s">
        <v>18020</v>
      </c>
    </row>
    <row r="2782" spans="1:28" x14ac:dyDescent="0.25">
      <c r="A2782" t="s">
        <v>2786</v>
      </c>
      <c r="B2782">
        <v>0.98876768158843997</v>
      </c>
      <c r="C2782">
        <v>0.88305479847314605</v>
      </c>
      <c r="D2782">
        <v>0.96319006904468996</v>
      </c>
      <c r="E2782">
        <v>0.69304745047728</v>
      </c>
      <c r="F2782">
        <v>0.22188056808182</v>
      </c>
      <c r="G2782">
        <v>0.12596551158609101</v>
      </c>
      <c r="H2782">
        <v>8.0987958757878495E-2</v>
      </c>
      <c r="I2782">
        <v>6.6470528107140506E-2</v>
      </c>
      <c r="J2782">
        <v>7.5813568646275406E-2</v>
      </c>
      <c r="K2782">
        <v>5.3373674749543298E-2</v>
      </c>
      <c r="L2782">
        <v>1959.2702194650501</v>
      </c>
      <c r="M2782">
        <v>38.52707837797</v>
      </c>
      <c r="N2782">
        <v>51.070805279835703</v>
      </c>
      <c r="O2782">
        <v>50.717951821884803</v>
      </c>
      <c r="P2782">
        <v>-0.17560457066732099</v>
      </c>
      <c r="Q2782">
        <v>7.5322542202561404E-2</v>
      </c>
      <c r="R2782">
        <v>0.989345513255109</v>
      </c>
      <c r="S2782" t="s">
        <v>6614</v>
      </c>
      <c r="T2782" t="s">
        <v>7662</v>
      </c>
      <c r="U2782" t="s">
        <v>7662</v>
      </c>
      <c r="V2782" t="s">
        <v>7662</v>
      </c>
      <c r="W2782">
        <v>17</v>
      </c>
      <c r="X2782" t="s">
        <v>10444</v>
      </c>
      <c r="Y2782">
        <v>0.41338783380925898</v>
      </c>
      <c r="Z2782" t="str">
        <f>HYPERLINK("Melting_Curves/meltCurve_sp_Q9NQW7_3_XPP1_HUMAN_.pdf", "Melting_Curves/meltCurve_sp_Q9NQW7_3_XPP1_HUMAN_.pdf")</f>
        <v>Melting_Curves/meltCurve_sp_Q9NQW7_3_XPP1_HUMAN_.pdf</v>
      </c>
      <c r="AA2782" t="s">
        <v>14242</v>
      </c>
      <c r="AB2782" t="s">
        <v>18021</v>
      </c>
    </row>
    <row r="2783" spans="1:28" x14ac:dyDescent="0.25">
      <c r="A2783" t="s">
        <v>2787</v>
      </c>
      <c r="B2783">
        <v>0.98876768158843997</v>
      </c>
      <c r="C2783">
        <v>0.90541931100392903</v>
      </c>
      <c r="D2783">
        <v>1.09880699201932</v>
      </c>
      <c r="E2783">
        <v>0.95983738032376198</v>
      </c>
      <c r="F2783">
        <v>0.67731826016960905</v>
      </c>
      <c r="G2783">
        <v>0.52920659982756901</v>
      </c>
      <c r="H2783">
        <v>0.32132379000084599</v>
      </c>
      <c r="I2783">
        <v>8.5628019545179304E-2</v>
      </c>
      <c r="J2783">
        <v>6.9416669148944704E-2</v>
      </c>
      <c r="K2783">
        <v>6.4190914764874901E-2</v>
      </c>
      <c r="L2783">
        <v>913.21798730205001</v>
      </c>
      <c r="M2783">
        <v>16.012178381069798</v>
      </c>
      <c r="N2783">
        <v>57.032713912313199</v>
      </c>
      <c r="O2783">
        <v>56.1653966942213</v>
      </c>
      <c r="P2783">
        <v>-7.1278007820775494E-2</v>
      </c>
      <c r="Q2783">
        <v>0</v>
      </c>
      <c r="R2783">
        <v>0.971826133146238</v>
      </c>
      <c r="S2783" t="s">
        <v>6615</v>
      </c>
      <c r="T2783" t="s">
        <v>7662</v>
      </c>
      <c r="U2783" t="s">
        <v>7662</v>
      </c>
      <c r="V2783" t="s">
        <v>7662</v>
      </c>
      <c r="W2783">
        <v>19</v>
      </c>
      <c r="X2783" t="s">
        <v>10445</v>
      </c>
      <c r="Y2783">
        <v>0.58286403887711757</v>
      </c>
      <c r="Z2783" t="str">
        <f>HYPERLINK("Melting_Curves/meltCurve_sp_Q9NQX3_GEPH_HUMAN_.pdf", "Melting_Curves/meltCurve_sp_Q9NQX3_GEPH_HUMAN_.pdf")</f>
        <v>Melting_Curves/meltCurve_sp_Q9NQX3_GEPH_HUMAN_.pdf</v>
      </c>
      <c r="AA2783" t="s">
        <v>14243</v>
      </c>
      <c r="AB2783" t="s">
        <v>18022</v>
      </c>
    </row>
    <row r="2784" spans="1:28" x14ac:dyDescent="0.25">
      <c r="A2784" t="s">
        <v>2788</v>
      </c>
      <c r="B2784">
        <v>0.98876768158843997</v>
      </c>
      <c r="C2784">
        <v>1.0675229391368799</v>
      </c>
      <c r="D2784">
        <v>0.89807451239708203</v>
      </c>
      <c r="E2784">
        <v>0.62803290951913104</v>
      </c>
      <c r="F2784">
        <v>0.16300787886641099</v>
      </c>
      <c r="G2784">
        <v>9.0212454556073907E-2</v>
      </c>
      <c r="H2784">
        <v>5.4401740849668402E-2</v>
      </c>
      <c r="I2784">
        <v>5.0187789992399402E-2</v>
      </c>
      <c r="J2784">
        <v>6.5341313841219106E-2</v>
      </c>
      <c r="K2784">
        <v>5.5396188031997903E-2</v>
      </c>
      <c r="L2784">
        <v>1894.8400734711599</v>
      </c>
      <c r="M2784">
        <v>37.556169295083897</v>
      </c>
      <c r="N2784">
        <v>50.616105109461699</v>
      </c>
      <c r="O2784">
        <v>50.311087432363102</v>
      </c>
      <c r="P2784">
        <v>-0.17601607669863401</v>
      </c>
      <c r="Q2784">
        <v>5.6822181230597998E-2</v>
      </c>
      <c r="R2784">
        <v>0.99265643983244101</v>
      </c>
      <c r="S2784" t="s">
        <v>6616</v>
      </c>
      <c r="T2784" t="s">
        <v>7662</v>
      </c>
      <c r="U2784" t="s">
        <v>7662</v>
      </c>
      <c r="V2784" t="s">
        <v>7662</v>
      </c>
      <c r="W2784">
        <v>15</v>
      </c>
      <c r="X2784" t="s">
        <v>10446</v>
      </c>
      <c r="Y2784">
        <v>0.38920822415443951</v>
      </c>
      <c r="Z2784" t="str">
        <f>HYPERLINK("Melting_Curves/meltCurve_sp_Q9NR19_ACSA_HUMAN_.pdf", "Melting_Curves/meltCurve_sp_Q9NR19_ACSA_HUMAN_.pdf")</f>
        <v>Melting_Curves/meltCurve_sp_Q9NR19_ACSA_HUMAN_.pdf</v>
      </c>
      <c r="AA2784" t="s">
        <v>14244</v>
      </c>
      <c r="AB2784" t="s">
        <v>18023</v>
      </c>
    </row>
    <row r="2785" spans="1:28" x14ac:dyDescent="0.25">
      <c r="A2785" t="s">
        <v>2789</v>
      </c>
      <c r="B2785">
        <v>0.98876768158843997</v>
      </c>
      <c r="C2785">
        <v>1.06458397025833</v>
      </c>
      <c r="D2785">
        <v>0.86190537517465904</v>
      </c>
      <c r="E2785">
        <v>0.82259824525056902</v>
      </c>
      <c r="F2785">
        <v>0.84595558618738298</v>
      </c>
      <c r="G2785">
        <v>0.57933147464910195</v>
      </c>
      <c r="H2785">
        <v>0.36427414193896301</v>
      </c>
      <c r="I2785">
        <v>0.236828267969597</v>
      </c>
      <c r="J2785">
        <v>0.143386806435889</v>
      </c>
      <c r="K2785">
        <v>7.31975654669558E-2</v>
      </c>
      <c r="L2785">
        <v>754.34686139530697</v>
      </c>
      <c r="M2785">
        <v>12.9477078173317</v>
      </c>
      <c r="N2785">
        <v>58.2610352763393</v>
      </c>
      <c r="O2785">
        <v>56.9237813158839</v>
      </c>
      <c r="P2785">
        <v>-5.6874434125586598E-2</v>
      </c>
      <c r="Q2785">
        <v>0</v>
      </c>
      <c r="R2785">
        <v>0.97759292967883904</v>
      </c>
      <c r="S2785" t="s">
        <v>6617</v>
      </c>
      <c r="T2785" t="s">
        <v>7662</v>
      </c>
      <c r="U2785" t="s">
        <v>7662</v>
      </c>
      <c r="V2785" t="s">
        <v>7662</v>
      </c>
      <c r="W2785">
        <v>5</v>
      </c>
      <c r="X2785" t="s">
        <v>10447</v>
      </c>
      <c r="Y2785">
        <v>0.62094778245028537</v>
      </c>
      <c r="Z2785" t="str">
        <f>HYPERLINK("Melting_Curves/meltCurve_sp_Q9NR28_2_DBLOH_HUMAN_.pdf", "Melting_Curves/meltCurve_sp_Q9NR28_2_DBLOH_HUMAN_.pdf")</f>
        <v>Melting_Curves/meltCurve_sp_Q9NR28_2_DBLOH_HUMAN_.pdf</v>
      </c>
      <c r="AA2785" t="s">
        <v>14245</v>
      </c>
      <c r="AB2785" t="s">
        <v>18024</v>
      </c>
    </row>
    <row r="2786" spans="1:28" x14ac:dyDescent="0.25">
      <c r="A2786" t="s">
        <v>2790</v>
      </c>
      <c r="B2786">
        <v>0.98876768158843997</v>
      </c>
      <c r="C2786">
        <v>1.0360627735571599</v>
      </c>
      <c r="D2786">
        <v>0.963042049751346</v>
      </c>
      <c r="E2786">
        <v>0.88925257339875496</v>
      </c>
      <c r="F2786">
        <v>0.69870573552838899</v>
      </c>
      <c r="G2786">
        <v>0.44287743297740001</v>
      </c>
      <c r="H2786">
        <v>0.37204915656260601</v>
      </c>
      <c r="I2786">
        <v>0.462288041408012</v>
      </c>
      <c r="J2786">
        <v>0.49219763787945497</v>
      </c>
      <c r="K2786">
        <v>0.612158465807358</v>
      </c>
      <c r="L2786">
        <v>1906.4302104375399</v>
      </c>
      <c r="M2786">
        <v>36.488160027864303</v>
      </c>
      <c r="N2786">
        <v>56.8598136755759</v>
      </c>
      <c r="O2786">
        <v>52.091735238207796</v>
      </c>
      <c r="P2786">
        <v>-9.2096909311458003E-2</v>
      </c>
      <c r="Q2786">
        <v>0.47407902021421</v>
      </c>
      <c r="R2786">
        <v>0.93551161856036702</v>
      </c>
      <c r="S2786" t="s">
        <v>6618</v>
      </c>
      <c r="T2786" t="s">
        <v>7662</v>
      </c>
      <c r="U2786" t="s">
        <v>7662</v>
      </c>
      <c r="V2786" t="s">
        <v>7662</v>
      </c>
      <c r="W2786">
        <v>3</v>
      </c>
      <c r="X2786" t="s">
        <v>10448</v>
      </c>
      <c r="Y2786">
        <v>0.69107639354541206</v>
      </c>
      <c r="Z2786" t="str">
        <f>HYPERLINK("Melting_Curves/meltCurve_sp_Q9NR30_DDX21_HUMAN_.pdf", "Melting_Curves/meltCurve_sp_Q9NR30_DDX21_HUMAN_.pdf")</f>
        <v>Melting_Curves/meltCurve_sp_Q9NR30_DDX21_HUMAN_.pdf</v>
      </c>
      <c r="AA2786" t="s">
        <v>14246</v>
      </c>
      <c r="AB2786" t="s">
        <v>18025</v>
      </c>
    </row>
    <row r="2787" spans="1:28" x14ac:dyDescent="0.25">
      <c r="A2787" t="s">
        <v>2791</v>
      </c>
      <c r="B2787">
        <v>0.98876768158843997</v>
      </c>
      <c r="C2787">
        <v>0.98689814914275298</v>
      </c>
      <c r="D2787">
        <v>0.88738826515521896</v>
      </c>
      <c r="E2787">
        <v>0.85956874897785995</v>
      </c>
      <c r="F2787">
        <v>0.53833807537637002</v>
      </c>
      <c r="G2787">
        <v>0.164075988609999</v>
      </c>
      <c r="H2787">
        <v>8.50782728411274E-2</v>
      </c>
      <c r="I2787">
        <v>5.2655998813919101E-2</v>
      </c>
      <c r="J2787">
        <v>7.1581201839285402E-2</v>
      </c>
      <c r="K2787">
        <v>4.4333169636622899E-2</v>
      </c>
      <c r="L2787">
        <v>1405.5713063288099</v>
      </c>
      <c r="M2787">
        <v>26.4848030837213</v>
      </c>
      <c r="N2787">
        <v>53.279640889494701</v>
      </c>
      <c r="O2787">
        <v>52.771068857977802</v>
      </c>
      <c r="P2787">
        <v>-0.11928720900734099</v>
      </c>
      <c r="Q2787">
        <v>4.92893311329968E-2</v>
      </c>
      <c r="R2787">
        <v>0.99344666579815399</v>
      </c>
      <c r="S2787" t="s">
        <v>6619</v>
      </c>
      <c r="T2787" t="s">
        <v>7662</v>
      </c>
      <c r="U2787" t="s">
        <v>7662</v>
      </c>
      <c r="V2787" t="s">
        <v>7662</v>
      </c>
      <c r="W2787">
        <v>14</v>
      </c>
      <c r="X2787" t="s">
        <v>10449</v>
      </c>
      <c r="Y2787">
        <v>0.47136240127201151</v>
      </c>
      <c r="Z2787" t="str">
        <f>HYPERLINK("Melting_Curves/meltCurve_sp_Q9NR45_SIAS_HUMAN_.pdf", "Melting_Curves/meltCurve_sp_Q9NR45_SIAS_HUMAN_.pdf")</f>
        <v>Melting_Curves/meltCurve_sp_Q9NR45_SIAS_HUMAN_.pdf</v>
      </c>
      <c r="AA2787" t="s">
        <v>14247</v>
      </c>
      <c r="AB2787" t="s">
        <v>18026</v>
      </c>
    </row>
    <row r="2788" spans="1:28" x14ac:dyDescent="0.25">
      <c r="A2788" t="s">
        <v>2792</v>
      </c>
      <c r="B2788">
        <v>0.98876768158843997</v>
      </c>
      <c r="C2788">
        <v>0.97471804388998196</v>
      </c>
      <c r="D2788">
        <v>0.81329075170014797</v>
      </c>
      <c r="E2788">
        <v>0.4676989809889</v>
      </c>
      <c r="F2788">
        <v>0.207708715663597</v>
      </c>
      <c r="G2788">
        <v>0.108690191953609</v>
      </c>
      <c r="H2788">
        <v>8.2565906376572198E-2</v>
      </c>
      <c r="I2788">
        <v>8.3547323629156706E-2</v>
      </c>
      <c r="J2788">
        <v>0.10594101330174301</v>
      </c>
      <c r="K2788">
        <v>0.113397759214531</v>
      </c>
      <c r="L2788">
        <v>1121.4291004715301</v>
      </c>
      <c r="M2788">
        <v>22.877603844762799</v>
      </c>
      <c r="N2788">
        <v>49.434614611845603</v>
      </c>
      <c r="O2788">
        <v>48.6487293446501</v>
      </c>
      <c r="P2788">
        <v>-0.107273944996538</v>
      </c>
      <c r="Q2788">
        <v>8.7554766887912E-2</v>
      </c>
      <c r="R2788">
        <v>0.997862066856541</v>
      </c>
      <c r="S2788" t="s">
        <v>6620</v>
      </c>
      <c r="T2788" t="s">
        <v>7662</v>
      </c>
      <c r="U2788" t="s">
        <v>7662</v>
      </c>
      <c r="V2788" t="s">
        <v>7662</v>
      </c>
      <c r="W2788">
        <v>3</v>
      </c>
      <c r="X2788" t="s">
        <v>10450</v>
      </c>
      <c r="Y2788">
        <v>0.3715620244599569</v>
      </c>
      <c r="Z2788" t="str">
        <f>HYPERLINK("Melting_Curves/meltCurve_sp_Q9NR46_SHLB2_HUMAN_.pdf", "Melting_Curves/meltCurve_sp_Q9NR46_SHLB2_HUMAN_.pdf")</f>
        <v>Melting_Curves/meltCurve_sp_Q9NR46_SHLB2_HUMAN_.pdf</v>
      </c>
      <c r="AA2788" t="s">
        <v>14248</v>
      </c>
      <c r="AB2788" t="s">
        <v>18027</v>
      </c>
    </row>
    <row r="2789" spans="1:28" x14ac:dyDescent="0.25">
      <c r="A2789" t="s">
        <v>2793</v>
      </c>
      <c r="B2789">
        <v>0.98876768158843997</v>
      </c>
      <c r="C2789">
        <v>0.99176200750194199</v>
      </c>
      <c r="D2789">
        <v>1.02577478520232</v>
      </c>
      <c r="E2789">
        <v>0.589855112562922</v>
      </c>
      <c r="F2789">
        <v>0.24703589838384099</v>
      </c>
      <c r="G2789">
        <v>0.14391476055246299</v>
      </c>
      <c r="H2789">
        <v>8.7515930549680501E-2</v>
      </c>
      <c r="I2789">
        <v>7.2728041514441205E-2</v>
      </c>
      <c r="J2789">
        <v>7.7582565595154293E-2</v>
      </c>
      <c r="K2789">
        <v>7.5165588737323694E-2</v>
      </c>
      <c r="L2789">
        <v>1711.9233094440599</v>
      </c>
      <c r="M2789">
        <v>33.954732108429297</v>
      </c>
      <c r="N2789">
        <v>50.7068330977702</v>
      </c>
      <c r="O2789">
        <v>50.2439009916976</v>
      </c>
      <c r="P2789">
        <v>-0.15408618126732701</v>
      </c>
      <c r="Q2789">
        <v>8.7978764655522401E-2</v>
      </c>
      <c r="R2789">
        <v>0.99617439069517399</v>
      </c>
      <c r="S2789" t="s">
        <v>6621</v>
      </c>
      <c r="T2789" t="s">
        <v>7662</v>
      </c>
      <c r="U2789" t="s">
        <v>7662</v>
      </c>
      <c r="V2789" t="s">
        <v>7662</v>
      </c>
      <c r="W2789">
        <v>5</v>
      </c>
      <c r="X2789" t="s">
        <v>10451</v>
      </c>
      <c r="Y2789">
        <v>0.40911199750841287</v>
      </c>
      <c r="Z2789" t="str">
        <f>HYPERLINK("Melting_Curves/meltCurve_sp_Q9NR50_EI2BG_HUMAN_.pdf", "Melting_Curves/meltCurve_sp_Q9NR50_EI2BG_HUMAN_.pdf")</f>
        <v>Melting_Curves/meltCurve_sp_Q9NR50_EI2BG_HUMAN_.pdf</v>
      </c>
      <c r="AA2789" t="s">
        <v>14249</v>
      </c>
      <c r="AB2789" t="s">
        <v>18028</v>
      </c>
    </row>
    <row r="2790" spans="1:28" x14ac:dyDescent="0.25">
      <c r="A2790" t="s">
        <v>2794</v>
      </c>
      <c r="B2790">
        <v>0.98876768158843997</v>
      </c>
      <c r="C2790">
        <v>0.91420953774247804</v>
      </c>
      <c r="D2790">
        <v>0.91469914049374001</v>
      </c>
      <c r="E2790">
        <v>0.80572516634760805</v>
      </c>
      <c r="F2790">
        <v>0.57233995931357595</v>
      </c>
      <c r="G2790">
        <v>0.34489262563533102</v>
      </c>
      <c r="H2790">
        <v>0.16052928048971599</v>
      </c>
      <c r="I2790">
        <v>8.5092594513893394E-2</v>
      </c>
      <c r="J2790">
        <v>9.1875728782286004E-2</v>
      </c>
      <c r="K2790">
        <v>9.6636778977093801E-2</v>
      </c>
      <c r="L2790">
        <v>830.82904039964296</v>
      </c>
      <c r="M2790">
        <v>15.419926569161699</v>
      </c>
      <c r="N2790">
        <v>54.181231782821797</v>
      </c>
      <c r="O2790">
        <v>52.998430433053002</v>
      </c>
      <c r="P2790">
        <v>-6.97581297293174E-2</v>
      </c>
      <c r="Q2790">
        <v>4.1049591425040298E-2</v>
      </c>
      <c r="R2790">
        <v>0.99361792344906297</v>
      </c>
      <c r="S2790" t="s">
        <v>6622</v>
      </c>
      <c r="T2790" t="s">
        <v>7662</v>
      </c>
      <c r="U2790" t="s">
        <v>7662</v>
      </c>
      <c r="V2790" t="s">
        <v>7662</v>
      </c>
      <c r="W2790">
        <v>9</v>
      </c>
      <c r="X2790" t="s">
        <v>10452</v>
      </c>
      <c r="Y2790">
        <v>0.50384538474885043</v>
      </c>
      <c r="Z2790" t="str">
        <f>HYPERLINK("Melting_Curves/meltCurve_sp_Q9NRF8_PYRG2_HUMAN_.pdf", "Melting_Curves/meltCurve_sp_Q9NRF8_PYRG2_HUMAN_.pdf")</f>
        <v>Melting_Curves/meltCurve_sp_Q9NRF8_PYRG2_HUMAN_.pdf</v>
      </c>
      <c r="AA2790" t="s">
        <v>14250</v>
      </c>
      <c r="AB2790" t="s">
        <v>18029</v>
      </c>
    </row>
    <row r="2791" spans="1:28" x14ac:dyDescent="0.25">
      <c r="A2791" t="s">
        <v>2795</v>
      </c>
      <c r="B2791">
        <v>0.98876768158843997</v>
      </c>
      <c r="C2791">
        <v>1.0888438598171299</v>
      </c>
      <c r="D2791">
        <v>0.89444081656337404</v>
      </c>
      <c r="E2791">
        <v>0.73962442060770095</v>
      </c>
      <c r="F2791">
        <v>0.76922803114863003</v>
      </c>
      <c r="G2791">
        <v>0.53019599686665997</v>
      </c>
      <c r="H2791">
        <v>0.376636616464465</v>
      </c>
      <c r="I2791">
        <v>0.41813315512021398</v>
      </c>
      <c r="J2791">
        <v>0.53357582919380597</v>
      </c>
      <c r="K2791">
        <v>0.49498885942425702</v>
      </c>
      <c r="L2791">
        <v>882.43738506458305</v>
      </c>
      <c r="M2791">
        <v>17.049088522709201</v>
      </c>
      <c r="N2791">
        <v>59.467480705504798</v>
      </c>
      <c r="O2791">
        <v>51.0622785676806</v>
      </c>
      <c r="P2791">
        <v>-4.63168655680532E-2</v>
      </c>
      <c r="Q2791">
        <v>0.44515504416317198</v>
      </c>
      <c r="R2791">
        <v>0.91169824925517096</v>
      </c>
      <c r="S2791" t="s">
        <v>6623</v>
      </c>
      <c r="T2791" t="s">
        <v>7662</v>
      </c>
      <c r="U2791" t="s">
        <v>7662</v>
      </c>
      <c r="V2791" t="s">
        <v>7662</v>
      </c>
      <c r="W2791">
        <v>2</v>
      </c>
      <c r="X2791" t="s">
        <v>10453</v>
      </c>
      <c r="Y2791">
        <v>0.67279065046377151</v>
      </c>
      <c r="Z2791" t="str">
        <f>HYPERLINK("Melting_Curves/meltCurve_sp_Q9NRF9_DPOE3_HUMAN_.pdf", "Melting_Curves/meltCurve_sp_Q9NRF9_DPOE3_HUMAN_.pdf")</f>
        <v>Melting_Curves/meltCurve_sp_Q9NRF9_DPOE3_HUMAN_.pdf</v>
      </c>
      <c r="AA2791" t="s">
        <v>14251</v>
      </c>
      <c r="AB2791" t="s">
        <v>18030</v>
      </c>
    </row>
    <row r="2792" spans="1:28" x14ac:dyDescent="0.25">
      <c r="A2792" t="s">
        <v>2796</v>
      </c>
      <c r="B2792">
        <v>0.98876768158843997</v>
      </c>
      <c r="C2792">
        <v>1.0007168938317199</v>
      </c>
      <c r="D2792">
        <v>0.98897701670051197</v>
      </c>
      <c r="E2792">
        <v>0.95400529308049398</v>
      </c>
      <c r="F2792">
        <v>0.35467744818066399</v>
      </c>
      <c r="G2792">
        <v>0.24910272314598</v>
      </c>
      <c r="H2792">
        <v>0.18708551832680601</v>
      </c>
      <c r="I2792">
        <v>0.22274294790216601</v>
      </c>
      <c r="J2792">
        <v>0.30565650443741998</v>
      </c>
      <c r="K2792">
        <v>0.21780133345875999</v>
      </c>
      <c r="L2792">
        <v>3917.7317851522598</v>
      </c>
      <c r="M2792">
        <v>75.613232006194806</v>
      </c>
      <c r="N2792">
        <v>52.2548972651132</v>
      </c>
      <c r="O2792">
        <v>51.776562014904798</v>
      </c>
      <c r="P2792">
        <v>-0.27882721314479603</v>
      </c>
      <c r="Q2792">
        <v>0.23628630228025299</v>
      </c>
      <c r="R2792">
        <v>0.99367685812037099</v>
      </c>
      <c r="S2792" t="s">
        <v>6624</v>
      </c>
      <c r="T2792" t="s">
        <v>7662</v>
      </c>
      <c r="U2792" t="s">
        <v>7662</v>
      </c>
      <c r="V2792" t="s">
        <v>7662</v>
      </c>
      <c r="W2792">
        <v>2</v>
      </c>
      <c r="X2792" t="s">
        <v>10454</v>
      </c>
      <c r="Y2792">
        <v>0.53776653104352556</v>
      </c>
      <c r="Z2792" t="str">
        <f>HYPERLINK("Melting_Curves/meltCurve_sp_Q9NRG7_2_D39U1_HUMAN_.pdf", "Melting_Curves/meltCurve_sp_Q9NRG7_2_D39U1_HUMAN_.pdf")</f>
        <v>Melting_Curves/meltCurve_sp_Q9NRG7_2_D39U1_HUMAN_.pdf</v>
      </c>
      <c r="AA2792" t="s">
        <v>14252</v>
      </c>
      <c r="AB2792" t="s">
        <v>18031</v>
      </c>
    </row>
    <row r="2793" spans="1:28" x14ac:dyDescent="0.25">
      <c r="A2793" t="s">
        <v>2797</v>
      </c>
      <c r="B2793">
        <v>0.98876768158843997</v>
      </c>
      <c r="C2793">
        <v>1.13638730570944</v>
      </c>
      <c r="D2793">
        <v>0.75315406432618404</v>
      </c>
      <c r="E2793">
        <v>0.64180054359587702</v>
      </c>
      <c r="F2793">
        <v>0.52947168227527597</v>
      </c>
      <c r="G2793">
        <v>4.7533960132079098E-2</v>
      </c>
      <c r="H2793">
        <v>7.9668256202319196E-2</v>
      </c>
      <c r="I2793">
        <v>2.65171681634131E-2</v>
      </c>
      <c r="J2793">
        <v>5.2114703713781997E-2</v>
      </c>
      <c r="K2793">
        <v>0</v>
      </c>
      <c r="L2793">
        <v>890.44137559621197</v>
      </c>
      <c r="M2793">
        <v>17.173175690454801</v>
      </c>
      <c r="N2793">
        <v>51.850732609559998</v>
      </c>
      <c r="O2793">
        <v>51.162949712522199</v>
      </c>
      <c r="P2793">
        <v>-8.3919103438258896E-2</v>
      </c>
      <c r="Q2793">
        <v>0</v>
      </c>
      <c r="R2793">
        <v>0.95350465305152099</v>
      </c>
      <c r="S2793" t="s">
        <v>6625</v>
      </c>
      <c r="T2793" t="s">
        <v>7662</v>
      </c>
      <c r="U2793" t="s">
        <v>7662</v>
      </c>
      <c r="V2793" t="s">
        <v>7662</v>
      </c>
      <c r="W2793">
        <v>4</v>
      </c>
      <c r="X2793" t="s">
        <v>10455</v>
      </c>
      <c r="Y2793">
        <v>0.41308594514302083</v>
      </c>
      <c r="Z2793" t="str">
        <f>HYPERLINK("Melting_Curves/meltCurve_sp_Q9NRN7_ADPPT_HUMAN_.pdf", "Melting_Curves/meltCurve_sp_Q9NRN7_ADPPT_HUMAN_.pdf")</f>
        <v>Melting_Curves/meltCurve_sp_Q9NRN7_ADPPT_HUMAN_.pdf</v>
      </c>
      <c r="AA2793" t="s">
        <v>14253</v>
      </c>
      <c r="AB2793" t="s">
        <v>18032</v>
      </c>
    </row>
    <row r="2794" spans="1:28" x14ac:dyDescent="0.25">
      <c r="A2794" t="s">
        <v>2798</v>
      </c>
      <c r="B2794">
        <v>0.98876768158843997</v>
      </c>
      <c r="C2794">
        <v>1.0351028622544201</v>
      </c>
      <c r="D2794">
        <v>0.87618382340464795</v>
      </c>
      <c r="E2794">
        <v>0.52610433053703198</v>
      </c>
      <c r="F2794">
        <v>0.50165099591266404</v>
      </c>
      <c r="G2794">
        <v>0.27766541397601302</v>
      </c>
      <c r="H2794">
        <v>0.14289307623692099</v>
      </c>
      <c r="I2794">
        <v>9.5834571303639607E-2</v>
      </c>
      <c r="J2794">
        <v>0.10205243353506201</v>
      </c>
      <c r="K2794">
        <v>0.103878327713984</v>
      </c>
      <c r="L2794">
        <v>747.92592586969499</v>
      </c>
      <c r="M2794">
        <v>14.559156195787899</v>
      </c>
      <c r="N2794">
        <v>51.936914756097899</v>
      </c>
      <c r="O2794">
        <v>50.431526480287602</v>
      </c>
      <c r="P2794">
        <v>-6.6891216089493305E-2</v>
      </c>
      <c r="Q2794">
        <v>7.32860946593967E-2</v>
      </c>
      <c r="R2794">
        <v>0.98154065267700397</v>
      </c>
      <c r="S2794" t="s">
        <v>6626</v>
      </c>
      <c r="T2794" t="s">
        <v>7662</v>
      </c>
      <c r="U2794" t="s">
        <v>7662</v>
      </c>
      <c r="V2794" t="s">
        <v>7662</v>
      </c>
      <c r="W2794">
        <v>3</v>
      </c>
      <c r="X2794" t="s">
        <v>10456</v>
      </c>
      <c r="Y2794">
        <v>0.44674663328323849</v>
      </c>
      <c r="Z2794" t="str">
        <f>HYPERLINK("Melting_Curves/meltCurve_sp_Q9NRP4_ACN9_HUMAN_.pdf", "Melting_Curves/meltCurve_sp_Q9NRP4_ACN9_HUMAN_.pdf")</f>
        <v>Melting_Curves/meltCurve_sp_Q9NRP4_ACN9_HUMAN_.pdf</v>
      </c>
      <c r="AA2794" t="s">
        <v>14254</v>
      </c>
      <c r="AB2794" t="s">
        <v>18033</v>
      </c>
    </row>
    <row r="2795" spans="1:28" x14ac:dyDescent="0.25">
      <c r="A2795" t="s">
        <v>2799</v>
      </c>
      <c r="B2795">
        <v>0.98876768158843997</v>
      </c>
      <c r="C2795">
        <v>0.941470415319556</v>
      </c>
      <c r="D2795">
        <v>0.79198055936812095</v>
      </c>
      <c r="E2795">
        <v>0.67056964036372002</v>
      </c>
      <c r="F2795">
        <v>0.61985194564780399</v>
      </c>
      <c r="G2795">
        <v>0.42995634138122601</v>
      </c>
      <c r="H2795">
        <v>0.34011727819899801</v>
      </c>
      <c r="I2795">
        <v>0.47215726617732301</v>
      </c>
      <c r="J2795">
        <v>0.39637133213112202</v>
      </c>
      <c r="K2795">
        <v>0.56758754499166097</v>
      </c>
      <c r="L2795">
        <v>746.37745193971296</v>
      </c>
      <c r="M2795">
        <v>15.3763813547688</v>
      </c>
      <c r="N2795">
        <v>55.820581312437703</v>
      </c>
      <c r="O2795">
        <v>47.741729033780402</v>
      </c>
      <c r="P2795">
        <v>-4.56827724937858E-2</v>
      </c>
      <c r="Q2795">
        <v>0.43269497039753002</v>
      </c>
      <c r="R2795">
        <v>0.90845901815917796</v>
      </c>
      <c r="S2795" t="s">
        <v>6627</v>
      </c>
      <c r="T2795" t="s">
        <v>7662</v>
      </c>
      <c r="U2795" t="s">
        <v>7662</v>
      </c>
      <c r="V2795" t="s">
        <v>7662</v>
      </c>
      <c r="W2795">
        <v>5</v>
      </c>
      <c r="X2795" t="s">
        <v>10457</v>
      </c>
      <c r="Y2795">
        <v>0.60778468465559121</v>
      </c>
      <c r="Z2795" t="str">
        <f>HYPERLINK("Melting_Curves/meltCurve_sp_Q9NRR5_UBQL4_HUMAN_.pdf", "Melting_Curves/meltCurve_sp_Q9NRR5_UBQL4_HUMAN_.pdf")</f>
        <v>Melting_Curves/meltCurve_sp_Q9NRR5_UBQL4_HUMAN_.pdf</v>
      </c>
      <c r="AA2795" t="s">
        <v>14255</v>
      </c>
      <c r="AB2795" t="s">
        <v>18034</v>
      </c>
    </row>
    <row r="2796" spans="1:28" x14ac:dyDescent="0.25">
      <c r="A2796" t="s">
        <v>2800</v>
      </c>
      <c r="B2796">
        <v>0.98876768158843997</v>
      </c>
      <c r="C2796">
        <v>1.11717043452966</v>
      </c>
      <c r="D2796">
        <v>0.85415746953911997</v>
      </c>
      <c r="E2796">
        <v>0.66477105269379499</v>
      </c>
      <c r="F2796">
        <v>0.67478835430262296</v>
      </c>
      <c r="G2796">
        <v>0.26584651442507201</v>
      </c>
      <c r="H2796">
        <v>0.117388909125273</v>
      </c>
      <c r="I2796">
        <v>0.10919201405769401</v>
      </c>
      <c r="J2796">
        <v>0.101376770033834</v>
      </c>
      <c r="K2796">
        <v>8.5032470728751905E-2</v>
      </c>
      <c r="L2796">
        <v>811.96596323650499</v>
      </c>
      <c r="M2796">
        <v>15.191201239773999</v>
      </c>
      <c r="N2796">
        <v>53.732575111445001</v>
      </c>
      <c r="O2796">
        <v>52.549199288740198</v>
      </c>
      <c r="P2796">
        <v>-6.9501264085177997E-2</v>
      </c>
      <c r="Q2796">
        <v>3.8420921319701699E-2</v>
      </c>
      <c r="R2796">
        <v>0.96491400395660898</v>
      </c>
      <c r="S2796" t="s">
        <v>6628</v>
      </c>
      <c r="T2796" t="s">
        <v>7662</v>
      </c>
      <c r="U2796" t="s">
        <v>7662</v>
      </c>
      <c r="V2796" t="s">
        <v>7662</v>
      </c>
      <c r="W2796">
        <v>10</v>
      </c>
      <c r="X2796" t="s">
        <v>10458</v>
      </c>
      <c r="Y2796">
        <v>0.48946364015126631</v>
      </c>
      <c r="Z2796" t="str">
        <f>HYPERLINK("Melting_Curves/meltCurve_sp_Q9NRV9_HEBP1_HUMAN_.pdf", "Melting_Curves/meltCurve_sp_Q9NRV9_HEBP1_HUMAN_.pdf")</f>
        <v>Melting_Curves/meltCurve_sp_Q9NRV9_HEBP1_HUMAN_.pdf</v>
      </c>
      <c r="AA2796" t="s">
        <v>14256</v>
      </c>
      <c r="AB2796" t="s">
        <v>18035</v>
      </c>
    </row>
    <row r="2797" spans="1:28" x14ac:dyDescent="0.25">
      <c r="A2797" t="s">
        <v>2801</v>
      </c>
      <c r="B2797">
        <v>0.98876768158843997</v>
      </c>
      <c r="C2797">
        <v>0.97003773302135599</v>
      </c>
      <c r="D2797">
        <v>0.81367169321768296</v>
      </c>
      <c r="E2797">
        <v>0.46712705743438099</v>
      </c>
      <c r="F2797">
        <v>0.20223623119498299</v>
      </c>
      <c r="G2797">
        <v>0.115134357949395</v>
      </c>
      <c r="H2797">
        <v>8.3098332267140904E-2</v>
      </c>
      <c r="I2797">
        <v>6.7654104499879797E-2</v>
      </c>
      <c r="J2797">
        <v>0.102130939222647</v>
      </c>
      <c r="K2797">
        <v>6.2096341856576302E-2</v>
      </c>
      <c r="L2797">
        <v>1082.5066989351501</v>
      </c>
      <c r="M2797">
        <v>22.043473684851499</v>
      </c>
      <c r="N2797">
        <v>49.454069756178399</v>
      </c>
      <c r="O2797">
        <v>48.709017341179603</v>
      </c>
      <c r="P2797">
        <v>-0.1050503603199</v>
      </c>
      <c r="Q2797">
        <v>7.1509924420712606E-2</v>
      </c>
      <c r="R2797">
        <v>0.99834264686796903</v>
      </c>
      <c r="S2797" t="s">
        <v>6629</v>
      </c>
      <c r="T2797" t="s">
        <v>7662</v>
      </c>
      <c r="U2797" t="s">
        <v>7662</v>
      </c>
      <c r="V2797" t="s">
        <v>7662</v>
      </c>
      <c r="W2797">
        <v>3</v>
      </c>
      <c r="X2797" t="s">
        <v>10459</v>
      </c>
      <c r="Y2797">
        <v>0.36405275116794872</v>
      </c>
      <c r="Z2797" t="str">
        <f>HYPERLINK("Melting_Curves/meltCurve_sp_Q9NRW7_VPS45_HUMAN_.pdf", "Melting_Curves/meltCurve_sp_Q9NRW7_VPS45_HUMAN_.pdf")</f>
        <v>Melting_Curves/meltCurve_sp_Q9NRW7_VPS45_HUMAN_.pdf</v>
      </c>
      <c r="AA2797" t="s">
        <v>14257</v>
      </c>
      <c r="AB2797" t="s">
        <v>18036</v>
      </c>
    </row>
    <row r="2798" spans="1:28" x14ac:dyDescent="0.25">
      <c r="A2798" t="s">
        <v>2802</v>
      </c>
      <c r="B2798">
        <v>0.98876768158843997</v>
      </c>
      <c r="C2798">
        <v>1.1089512747630901</v>
      </c>
      <c r="D2798">
        <v>0.85345176465195305</v>
      </c>
      <c r="E2798">
        <v>0.73746248627119404</v>
      </c>
      <c r="F2798">
        <v>0.84527340988789401</v>
      </c>
      <c r="G2798">
        <v>0.53670990014386599</v>
      </c>
      <c r="H2798">
        <v>0.29963043158952402</v>
      </c>
      <c r="I2798">
        <v>0.33381283448978</v>
      </c>
      <c r="J2798">
        <v>0.27729068082310299</v>
      </c>
      <c r="K2798">
        <v>0.35094663950428601</v>
      </c>
      <c r="L2798">
        <v>763.42542355244905</v>
      </c>
      <c r="M2798">
        <v>13.927412991025401</v>
      </c>
      <c r="N2798">
        <v>57.6155415930006</v>
      </c>
      <c r="O2798">
        <v>53.7215946763299</v>
      </c>
      <c r="P2798">
        <v>-4.8878893223642202E-2</v>
      </c>
      <c r="Q2798">
        <v>0.245948081407763</v>
      </c>
      <c r="R2798">
        <v>0.92127733820101299</v>
      </c>
      <c r="S2798" t="s">
        <v>6630</v>
      </c>
      <c r="T2798" t="s">
        <v>7662</v>
      </c>
      <c r="U2798" t="s">
        <v>7662</v>
      </c>
      <c r="V2798" t="s">
        <v>7662</v>
      </c>
      <c r="W2798">
        <v>3</v>
      </c>
      <c r="X2798" t="s">
        <v>10460</v>
      </c>
      <c r="Y2798">
        <v>0.63422206876477571</v>
      </c>
      <c r="Z2798" t="str">
        <f>HYPERLINK("Melting_Curves/meltCurve_sp_Q9NRX4_PHP14_HUMAN_.pdf", "Melting_Curves/meltCurve_sp_Q9NRX4_PHP14_HUMAN_.pdf")</f>
        <v>Melting_Curves/meltCurve_sp_Q9NRX4_PHP14_HUMAN_.pdf</v>
      </c>
      <c r="AA2798" t="s">
        <v>14258</v>
      </c>
      <c r="AB2798" t="s">
        <v>18037</v>
      </c>
    </row>
    <row r="2799" spans="1:28" x14ac:dyDescent="0.25">
      <c r="A2799" t="s">
        <v>2803</v>
      </c>
      <c r="B2799">
        <v>0.98876768158843997</v>
      </c>
      <c r="C2799">
        <v>0.90223532013790597</v>
      </c>
      <c r="D2799">
        <v>0.78263398648330296</v>
      </c>
      <c r="E2799">
        <v>0.364220509319583</v>
      </c>
      <c r="F2799">
        <v>0.245960904967299</v>
      </c>
      <c r="G2799">
        <v>0.16087533755633501</v>
      </c>
      <c r="H2799">
        <v>0.107079431489477</v>
      </c>
      <c r="I2799">
        <v>9.5713497007258896E-2</v>
      </c>
      <c r="J2799">
        <v>0.102816132044822</v>
      </c>
      <c r="K2799">
        <v>0.12316675002406501</v>
      </c>
      <c r="L2799">
        <v>984.49819015938499</v>
      </c>
      <c r="M2799">
        <v>20.437926829717298</v>
      </c>
      <c r="N2799">
        <v>48.742529881482902</v>
      </c>
      <c r="O2799">
        <v>47.716108662813703</v>
      </c>
      <c r="P2799">
        <v>-9.5659377577361399E-2</v>
      </c>
      <c r="Q2799">
        <v>0.106688867760937</v>
      </c>
      <c r="R2799">
        <v>0.99654351452721701</v>
      </c>
      <c r="S2799" t="s">
        <v>6631</v>
      </c>
      <c r="T2799" t="s">
        <v>7662</v>
      </c>
      <c r="U2799" t="s">
        <v>7662</v>
      </c>
      <c r="V2799" t="s">
        <v>7662</v>
      </c>
      <c r="W2799">
        <v>10</v>
      </c>
      <c r="X2799" t="s">
        <v>10461</v>
      </c>
      <c r="Y2799">
        <v>0.36206066924706681</v>
      </c>
      <c r="Z2799" t="str">
        <f>HYPERLINK("Melting_Curves/meltCurve_sp_Q9NRY4_RHG35_HUMAN_.pdf", "Melting_Curves/meltCurve_sp_Q9NRY4_RHG35_HUMAN_.pdf")</f>
        <v>Melting_Curves/meltCurve_sp_Q9NRY4_RHG35_HUMAN_.pdf</v>
      </c>
      <c r="AA2799" t="s">
        <v>14259</v>
      </c>
      <c r="AB2799" t="s">
        <v>18038</v>
      </c>
    </row>
    <row r="2800" spans="1:28" x14ac:dyDescent="0.25">
      <c r="A2800" t="s">
        <v>2804</v>
      </c>
      <c r="B2800">
        <v>0.98876768158843997</v>
      </c>
      <c r="C2800">
        <v>1.0876298191106599</v>
      </c>
      <c r="D2800">
        <v>0.89987562072224603</v>
      </c>
      <c r="E2800">
        <v>0.72841328922378901</v>
      </c>
      <c r="F2800">
        <v>0.92456879253636004</v>
      </c>
      <c r="G2800">
        <v>0.43393521348341901</v>
      </c>
      <c r="H2800">
        <v>0.20925278169801001</v>
      </c>
      <c r="I2800">
        <v>0.23439103535049299</v>
      </c>
      <c r="J2800">
        <v>0.30981625464789903</v>
      </c>
      <c r="K2800">
        <v>0.35482300976460301</v>
      </c>
      <c r="L2800">
        <v>2153.4295763386699</v>
      </c>
      <c r="M2800">
        <v>39.031745062171296</v>
      </c>
      <c r="N2800">
        <v>56.310234672412399</v>
      </c>
      <c r="O2800">
        <v>55.027032940172397</v>
      </c>
      <c r="P2800">
        <v>-0.12892561639164299</v>
      </c>
      <c r="Q2800">
        <v>0.27296359285250998</v>
      </c>
      <c r="R2800">
        <v>0.90219587033846704</v>
      </c>
      <c r="S2800" t="s">
        <v>6632</v>
      </c>
      <c r="T2800" t="s">
        <v>7662</v>
      </c>
      <c r="U2800" t="s">
        <v>7662</v>
      </c>
      <c r="V2800" t="s">
        <v>7662</v>
      </c>
      <c r="W2800">
        <v>10</v>
      </c>
      <c r="X2800" t="s">
        <v>10462</v>
      </c>
      <c r="Y2800">
        <v>0.64353047208547332</v>
      </c>
      <c r="Z2800" t="str">
        <f>HYPERLINK("Melting_Curves/meltCurve_sp_Q9NRY5_F1142_HUMAN_.pdf", "Melting_Curves/meltCurve_sp_Q9NRY5_F1142_HUMAN_.pdf")</f>
        <v>Melting_Curves/meltCurve_sp_Q9NRY5_F1142_HUMAN_.pdf</v>
      </c>
      <c r="AA2800" t="s">
        <v>14260</v>
      </c>
      <c r="AB2800" t="s">
        <v>18039</v>
      </c>
    </row>
    <row r="2801" spans="1:28" x14ac:dyDescent="0.25">
      <c r="A2801" t="s">
        <v>2805</v>
      </c>
      <c r="B2801">
        <v>0.98876768158843997</v>
      </c>
      <c r="C2801">
        <v>0.96445842601317</v>
      </c>
      <c r="D2801">
        <v>0.84831711908779395</v>
      </c>
      <c r="E2801">
        <v>0.72563324052155298</v>
      </c>
      <c r="F2801">
        <v>0.65395086952923498</v>
      </c>
      <c r="G2801">
        <v>0.32404393410277599</v>
      </c>
      <c r="H2801">
        <v>0.147006604909662</v>
      </c>
      <c r="I2801">
        <v>7.2435802679785E-2</v>
      </c>
      <c r="J2801">
        <v>0.11973909949657401</v>
      </c>
      <c r="K2801">
        <v>9.2274590283111801E-2</v>
      </c>
      <c r="L2801">
        <v>720.96873810304999</v>
      </c>
      <c r="M2801">
        <v>13.349259111615</v>
      </c>
      <c r="N2801">
        <v>54.124265166414503</v>
      </c>
      <c r="O2801">
        <v>52.839339024993599</v>
      </c>
      <c r="P2801">
        <v>-6.2277976332103302E-2</v>
      </c>
      <c r="Q2801">
        <v>1.4116615189827099E-2</v>
      </c>
      <c r="R2801">
        <v>0.98542876140542102</v>
      </c>
      <c r="S2801" t="s">
        <v>6633</v>
      </c>
      <c r="T2801" t="s">
        <v>7662</v>
      </c>
      <c r="U2801" t="s">
        <v>7662</v>
      </c>
      <c r="V2801" t="s">
        <v>7662</v>
      </c>
      <c r="W2801">
        <v>9</v>
      </c>
      <c r="X2801" t="s">
        <v>10463</v>
      </c>
      <c r="Y2801">
        <v>0.49759882389717303</v>
      </c>
      <c r="Z2801" t="str">
        <f>HYPERLINK("Melting_Curves/meltCurve_sp_Q9NS86_LANC2_HUMAN_.pdf", "Melting_Curves/meltCurve_sp_Q9NS86_LANC2_HUMAN_.pdf")</f>
        <v>Melting_Curves/meltCurve_sp_Q9NS86_LANC2_HUMAN_.pdf</v>
      </c>
      <c r="AA2801" t="s">
        <v>14261</v>
      </c>
      <c r="AB2801" t="s">
        <v>18040</v>
      </c>
    </row>
    <row r="2802" spans="1:28" x14ac:dyDescent="0.25">
      <c r="A2802" t="s">
        <v>2806</v>
      </c>
      <c r="B2802">
        <v>0.98876768158843997</v>
      </c>
      <c r="C2802">
        <v>0.93732383534540697</v>
      </c>
      <c r="D2802">
        <v>0.88239203883364803</v>
      </c>
      <c r="E2802">
        <v>0.70272028368718498</v>
      </c>
      <c r="F2802">
        <v>0.645773874615162</v>
      </c>
      <c r="G2802">
        <v>0.40419294859735699</v>
      </c>
      <c r="H2802">
        <v>0.28918225616132698</v>
      </c>
      <c r="I2802">
        <v>0.32124008167123302</v>
      </c>
      <c r="J2802">
        <v>0.39580477629292599</v>
      </c>
      <c r="K2802">
        <v>0.38960254849976</v>
      </c>
      <c r="L2802">
        <v>797.00851797753899</v>
      </c>
      <c r="M2802">
        <v>15.6043572264022</v>
      </c>
      <c r="N2802">
        <v>54.801844809303901</v>
      </c>
      <c r="O2802">
        <v>50.2592498206484</v>
      </c>
      <c r="P2802">
        <v>-5.2247963778074599E-2</v>
      </c>
      <c r="Q2802">
        <v>0.32692741922070401</v>
      </c>
      <c r="R2802">
        <v>0.96572043738445801</v>
      </c>
      <c r="S2802" t="s">
        <v>6634</v>
      </c>
      <c r="T2802" t="s">
        <v>7662</v>
      </c>
      <c r="U2802" t="s">
        <v>7662</v>
      </c>
      <c r="V2802" t="s">
        <v>7662</v>
      </c>
      <c r="W2802">
        <v>1</v>
      </c>
      <c r="X2802" t="s">
        <v>10464</v>
      </c>
      <c r="Y2802">
        <v>0.58995417412807027</v>
      </c>
      <c r="Z2802" t="str">
        <f>HYPERLINK("Melting_Curves/meltCurve_sp_Q9NSA3_CNBP1_HUMAN_.pdf", "Melting_Curves/meltCurve_sp_Q9NSA3_CNBP1_HUMAN_.pdf")</f>
        <v>Melting_Curves/meltCurve_sp_Q9NSA3_CNBP1_HUMAN_.pdf</v>
      </c>
      <c r="AA2802" t="s">
        <v>14262</v>
      </c>
      <c r="AB2802" t="s">
        <v>18041</v>
      </c>
    </row>
    <row r="2803" spans="1:28" x14ac:dyDescent="0.25">
      <c r="A2803" t="s">
        <v>2807</v>
      </c>
      <c r="B2803">
        <v>0.98876768158843997</v>
      </c>
      <c r="C2803">
        <v>0.92859622969151601</v>
      </c>
      <c r="D2803">
        <v>0.92188680706442006</v>
      </c>
      <c r="E2803">
        <v>0.78287892407358495</v>
      </c>
      <c r="F2803">
        <v>0.307414270018045</v>
      </c>
      <c r="G2803">
        <v>0.114555057388918</v>
      </c>
      <c r="H2803">
        <v>6.7168911549653904E-2</v>
      </c>
      <c r="I2803">
        <v>6.1902243673674397E-2</v>
      </c>
      <c r="J2803">
        <v>6.5699784022876906E-2</v>
      </c>
      <c r="K2803">
        <v>6.9851986391004497E-2</v>
      </c>
      <c r="L2803">
        <v>1844.7096847329799</v>
      </c>
      <c r="M2803">
        <v>35.794833557607703</v>
      </c>
      <c r="N2803">
        <v>51.745766753105698</v>
      </c>
      <c r="O2803">
        <v>51.375583829780801</v>
      </c>
      <c r="P2803">
        <v>-0.16240067711162101</v>
      </c>
      <c r="Q2803">
        <v>6.7641684635535798E-2</v>
      </c>
      <c r="R2803">
        <v>0.99347812186486595</v>
      </c>
      <c r="S2803" t="s">
        <v>6635</v>
      </c>
      <c r="T2803" t="s">
        <v>7662</v>
      </c>
      <c r="U2803" t="s">
        <v>7662</v>
      </c>
      <c r="V2803" t="s">
        <v>7662</v>
      </c>
      <c r="W2803">
        <v>31</v>
      </c>
      <c r="X2803" t="s">
        <v>10465</v>
      </c>
      <c r="Y2803">
        <v>0.43030510188832721</v>
      </c>
      <c r="Z2803" t="str">
        <f>HYPERLINK("Melting_Curves/meltCurve_sp_Q9NSE4_SYIM_HUMAN_.pdf", "Melting_Curves/meltCurve_sp_Q9NSE4_SYIM_HUMAN_.pdf")</f>
        <v>Melting_Curves/meltCurve_sp_Q9NSE4_SYIM_HUMAN_.pdf</v>
      </c>
      <c r="AA2803" t="s">
        <v>14263</v>
      </c>
      <c r="AB2803" t="s">
        <v>18042</v>
      </c>
    </row>
    <row r="2804" spans="1:28" x14ac:dyDescent="0.25">
      <c r="A2804" t="s">
        <v>2808</v>
      </c>
      <c r="B2804">
        <v>0.98876768158843997</v>
      </c>
      <c r="C2804">
        <v>0.89919039048445903</v>
      </c>
      <c r="D2804">
        <v>0.884119165528783</v>
      </c>
      <c r="E2804">
        <v>0.45261693867793301</v>
      </c>
      <c r="F2804">
        <v>0.28915372529997202</v>
      </c>
      <c r="G2804">
        <v>0.133418386238838</v>
      </c>
      <c r="H2804">
        <v>7.8974499417356098E-2</v>
      </c>
      <c r="I2804">
        <v>7.7641065787526706E-2</v>
      </c>
      <c r="J2804">
        <v>9.7778778300976504E-2</v>
      </c>
      <c r="K2804">
        <v>9.2362120066997802E-2</v>
      </c>
      <c r="L2804">
        <v>1025.8186180886801</v>
      </c>
      <c r="M2804">
        <v>20.7583349724008</v>
      </c>
      <c r="N2804">
        <v>49.8398982517474</v>
      </c>
      <c r="O2804">
        <v>48.965437392646102</v>
      </c>
      <c r="P2804">
        <v>-9.7432828892586795E-2</v>
      </c>
      <c r="Q2804">
        <v>8.0714864538955294E-2</v>
      </c>
      <c r="R2804">
        <v>0.99336968538423498</v>
      </c>
      <c r="S2804" t="s">
        <v>6636</v>
      </c>
      <c r="T2804" t="s">
        <v>7662</v>
      </c>
      <c r="U2804" t="s">
        <v>7662</v>
      </c>
      <c r="V2804" t="s">
        <v>7662</v>
      </c>
      <c r="W2804">
        <v>18</v>
      </c>
      <c r="X2804" t="s">
        <v>10466</v>
      </c>
      <c r="Y2804">
        <v>0.381197152374668</v>
      </c>
      <c r="Z2804" t="str">
        <f>HYPERLINK("Melting_Curves/meltCurve_sp_Q9NSK0_KLC4_HUMAN_.pdf", "Melting_Curves/meltCurve_sp_Q9NSK0_KLC4_HUMAN_.pdf")</f>
        <v>Melting_Curves/meltCurve_sp_Q9NSK0_KLC4_HUMAN_.pdf</v>
      </c>
      <c r="AA2804" t="s">
        <v>14264</v>
      </c>
      <c r="AB2804" t="s">
        <v>18043</v>
      </c>
    </row>
    <row r="2805" spans="1:28" x14ac:dyDescent="0.25">
      <c r="A2805" t="s">
        <v>2809</v>
      </c>
      <c r="B2805">
        <v>0.98876768158843997</v>
      </c>
      <c r="C2805">
        <v>0.92521478735503504</v>
      </c>
      <c r="D2805">
        <v>0.80548792950657699</v>
      </c>
      <c r="E2805">
        <v>0.488289156733554</v>
      </c>
      <c r="F2805">
        <v>0.28504481800109599</v>
      </c>
      <c r="G2805">
        <v>0.15059108809558999</v>
      </c>
      <c r="H2805">
        <v>0.114703337352612</v>
      </c>
      <c r="I2805">
        <v>0.102307602908268</v>
      </c>
      <c r="J2805">
        <v>0.101573096044854</v>
      </c>
      <c r="K2805">
        <v>0.10910199620087099</v>
      </c>
      <c r="L2805">
        <v>899.27447382077503</v>
      </c>
      <c r="M2805">
        <v>18.270351802875599</v>
      </c>
      <c r="N2805">
        <v>49.777138030427999</v>
      </c>
      <c r="O2805">
        <v>48.642131467039299</v>
      </c>
      <c r="P2805">
        <v>-8.5228719024013799E-2</v>
      </c>
      <c r="Q2805">
        <v>9.2406398052590294E-2</v>
      </c>
      <c r="R2805">
        <v>0.99945421361025899</v>
      </c>
      <c r="S2805" t="s">
        <v>6637</v>
      </c>
      <c r="T2805" t="s">
        <v>7662</v>
      </c>
      <c r="U2805" t="s">
        <v>7662</v>
      </c>
      <c r="V2805" t="s">
        <v>7662</v>
      </c>
      <c r="W2805">
        <v>3</v>
      </c>
      <c r="X2805" t="s">
        <v>10467</v>
      </c>
      <c r="Y2805">
        <v>0.386556460773196</v>
      </c>
      <c r="Z2805" t="str">
        <f>HYPERLINK("Melting_Curves/meltCurve_sp_Q9NSY0_NRBP2_HUMAN_.pdf", "Melting_Curves/meltCurve_sp_Q9NSY0_NRBP2_HUMAN_.pdf")</f>
        <v>Melting_Curves/meltCurve_sp_Q9NSY0_NRBP2_HUMAN_.pdf</v>
      </c>
      <c r="AA2805" t="s">
        <v>14265</v>
      </c>
      <c r="AB2805" t="s">
        <v>18044</v>
      </c>
    </row>
    <row r="2806" spans="1:28" x14ac:dyDescent="0.25">
      <c r="A2806" t="s">
        <v>2810</v>
      </c>
      <c r="B2806">
        <v>0.98876768158843997</v>
      </c>
      <c r="C2806">
        <v>1.0235085174996801</v>
      </c>
      <c r="D2806">
        <v>0.71981919062843802</v>
      </c>
      <c r="E2806">
        <v>0.459475115244669</v>
      </c>
      <c r="F2806">
        <v>0.24366975746859301</v>
      </c>
      <c r="G2806">
        <v>9.3273848477426605E-2</v>
      </c>
      <c r="H2806">
        <v>6.4705752584392803E-2</v>
      </c>
      <c r="I2806">
        <v>6.9880255112303905E-2</v>
      </c>
      <c r="J2806">
        <v>8.6438726859384293E-2</v>
      </c>
      <c r="K2806">
        <v>2.8687593063047301E-2</v>
      </c>
      <c r="L2806">
        <v>915.02621427612303</v>
      </c>
      <c r="M2806">
        <v>18.678052853503299</v>
      </c>
      <c r="N2806">
        <v>49.263931790966701</v>
      </c>
      <c r="O2806">
        <v>48.438193271258399</v>
      </c>
      <c r="P2806">
        <v>-9.1640270047063196E-2</v>
      </c>
      <c r="Q2806">
        <v>4.9429938837416601E-2</v>
      </c>
      <c r="R2806">
        <v>0.99005757217259505</v>
      </c>
      <c r="S2806" t="s">
        <v>6638</v>
      </c>
      <c r="T2806" t="s">
        <v>7662</v>
      </c>
      <c r="U2806" t="s">
        <v>7662</v>
      </c>
      <c r="V2806" t="s">
        <v>7662</v>
      </c>
      <c r="W2806">
        <v>1</v>
      </c>
      <c r="X2806" t="s">
        <v>10468</v>
      </c>
      <c r="Y2806">
        <v>0.34955670884643958</v>
      </c>
      <c r="Z2806" t="str">
        <f>HYPERLINK("Melting_Curves/meltCurve_sp_Q9NSY1_2_BMP2K_HUMAN_.pdf", "Melting_Curves/meltCurve_sp_Q9NSY1_2_BMP2K_HUMAN_.pdf")</f>
        <v>Melting_Curves/meltCurve_sp_Q9NSY1_2_BMP2K_HUMAN_.pdf</v>
      </c>
      <c r="AA2806" t="s">
        <v>14266</v>
      </c>
      <c r="AB2806" t="s">
        <v>18045</v>
      </c>
    </row>
    <row r="2807" spans="1:28" x14ac:dyDescent="0.25">
      <c r="A2807" t="s">
        <v>2811</v>
      </c>
      <c r="B2807">
        <v>0.98876768158843997</v>
      </c>
      <c r="C2807">
        <v>1.1117593195750599</v>
      </c>
      <c r="D2807">
        <v>0.75288512364287496</v>
      </c>
      <c r="E2807">
        <v>0.39523296198457702</v>
      </c>
      <c r="F2807">
        <v>0.10885082468313401</v>
      </c>
      <c r="G2807">
        <v>6.1208458181162502E-2</v>
      </c>
      <c r="H2807">
        <v>4.2802941807375101E-2</v>
      </c>
      <c r="I2807">
        <v>3.2720018533914999E-2</v>
      </c>
      <c r="J2807">
        <v>2.36047709868063E-2</v>
      </c>
      <c r="K2807">
        <v>3.4902637188750897E-2</v>
      </c>
      <c r="L2807">
        <v>1233.10089983281</v>
      </c>
      <c r="M2807">
        <v>25.3368329506769</v>
      </c>
      <c r="N2807">
        <v>48.789642001177199</v>
      </c>
      <c r="O2807">
        <v>48.368159757539999</v>
      </c>
      <c r="P2807">
        <v>-0.12696142737114599</v>
      </c>
      <c r="Q2807">
        <v>3.0531700832625401E-2</v>
      </c>
      <c r="R2807">
        <v>0.98389303522157801</v>
      </c>
      <c r="S2807" t="s">
        <v>6639</v>
      </c>
      <c r="T2807" t="s">
        <v>7662</v>
      </c>
      <c r="U2807" t="s">
        <v>7662</v>
      </c>
      <c r="V2807" t="s">
        <v>7662</v>
      </c>
      <c r="W2807">
        <v>4</v>
      </c>
      <c r="X2807" t="s">
        <v>10469</v>
      </c>
      <c r="Y2807">
        <v>0.31899377140838081</v>
      </c>
      <c r="Z2807" t="str">
        <f>HYPERLINK("Melting_Curves/meltCurve_sp_Q9NSY2_STAR5_HUMAN_.pdf", "Melting_Curves/meltCurve_sp_Q9NSY2_STAR5_HUMAN_.pdf")</f>
        <v>Melting_Curves/meltCurve_sp_Q9NSY2_STAR5_HUMAN_.pdf</v>
      </c>
      <c r="AA2807" t="s">
        <v>14267</v>
      </c>
      <c r="AB2807" t="s">
        <v>18046</v>
      </c>
    </row>
    <row r="2808" spans="1:28" x14ac:dyDescent="0.25">
      <c r="A2808" t="s">
        <v>2812</v>
      </c>
      <c r="B2808">
        <v>0.98876768158843997</v>
      </c>
      <c r="C2808">
        <v>1.0967260087358099</v>
      </c>
      <c r="D2808">
        <v>0.90372844050308498</v>
      </c>
      <c r="E2808">
        <v>0.73935675354156405</v>
      </c>
      <c r="F2808">
        <v>0.82262593243879401</v>
      </c>
      <c r="G2808">
        <v>0.494713649757621</v>
      </c>
      <c r="H2808">
        <v>0.25569507714755502</v>
      </c>
      <c r="I2808">
        <v>0.164183025378103</v>
      </c>
      <c r="J2808">
        <v>0.12951020078168399</v>
      </c>
      <c r="K2808">
        <v>0.12948701512313199</v>
      </c>
      <c r="L2808">
        <v>764.21764892893498</v>
      </c>
      <c r="M2808">
        <v>13.5273614606603</v>
      </c>
      <c r="N2808">
        <v>56.733383848464399</v>
      </c>
      <c r="O2808">
        <v>55.302464034268702</v>
      </c>
      <c r="P2808">
        <v>-5.9465823412298197E-2</v>
      </c>
      <c r="Q2808">
        <v>2.7715795522430298E-2</v>
      </c>
      <c r="R2808">
        <v>0.96708982990132897</v>
      </c>
      <c r="S2808" t="s">
        <v>6640</v>
      </c>
      <c r="T2808" t="s">
        <v>7662</v>
      </c>
      <c r="U2808" t="s">
        <v>7662</v>
      </c>
      <c r="V2808" t="s">
        <v>7662</v>
      </c>
      <c r="W2808">
        <v>6</v>
      </c>
      <c r="X2808" t="s">
        <v>10470</v>
      </c>
      <c r="Y2808">
        <v>0.57972166347780207</v>
      </c>
      <c r="Z2808" t="str">
        <f>HYPERLINK("Melting_Curves/meltCurve_sp_Q9NT62_ATG3_HUMAN_.pdf", "Melting_Curves/meltCurve_sp_Q9NT62_ATG3_HUMAN_.pdf")</f>
        <v>Melting_Curves/meltCurve_sp_Q9NT62_ATG3_HUMAN_.pdf</v>
      </c>
      <c r="AA2808" t="s">
        <v>14268</v>
      </c>
      <c r="AB2808" t="s">
        <v>18047</v>
      </c>
    </row>
    <row r="2809" spans="1:28" x14ac:dyDescent="0.25">
      <c r="A2809" t="s">
        <v>2813</v>
      </c>
      <c r="B2809">
        <v>0.98876768158843997</v>
      </c>
      <c r="C2809">
        <v>0.89697811397712002</v>
      </c>
      <c r="D2809">
        <v>0.87456093740776597</v>
      </c>
      <c r="E2809">
        <v>0.56992282721047705</v>
      </c>
      <c r="F2809">
        <v>0.26193560204426902</v>
      </c>
      <c r="G2809">
        <v>0.16923686074404401</v>
      </c>
      <c r="H2809">
        <v>0.105437913807275</v>
      </c>
      <c r="I2809">
        <v>7.6922714488233304E-2</v>
      </c>
      <c r="J2809">
        <v>3.20549285971806E-2</v>
      </c>
      <c r="K2809">
        <v>3.9089632478839002E-2</v>
      </c>
      <c r="L2809">
        <v>917.857230780235</v>
      </c>
      <c r="M2809">
        <v>18.266497221733001</v>
      </c>
      <c r="N2809">
        <v>50.512086235052301</v>
      </c>
      <c r="O2809">
        <v>49.657529835670303</v>
      </c>
      <c r="P2809">
        <v>-8.7780314834141504E-2</v>
      </c>
      <c r="Q2809">
        <v>4.55205504999565E-2</v>
      </c>
      <c r="R2809">
        <v>0.99293542471488205</v>
      </c>
      <c r="S2809" t="s">
        <v>6641</v>
      </c>
      <c r="T2809" t="s">
        <v>7662</v>
      </c>
      <c r="U2809" t="s">
        <v>7662</v>
      </c>
      <c r="V2809" t="s">
        <v>7662</v>
      </c>
      <c r="W2809">
        <v>4</v>
      </c>
      <c r="X2809" t="s">
        <v>10471</v>
      </c>
      <c r="Y2809">
        <v>0.38735866916233841</v>
      </c>
      <c r="Z2809" t="str">
        <f>HYPERLINK("Melting_Curves/meltCurve_sp_Q9NTG7_2_SIR3_HUMAN_.pdf", "Melting_Curves/meltCurve_sp_Q9NTG7_2_SIR3_HUMAN_.pdf")</f>
        <v>Melting_Curves/meltCurve_sp_Q9NTG7_2_SIR3_HUMAN_.pdf</v>
      </c>
      <c r="AA2809" t="s">
        <v>14269</v>
      </c>
      <c r="AB2809" t="s">
        <v>18048</v>
      </c>
    </row>
    <row r="2810" spans="1:28" x14ac:dyDescent="0.25">
      <c r="A2810" t="s">
        <v>2814</v>
      </c>
      <c r="B2810">
        <v>0.98876768158843997</v>
      </c>
      <c r="C2810">
        <v>1.1578870282353799</v>
      </c>
      <c r="D2810">
        <v>0.90384904478275496</v>
      </c>
      <c r="E2810">
        <v>0.66347221451998095</v>
      </c>
      <c r="F2810">
        <v>0.29933849448938399</v>
      </c>
      <c r="G2810">
        <v>0.15671174839948901</v>
      </c>
      <c r="H2810">
        <v>9.5698975673657094E-2</v>
      </c>
      <c r="I2810">
        <v>7.7977578330659103E-2</v>
      </c>
      <c r="J2810">
        <v>8.2979133659977403E-2</v>
      </c>
      <c r="K2810">
        <v>6.4553858829680802E-2</v>
      </c>
      <c r="L2810">
        <v>1360.8728572785101</v>
      </c>
      <c r="M2810">
        <v>26.733049189868101</v>
      </c>
      <c r="N2810">
        <v>51.240405565961801</v>
      </c>
      <c r="O2810">
        <v>50.623713829286203</v>
      </c>
      <c r="P2810">
        <v>-0.12145228319783399</v>
      </c>
      <c r="Q2810">
        <v>8.0044754547621805E-2</v>
      </c>
      <c r="R2810">
        <v>0.98191995820378297</v>
      </c>
      <c r="S2810" t="s">
        <v>6642</v>
      </c>
      <c r="T2810" t="s">
        <v>7662</v>
      </c>
      <c r="U2810" t="s">
        <v>7662</v>
      </c>
      <c r="V2810" t="s">
        <v>7662</v>
      </c>
      <c r="W2810">
        <v>4</v>
      </c>
      <c r="X2810" t="s">
        <v>10472</v>
      </c>
      <c r="Y2810">
        <v>0.42175001525416461</v>
      </c>
      <c r="Z2810" t="str">
        <f>HYPERLINK("Melting_Curves/meltCurve_sp_Q9NTG7_SIR3_HUMAN_.pdf", "Melting_Curves/meltCurve_sp_Q9NTG7_SIR3_HUMAN_.pdf")</f>
        <v>Melting_Curves/meltCurve_sp_Q9NTG7_SIR3_HUMAN_.pdf</v>
      </c>
      <c r="AA2810" t="s">
        <v>14269</v>
      </c>
      <c r="AB2810" t="s">
        <v>18049</v>
      </c>
    </row>
    <row r="2811" spans="1:28" x14ac:dyDescent="0.25">
      <c r="A2811" t="s">
        <v>2815</v>
      </c>
      <c r="B2811">
        <v>0.98876768158843997</v>
      </c>
      <c r="C2811">
        <v>0.79312026959551896</v>
      </c>
      <c r="D2811">
        <v>0.80864621634030898</v>
      </c>
      <c r="E2811">
        <v>0.420423206794663</v>
      </c>
      <c r="F2811">
        <v>0.156619973573633</v>
      </c>
      <c r="G2811">
        <v>9.7340552772596595E-2</v>
      </c>
      <c r="H2811">
        <v>8.9904438645409396E-2</v>
      </c>
      <c r="I2811">
        <v>2.7977077005668802E-2</v>
      </c>
      <c r="J2811">
        <v>5.6356916549186599E-2</v>
      </c>
      <c r="K2811">
        <v>0</v>
      </c>
      <c r="L2811">
        <v>833.83418885102003</v>
      </c>
      <c r="M2811">
        <v>17.1206507330762</v>
      </c>
      <c r="N2811">
        <v>48.826603479133503</v>
      </c>
      <c r="O2811">
        <v>48.053519494898097</v>
      </c>
      <c r="P2811">
        <v>-8.7193259144087903E-2</v>
      </c>
      <c r="Q2811">
        <v>2.11374015914545E-2</v>
      </c>
      <c r="R2811">
        <v>0.97989495770061097</v>
      </c>
      <c r="S2811" t="s">
        <v>6643</v>
      </c>
      <c r="T2811" t="s">
        <v>7662</v>
      </c>
      <c r="U2811" t="s">
        <v>7662</v>
      </c>
      <c r="V2811" t="s">
        <v>7662</v>
      </c>
      <c r="W2811">
        <v>1</v>
      </c>
      <c r="X2811" t="s">
        <v>10473</v>
      </c>
      <c r="Y2811">
        <v>0.32398243479581718</v>
      </c>
      <c r="Z2811" t="str">
        <f>HYPERLINK("Melting_Curves/meltCurve_sp_Q9NTI5_2_PDS5B_HUMAN_.pdf", "Melting_Curves/meltCurve_sp_Q9NTI5_2_PDS5B_HUMAN_.pdf")</f>
        <v>Melting_Curves/meltCurve_sp_Q9NTI5_2_PDS5B_HUMAN_.pdf</v>
      </c>
      <c r="AA2811" t="s">
        <v>14270</v>
      </c>
      <c r="AB2811" t="s">
        <v>18050</v>
      </c>
    </row>
    <row r="2812" spans="1:28" x14ac:dyDescent="0.25">
      <c r="A2812" t="s">
        <v>2816</v>
      </c>
      <c r="B2812">
        <v>0.98876768158843997</v>
      </c>
      <c r="C2812">
        <v>0.92516236065298896</v>
      </c>
      <c r="D2812">
        <v>1.09316655844792</v>
      </c>
      <c r="E2812">
        <v>0.92766611893036399</v>
      </c>
      <c r="F2812">
        <v>0.44051202757279501</v>
      </c>
      <c r="G2812">
        <v>0.21635931420232099</v>
      </c>
      <c r="H2812">
        <v>7.8088275009566194E-2</v>
      </c>
      <c r="I2812">
        <v>6.3734592104341001E-2</v>
      </c>
      <c r="J2812">
        <v>0.168245168129876</v>
      </c>
      <c r="K2812">
        <v>3.54740867998833E-2</v>
      </c>
      <c r="L2812">
        <v>2217.5510424417198</v>
      </c>
      <c r="M2812">
        <v>42.242910321793197</v>
      </c>
      <c r="N2812">
        <v>52.783534485995503</v>
      </c>
      <c r="O2812">
        <v>52.377990193784299</v>
      </c>
      <c r="P2812">
        <v>-0.18085303625824301</v>
      </c>
      <c r="Q2812">
        <v>0.103025555347036</v>
      </c>
      <c r="R2812">
        <v>0.98043602030190802</v>
      </c>
      <c r="S2812" t="s">
        <v>6644</v>
      </c>
      <c r="T2812" t="s">
        <v>7662</v>
      </c>
      <c r="U2812" t="s">
        <v>7662</v>
      </c>
      <c r="V2812" t="s">
        <v>7662</v>
      </c>
      <c r="W2812">
        <v>7</v>
      </c>
      <c r="X2812" t="s">
        <v>10474</v>
      </c>
      <c r="Y2812">
        <v>0.47953680724773812</v>
      </c>
      <c r="Z2812" t="str">
        <f>HYPERLINK("Melting_Curves/meltCurve_sp_Q9NTJ4_3_MA2C1_HUMAN_.pdf", "Melting_Curves/meltCurve_sp_Q9NTJ4_3_MA2C1_HUMAN_.pdf")</f>
        <v>Melting_Curves/meltCurve_sp_Q9NTJ4_3_MA2C1_HUMAN_.pdf</v>
      </c>
      <c r="AA2812" t="s">
        <v>14271</v>
      </c>
      <c r="AB2812" t="s">
        <v>18051</v>
      </c>
    </row>
    <row r="2813" spans="1:28" x14ac:dyDescent="0.25">
      <c r="A2813" t="s">
        <v>2817</v>
      </c>
      <c r="B2813">
        <v>0.98876768158843997</v>
      </c>
      <c r="C2813">
        <v>1.07146576857136</v>
      </c>
      <c r="D2813">
        <v>0.85713598872584496</v>
      </c>
      <c r="E2813">
        <v>0.89242713665794104</v>
      </c>
      <c r="F2813">
        <v>1.0562111130714</v>
      </c>
      <c r="G2813">
        <v>0.80800019757846697</v>
      </c>
      <c r="H2813">
        <v>0.618892842040347</v>
      </c>
      <c r="I2813">
        <v>0.69613026135334499</v>
      </c>
      <c r="J2813">
        <v>0.77286995074300202</v>
      </c>
      <c r="K2813">
        <v>1.01902666334037</v>
      </c>
      <c r="L2813">
        <v>14146.5548967431</v>
      </c>
      <c r="M2813">
        <v>250</v>
      </c>
      <c r="O2813">
        <v>56.5825984419617</v>
      </c>
      <c r="P2813">
        <v>-0.246619629488631</v>
      </c>
      <c r="Q2813">
        <v>0.77672992884051695</v>
      </c>
      <c r="R2813">
        <v>0.40177064051332601</v>
      </c>
      <c r="S2813" t="s">
        <v>6645</v>
      </c>
      <c r="T2813" t="s">
        <v>7662</v>
      </c>
      <c r="U2813" t="s">
        <v>7662</v>
      </c>
      <c r="V2813" t="s">
        <v>7662</v>
      </c>
      <c r="W2813">
        <v>9</v>
      </c>
      <c r="X2813" t="s">
        <v>10475</v>
      </c>
      <c r="Y2813">
        <v>0.90019231557850143</v>
      </c>
      <c r="Z2813" t="str">
        <f>HYPERLINK("Melting_Curves/meltCurve_sp_Q9NTK5_2_OLA1_HUMAN_.pdf", "Melting_Curves/meltCurve_sp_Q9NTK5_2_OLA1_HUMAN_.pdf")</f>
        <v>Melting_Curves/meltCurve_sp_Q9NTK5_2_OLA1_HUMAN_.pdf</v>
      </c>
      <c r="AA2813" t="s">
        <v>14272</v>
      </c>
      <c r="AB2813" t="s">
        <v>18052</v>
      </c>
    </row>
    <row r="2814" spans="1:28" x14ac:dyDescent="0.25">
      <c r="A2814" t="s">
        <v>2818</v>
      </c>
      <c r="B2814">
        <v>0.98876768158843997</v>
      </c>
      <c r="C2814">
        <v>0.89809898392798904</v>
      </c>
      <c r="D2814">
        <v>0.85889760550143301</v>
      </c>
      <c r="E2814">
        <v>0.36756974463814102</v>
      </c>
      <c r="F2814">
        <v>8.9891991054967493E-2</v>
      </c>
      <c r="G2814">
        <v>5.0383315002805198E-2</v>
      </c>
      <c r="H2814">
        <v>2.9120881449983801E-2</v>
      </c>
      <c r="I2814">
        <v>2.6339109864319001E-2</v>
      </c>
      <c r="J2814">
        <v>2.6278154419593601E-2</v>
      </c>
      <c r="K2814">
        <v>2.3754640836632899E-2</v>
      </c>
      <c r="L2814">
        <v>1340.66033081149</v>
      </c>
      <c r="M2814">
        <v>27.472007220524802</v>
      </c>
      <c r="N2814">
        <v>48.881471365808999</v>
      </c>
      <c r="O2814">
        <v>48.544577335164803</v>
      </c>
      <c r="P2814">
        <v>-0.13835005554534999</v>
      </c>
      <c r="Q2814">
        <v>2.2119865116025199E-2</v>
      </c>
      <c r="R2814">
        <v>0.99484098346421101</v>
      </c>
      <c r="S2814" t="s">
        <v>6646</v>
      </c>
      <c r="T2814" t="s">
        <v>7662</v>
      </c>
      <c r="U2814" t="s">
        <v>7662</v>
      </c>
      <c r="V2814" t="s">
        <v>7662</v>
      </c>
      <c r="W2814">
        <v>9</v>
      </c>
      <c r="X2814" t="s">
        <v>10476</v>
      </c>
      <c r="Y2814">
        <v>0.316117155246883</v>
      </c>
      <c r="Z2814" t="str">
        <f>HYPERLINK("Melting_Curves/meltCurve_sp_Q9NTK5_OLA1_HUMAN_.pdf", "Melting_Curves/meltCurve_sp_Q9NTK5_OLA1_HUMAN_.pdf")</f>
        <v>Melting_Curves/meltCurve_sp_Q9NTK5_OLA1_HUMAN_.pdf</v>
      </c>
      <c r="AA2814" t="s">
        <v>14272</v>
      </c>
      <c r="AB2814" t="s">
        <v>18053</v>
      </c>
    </row>
    <row r="2815" spans="1:28" x14ac:dyDescent="0.25">
      <c r="A2815" t="s">
        <v>2819</v>
      </c>
      <c r="B2815">
        <v>0.98876768158843997</v>
      </c>
      <c r="C2815">
        <v>0.91753979856919599</v>
      </c>
      <c r="D2815">
        <v>0.88580217388391602</v>
      </c>
      <c r="E2815">
        <v>0.79346263520726401</v>
      </c>
      <c r="F2815">
        <v>0.76100529537990602</v>
      </c>
      <c r="G2815">
        <v>0.58886007454381195</v>
      </c>
      <c r="H2815">
        <v>0.51419240140622102</v>
      </c>
      <c r="I2815">
        <v>0.54477792182242102</v>
      </c>
      <c r="J2815">
        <v>0.54488908018721205</v>
      </c>
      <c r="K2815">
        <v>0.52342864591284399</v>
      </c>
      <c r="L2815">
        <v>566.18147062128901</v>
      </c>
      <c r="M2815">
        <v>10.944817757187399</v>
      </c>
      <c r="O2815">
        <v>50.0935222443943</v>
      </c>
      <c r="P2815">
        <v>-2.82806286783257E-2</v>
      </c>
      <c r="Q2815">
        <v>0.48242559758729697</v>
      </c>
      <c r="R2815">
        <v>0.97220986493470896</v>
      </c>
      <c r="S2815" t="s">
        <v>6647</v>
      </c>
      <c r="T2815" t="s">
        <v>7662</v>
      </c>
      <c r="U2815" t="s">
        <v>7662</v>
      </c>
      <c r="V2815" t="s">
        <v>7662</v>
      </c>
      <c r="W2815">
        <v>14</v>
      </c>
      <c r="X2815" t="s">
        <v>10477</v>
      </c>
      <c r="Y2815">
        <v>0.70293761650067921</v>
      </c>
      <c r="Z2815" t="str">
        <f>HYPERLINK("Melting_Curves/meltCurve_sp_Q9NTX5_6_ECHD1_HUMAN_.pdf", "Melting_Curves/meltCurve_sp_Q9NTX5_6_ECHD1_HUMAN_.pdf")</f>
        <v>Melting_Curves/meltCurve_sp_Q9NTX5_6_ECHD1_HUMAN_.pdf</v>
      </c>
      <c r="AA2815" t="s">
        <v>14273</v>
      </c>
      <c r="AB2815" t="s">
        <v>18054</v>
      </c>
    </row>
    <row r="2816" spans="1:28" x14ac:dyDescent="0.25">
      <c r="A2816" t="s">
        <v>2820</v>
      </c>
      <c r="B2816">
        <v>0.98876768158843997</v>
      </c>
      <c r="C2816">
        <v>0.97751700919861795</v>
      </c>
      <c r="D2816">
        <v>0.86371996243899296</v>
      </c>
      <c r="E2816">
        <v>0.58933728678104103</v>
      </c>
      <c r="F2816">
        <v>0.39762685887733001</v>
      </c>
      <c r="G2816">
        <v>0.12240926562148199</v>
      </c>
      <c r="H2816">
        <v>7.0119817626212597E-2</v>
      </c>
      <c r="I2816">
        <v>7.6140815010063603E-2</v>
      </c>
      <c r="J2816">
        <v>7.0430703272609696E-2</v>
      </c>
      <c r="K2816">
        <v>5.2293337070463602E-2</v>
      </c>
      <c r="L2816">
        <v>916.28943441633601</v>
      </c>
      <c r="M2816">
        <v>17.992680052089099</v>
      </c>
      <c r="N2816">
        <v>51.168377998319897</v>
      </c>
      <c r="O2816">
        <v>50.309121564187798</v>
      </c>
      <c r="P2816">
        <v>-8.5757898166300806E-2</v>
      </c>
      <c r="Q2816">
        <v>4.0900966127113102E-2</v>
      </c>
      <c r="R2816">
        <v>0.996939240435465</v>
      </c>
      <c r="S2816" t="s">
        <v>6648</v>
      </c>
      <c r="T2816" t="s">
        <v>7662</v>
      </c>
      <c r="U2816" t="s">
        <v>7662</v>
      </c>
      <c r="V2816" t="s">
        <v>7662</v>
      </c>
      <c r="W2816">
        <v>7</v>
      </c>
      <c r="X2816" t="s">
        <v>10478</v>
      </c>
      <c r="Y2816">
        <v>0.40638066918820681</v>
      </c>
      <c r="Z2816" t="str">
        <f>HYPERLINK("Melting_Curves/meltCurve_sp_Q9NTZ6_RBM12_HUMAN_.pdf", "Melting_Curves/meltCurve_sp_Q9NTZ6_RBM12_HUMAN_.pdf")</f>
        <v>Melting_Curves/meltCurve_sp_Q9NTZ6_RBM12_HUMAN_.pdf</v>
      </c>
      <c r="AA2816" t="s">
        <v>14274</v>
      </c>
      <c r="AB2816" t="s">
        <v>18055</v>
      </c>
    </row>
    <row r="2817" spans="1:28" x14ac:dyDescent="0.25">
      <c r="A2817" t="s">
        <v>2821</v>
      </c>
      <c r="B2817">
        <v>0.98876768158843997</v>
      </c>
      <c r="C2817">
        <v>1.15848953713993</v>
      </c>
      <c r="D2817">
        <v>0.89302229885219397</v>
      </c>
      <c r="E2817">
        <v>0.73200007328976802</v>
      </c>
      <c r="F2817">
        <v>0.81795772826138202</v>
      </c>
      <c r="G2817">
        <v>0.38622790063892298</v>
      </c>
      <c r="H2817">
        <v>0.18259031849182999</v>
      </c>
      <c r="I2817">
        <v>0.133023012098129</v>
      </c>
      <c r="J2817">
        <v>0.14450752008578099</v>
      </c>
      <c r="K2817">
        <v>0.116534828094111</v>
      </c>
      <c r="L2817">
        <v>929.58169703021701</v>
      </c>
      <c r="M2817">
        <v>16.857984321535799</v>
      </c>
      <c r="N2817">
        <v>55.649830254365803</v>
      </c>
      <c r="O2817">
        <v>54.383532135086803</v>
      </c>
      <c r="P2817">
        <v>-7.1974665500966206E-2</v>
      </c>
      <c r="Q2817">
        <v>7.1303833235591002E-2</v>
      </c>
      <c r="R2817">
        <v>0.95193032949085299</v>
      </c>
      <c r="S2817" t="s">
        <v>6649</v>
      </c>
      <c r="T2817" t="s">
        <v>7662</v>
      </c>
      <c r="U2817" t="s">
        <v>7662</v>
      </c>
      <c r="V2817" t="s">
        <v>7662</v>
      </c>
      <c r="W2817">
        <v>4</v>
      </c>
      <c r="X2817" t="s">
        <v>10479</v>
      </c>
      <c r="Y2817">
        <v>0.55557519399318123</v>
      </c>
      <c r="Z2817" t="str">
        <f>HYPERLINK("Melting_Curves/meltCurve_sp_Q9NU23_LYRM2_HUMAN_.pdf", "Melting_Curves/meltCurve_sp_Q9NU23_LYRM2_HUMAN_.pdf")</f>
        <v>Melting_Curves/meltCurve_sp_Q9NU23_LYRM2_HUMAN_.pdf</v>
      </c>
      <c r="AA2817" t="s">
        <v>14275</v>
      </c>
      <c r="AB2817" t="s">
        <v>18056</v>
      </c>
    </row>
    <row r="2818" spans="1:28" x14ac:dyDescent="0.25">
      <c r="A2818" t="s">
        <v>2822</v>
      </c>
      <c r="B2818">
        <v>0.98876768158843997</v>
      </c>
      <c r="C2818">
        <v>0.79805845046273505</v>
      </c>
      <c r="D2818">
        <v>0.88455551048931103</v>
      </c>
      <c r="E2818">
        <v>0.67271475840132</v>
      </c>
      <c r="F2818">
        <v>0.43820538979261298</v>
      </c>
      <c r="G2818">
        <v>0.317258846587816</v>
      </c>
      <c r="H2818">
        <v>0.27507841939502797</v>
      </c>
      <c r="I2818">
        <v>0.30075819816584398</v>
      </c>
      <c r="J2818">
        <v>0.29577916565814</v>
      </c>
      <c r="K2818">
        <v>0.33749882178152002</v>
      </c>
      <c r="L2818">
        <v>778.65365894751096</v>
      </c>
      <c r="M2818">
        <v>15.686567857343</v>
      </c>
      <c r="N2818">
        <v>52.301460108259</v>
      </c>
      <c r="O2818">
        <v>48.8525419882629</v>
      </c>
      <c r="P2818">
        <v>-5.8199665365860298E-2</v>
      </c>
      <c r="Q2818">
        <v>0.27505860477695498</v>
      </c>
      <c r="R2818">
        <v>0.95121627440733603</v>
      </c>
      <c r="S2818" t="s">
        <v>6650</v>
      </c>
      <c r="T2818" t="s">
        <v>7662</v>
      </c>
      <c r="U2818" t="s">
        <v>7662</v>
      </c>
      <c r="V2818" t="s">
        <v>7662</v>
      </c>
      <c r="W2818">
        <v>20</v>
      </c>
      <c r="X2818" t="s">
        <v>10480</v>
      </c>
      <c r="Y2818">
        <v>0.52408265638819596</v>
      </c>
      <c r="Z2818" t="str">
        <f>HYPERLINK("Melting_Curves/meltCurve_sp_Q9NUI1_DECR2_HUMAN_.pdf", "Melting_Curves/meltCurve_sp_Q9NUI1_DECR2_HUMAN_.pdf")</f>
        <v>Melting_Curves/meltCurve_sp_Q9NUI1_DECR2_HUMAN_.pdf</v>
      </c>
      <c r="AA2818" t="s">
        <v>14276</v>
      </c>
      <c r="AB2818" t="s">
        <v>18057</v>
      </c>
    </row>
    <row r="2819" spans="1:28" x14ac:dyDescent="0.25">
      <c r="A2819" t="s">
        <v>2823</v>
      </c>
      <c r="B2819">
        <v>0.98876768158843997</v>
      </c>
      <c r="C2819">
        <v>0.99139849039434302</v>
      </c>
      <c r="D2819">
        <v>0.89142896461602905</v>
      </c>
      <c r="E2819">
        <v>0.77709954669626502</v>
      </c>
      <c r="F2819">
        <v>0.756496125120385</v>
      </c>
      <c r="G2819">
        <v>0.56158750532484103</v>
      </c>
      <c r="H2819">
        <v>0.39556316362882699</v>
      </c>
      <c r="I2819">
        <v>0.233517571333549</v>
      </c>
      <c r="J2819">
        <v>5.8272991921721501E-2</v>
      </c>
      <c r="K2819">
        <v>4.7549733031513698E-2</v>
      </c>
      <c r="L2819">
        <v>692.68072185947506</v>
      </c>
      <c r="M2819">
        <v>12.058051286597699</v>
      </c>
      <c r="N2819">
        <v>57.4454849815926</v>
      </c>
      <c r="O2819">
        <v>55.9339536811543</v>
      </c>
      <c r="P2819">
        <v>-5.3906900320797001E-2</v>
      </c>
      <c r="Q2819">
        <v>0</v>
      </c>
      <c r="R2819">
        <v>0.97659611532527502</v>
      </c>
      <c r="S2819" t="s">
        <v>6651</v>
      </c>
      <c r="T2819" t="s">
        <v>7662</v>
      </c>
      <c r="U2819" t="s">
        <v>7662</v>
      </c>
      <c r="V2819" t="s">
        <v>7662</v>
      </c>
      <c r="W2819">
        <v>12</v>
      </c>
      <c r="X2819" t="s">
        <v>10481</v>
      </c>
      <c r="Y2819">
        <v>0.59660600087786075</v>
      </c>
      <c r="Z2819" t="str">
        <f>HYPERLINK("Melting_Curves/meltCurve_sp_Q9NUJ1_ABHDA_HUMAN_.pdf", "Melting_Curves/meltCurve_sp_Q9NUJ1_ABHDA_HUMAN_.pdf")</f>
        <v>Melting_Curves/meltCurve_sp_Q9NUJ1_ABHDA_HUMAN_.pdf</v>
      </c>
      <c r="AA2819" t="s">
        <v>14277</v>
      </c>
      <c r="AB2819" t="s">
        <v>18058</v>
      </c>
    </row>
    <row r="2820" spans="1:28" x14ac:dyDescent="0.25">
      <c r="A2820" t="s">
        <v>2824</v>
      </c>
      <c r="B2820">
        <v>0.98876768158843997</v>
      </c>
      <c r="C2820">
        <v>1.0783039258256</v>
      </c>
      <c r="D2820">
        <v>0.91685332368351302</v>
      </c>
      <c r="E2820">
        <v>0.80545526822709401</v>
      </c>
      <c r="F2820">
        <v>0.82808582682457299</v>
      </c>
      <c r="G2820">
        <v>0.67465759358869803</v>
      </c>
      <c r="H2820">
        <v>0.515839783203761</v>
      </c>
      <c r="I2820">
        <v>0.59121930938585698</v>
      </c>
      <c r="J2820">
        <v>0.60242519435876496</v>
      </c>
      <c r="K2820">
        <v>0.93534562981819502</v>
      </c>
      <c r="L2820">
        <v>1050.4869280031601</v>
      </c>
      <c r="M2820">
        <v>20.967669124774801</v>
      </c>
      <c r="O2820">
        <v>49.6512861169318</v>
      </c>
      <c r="P2820">
        <v>-3.5251223107521198E-2</v>
      </c>
      <c r="Q2820">
        <v>0.66611046833382004</v>
      </c>
      <c r="R2820">
        <v>0.61621865926410901</v>
      </c>
      <c r="S2820" t="s">
        <v>6652</v>
      </c>
      <c r="T2820" t="s">
        <v>7662</v>
      </c>
      <c r="U2820" t="s">
        <v>7662</v>
      </c>
      <c r="V2820" t="s">
        <v>7662</v>
      </c>
      <c r="W2820">
        <v>4</v>
      </c>
      <c r="X2820" t="s">
        <v>10482</v>
      </c>
      <c r="Y2820">
        <v>0.78276051742017461</v>
      </c>
      <c r="Z2820" t="str">
        <f>HYPERLINK("Melting_Curves/meltCurve_sp_Q9NUL5_4_CS066_HUMAN_.pdf", "Melting_Curves/meltCurve_sp_Q9NUL5_4_CS066_HUMAN_.pdf")</f>
        <v>Melting_Curves/meltCurve_sp_Q9NUL5_4_CS066_HUMAN_.pdf</v>
      </c>
      <c r="AA2820" t="s">
        <v>14278</v>
      </c>
      <c r="AB2820" t="s">
        <v>18059</v>
      </c>
    </row>
    <row r="2821" spans="1:28" x14ac:dyDescent="0.25">
      <c r="A2821" t="s">
        <v>2825</v>
      </c>
      <c r="B2821">
        <v>0.98876768158843997</v>
      </c>
      <c r="C2821">
        <v>0.892291500623005</v>
      </c>
      <c r="D2821">
        <v>0.88316666257328802</v>
      </c>
      <c r="E2821">
        <v>0.78489965662654104</v>
      </c>
      <c r="F2821">
        <v>0.73647738935050699</v>
      </c>
      <c r="G2821">
        <v>0.50273749893003905</v>
      </c>
      <c r="H2821">
        <v>0.26259162041223599</v>
      </c>
      <c r="I2821">
        <v>0.295600364367618</v>
      </c>
      <c r="J2821">
        <v>0.497622210245036</v>
      </c>
      <c r="K2821">
        <v>0.39411372163761899</v>
      </c>
      <c r="L2821">
        <v>799.42394096853695</v>
      </c>
      <c r="M2821">
        <v>15.196897994890699</v>
      </c>
      <c r="N2821">
        <v>56.826135961025301</v>
      </c>
      <c r="O2821">
        <v>51.718759111090399</v>
      </c>
      <c r="P2821">
        <v>-4.8611023094266299E-2</v>
      </c>
      <c r="Q2821">
        <v>0.33832273682178499</v>
      </c>
      <c r="R2821">
        <v>0.89464984550252102</v>
      </c>
      <c r="S2821" t="s">
        <v>6653</v>
      </c>
      <c r="T2821" t="s">
        <v>7662</v>
      </c>
      <c r="U2821" t="s">
        <v>7662</v>
      </c>
      <c r="V2821" t="s">
        <v>7662</v>
      </c>
      <c r="W2821">
        <v>1</v>
      </c>
      <c r="X2821" t="s">
        <v>10483</v>
      </c>
      <c r="Y2821">
        <v>0.63052073940121078</v>
      </c>
      <c r="Z2821" t="str">
        <f>HYPERLINK("Melting_Curves/meltCurve_sp_Q9NUP1_BL1S4_HUMAN_.pdf", "Melting_Curves/meltCurve_sp_Q9NUP1_BL1S4_HUMAN_.pdf")</f>
        <v>Melting_Curves/meltCurve_sp_Q9NUP1_BL1S4_HUMAN_.pdf</v>
      </c>
      <c r="AA2821" t="s">
        <v>14279</v>
      </c>
      <c r="AB2821" t="s">
        <v>18060</v>
      </c>
    </row>
    <row r="2822" spans="1:28" x14ac:dyDescent="0.25">
      <c r="A2822" t="s">
        <v>2826</v>
      </c>
      <c r="B2822">
        <v>0.98876768158843997</v>
      </c>
      <c r="C2822">
        <v>1.0183939532717601</v>
      </c>
      <c r="D2822">
        <v>0.80714033286806797</v>
      </c>
      <c r="E2822">
        <v>0.486846009121087</v>
      </c>
      <c r="F2822">
        <v>0.39380922682733799</v>
      </c>
      <c r="G2822">
        <v>0.26932809636969701</v>
      </c>
      <c r="H2822">
        <v>0.22030314742291501</v>
      </c>
      <c r="I2822">
        <v>0.22556836853068701</v>
      </c>
      <c r="J2822">
        <v>0.273656706377083</v>
      </c>
      <c r="K2822">
        <v>0.29667196758723402</v>
      </c>
      <c r="L2822">
        <v>1088.7876334223099</v>
      </c>
      <c r="M2822">
        <v>22.476740210942602</v>
      </c>
      <c r="N2822">
        <v>50.030571156325699</v>
      </c>
      <c r="O2822">
        <v>48.062107762702702</v>
      </c>
      <c r="P2822">
        <v>-8.7076611912821705E-2</v>
      </c>
      <c r="Q2822">
        <v>0.25523041306725502</v>
      </c>
      <c r="R2822">
        <v>0.98818142397417397</v>
      </c>
      <c r="S2822" t="s">
        <v>6654</v>
      </c>
      <c r="T2822" t="s">
        <v>7662</v>
      </c>
      <c r="U2822" t="s">
        <v>7662</v>
      </c>
      <c r="V2822" t="s">
        <v>7662</v>
      </c>
      <c r="W2822">
        <v>9</v>
      </c>
      <c r="X2822" t="s">
        <v>10484</v>
      </c>
      <c r="Y2822">
        <v>0.47300255903825678</v>
      </c>
      <c r="Z2822" t="str">
        <f>HYPERLINK("Melting_Curves/meltCurve_sp_Q9NUQ6_SPS2L_HUMAN_.pdf", "Melting_Curves/meltCurve_sp_Q9NUQ6_SPS2L_HUMAN_.pdf")</f>
        <v>Melting_Curves/meltCurve_sp_Q9NUQ6_SPS2L_HUMAN_.pdf</v>
      </c>
      <c r="AA2822" t="s">
        <v>14280</v>
      </c>
      <c r="AB2822" t="s">
        <v>18061</v>
      </c>
    </row>
    <row r="2823" spans="1:28" x14ac:dyDescent="0.25">
      <c r="A2823" t="s">
        <v>2827</v>
      </c>
      <c r="B2823">
        <v>0.98876768158843997</v>
      </c>
      <c r="C2823">
        <v>0.78353900687840505</v>
      </c>
      <c r="D2823">
        <v>0.58809983920234798</v>
      </c>
      <c r="E2823">
        <v>0.40254063534912299</v>
      </c>
      <c r="F2823">
        <v>0.43057261571998101</v>
      </c>
      <c r="G2823">
        <v>0.35226680804067301</v>
      </c>
      <c r="H2823">
        <v>0.27276014098099999</v>
      </c>
      <c r="I2823">
        <v>0.27148805854777303</v>
      </c>
      <c r="J2823">
        <v>0.51115728472233801</v>
      </c>
      <c r="K2823">
        <v>0.41010906399488301</v>
      </c>
      <c r="L2823">
        <v>1000.60939788595</v>
      </c>
      <c r="M2823">
        <v>22.490368343816701</v>
      </c>
      <c r="N2823">
        <v>47.309965047813598</v>
      </c>
      <c r="O2823">
        <v>44.143309469421403</v>
      </c>
      <c r="P2823">
        <v>-8.0358273673295399E-2</v>
      </c>
      <c r="Q2823">
        <v>0.36911524269908902</v>
      </c>
      <c r="R2823">
        <v>0.90361031826004001</v>
      </c>
      <c r="S2823" t="s">
        <v>6655</v>
      </c>
      <c r="T2823" t="s">
        <v>7662</v>
      </c>
      <c r="U2823" t="s">
        <v>7662</v>
      </c>
      <c r="V2823" t="s">
        <v>7662</v>
      </c>
      <c r="W2823">
        <v>5</v>
      </c>
      <c r="X2823" t="s">
        <v>10485</v>
      </c>
      <c r="Y2823">
        <v>0.47218049235507958</v>
      </c>
      <c r="Z2823" t="str">
        <f>HYPERLINK("Melting_Curves/meltCurve_sp_Q9NUQ8_2_ABCF3_HUMAN_.pdf", "Melting_Curves/meltCurve_sp_Q9NUQ8_2_ABCF3_HUMAN_.pdf")</f>
        <v>Melting_Curves/meltCurve_sp_Q9NUQ8_2_ABCF3_HUMAN_.pdf</v>
      </c>
      <c r="AA2823" t="s">
        <v>14281</v>
      </c>
      <c r="AB2823" t="s">
        <v>18062</v>
      </c>
    </row>
    <row r="2824" spans="1:28" x14ac:dyDescent="0.25">
      <c r="A2824" t="s">
        <v>2828</v>
      </c>
      <c r="B2824">
        <v>0.98876768158843997</v>
      </c>
      <c r="C2824">
        <v>1.06353212154001</v>
      </c>
      <c r="D2824">
        <v>0.93069775497367802</v>
      </c>
      <c r="E2824">
        <v>0.76686632117001596</v>
      </c>
      <c r="F2824">
        <v>0.69558231683165295</v>
      </c>
      <c r="G2824">
        <v>0.419358627821106</v>
      </c>
      <c r="H2824">
        <v>0.13111310925040801</v>
      </c>
      <c r="I2824">
        <v>8.5525001002414197E-2</v>
      </c>
      <c r="J2824">
        <v>0.117489143951405</v>
      </c>
      <c r="K2824">
        <v>7.9606552347677398E-2</v>
      </c>
      <c r="L2824">
        <v>867.28450906501803</v>
      </c>
      <c r="M2824">
        <v>15.778789646085499</v>
      </c>
      <c r="N2824">
        <v>55.154827067462101</v>
      </c>
      <c r="O2824">
        <v>54.1050839194682</v>
      </c>
      <c r="P2824">
        <v>-7.0989178617274398E-2</v>
      </c>
      <c r="Q2824">
        <v>2.6400261730654701E-2</v>
      </c>
      <c r="R2824">
        <v>0.98559301385159703</v>
      </c>
      <c r="S2824" t="s">
        <v>6656</v>
      </c>
      <c r="T2824" t="s">
        <v>7662</v>
      </c>
      <c r="U2824" t="s">
        <v>7662</v>
      </c>
      <c r="V2824" t="s">
        <v>7662</v>
      </c>
      <c r="W2824">
        <v>3</v>
      </c>
      <c r="X2824" t="s">
        <v>10486</v>
      </c>
      <c r="Y2824">
        <v>0.52986230443618298</v>
      </c>
      <c r="Z2824" t="str">
        <f>HYPERLINK("Melting_Curves/meltCurve_sp_Q9NUQ9_FA49B_HUMAN_.pdf", "Melting_Curves/meltCurve_sp_Q9NUQ9_FA49B_HUMAN_.pdf")</f>
        <v>Melting_Curves/meltCurve_sp_Q9NUQ9_FA49B_HUMAN_.pdf</v>
      </c>
      <c r="AA2824" t="s">
        <v>14282</v>
      </c>
      <c r="AB2824" t="s">
        <v>18063</v>
      </c>
    </row>
    <row r="2825" spans="1:28" x14ac:dyDescent="0.25">
      <c r="A2825" t="s">
        <v>2829</v>
      </c>
      <c r="B2825">
        <v>0.98876768158843997</v>
      </c>
      <c r="C2825">
        <v>0.96914380563054503</v>
      </c>
      <c r="D2825">
        <v>0.82022848192503695</v>
      </c>
      <c r="E2825">
        <v>0.60912432435602704</v>
      </c>
      <c r="F2825">
        <v>0.24136084117716</v>
      </c>
      <c r="G2825">
        <v>0.14243735269795399</v>
      </c>
      <c r="H2825">
        <v>9.1634203495657096E-2</v>
      </c>
      <c r="I2825">
        <v>8.1459205937238696E-2</v>
      </c>
      <c r="J2825">
        <v>8.7457722120760001E-2</v>
      </c>
      <c r="K2825">
        <v>5.4073856392960501E-2</v>
      </c>
      <c r="L2825">
        <v>1014.65437847652</v>
      </c>
      <c r="M2825">
        <v>20.239348051615998</v>
      </c>
      <c r="N2825">
        <v>50.4723047302952</v>
      </c>
      <c r="O2825">
        <v>49.6510481141149</v>
      </c>
      <c r="P2825">
        <v>-9.5424781832846306E-2</v>
      </c>
      <c r="Q2825">
        <v>6.3647200109825594E-2</v>
      </c>
      <c r="R2825">
        <v>0.99252876139681001</v>
      </c>
      <c r="S2825" t="s">
        <v>6657</v>
      </c>
      <c r="T2825" t="s">
        <v>7662</v>
      </c>
      <c r="U2825" t="s">
        <v>7662</v>
      </c>
      <c r="V2825" t="s">
        <v>7662</v>
      </c>
      <c r="W2825">
        <v>4</v>
      </c>
      <c r="X2825" t="s">
        <v>10487</v>
      </c>
      <c r="Y2825">
        <v>0.39263978354534468</v>
      </c>
      <c r="Z2825" t="str">
        <f>HYPERLINK("Melting_Curves/meltCurve_sp_Q9NUV9_GIMA4_HUMAN_.pdf", "Melting_Curves/meltCurve_sp_Q9NUV9_GIMA4_HUMAN_.pdf")</f>
        <v>Melting_Curves/meltCurve_sp_Q9NUV9_GIMA4_HUMAN_.pdf</v>
      </c>
      <c r="AA2825" t="s">
        <v>14283</v>
      </c>
      <c r="AB2825" t="s">
        <v>18064</v>
      </c>
    </row>
    <row r="2826" spans="1:28" x14ac:dyDescent="0.25">
      <c r="A2826" t="s">
        <v>2830</v>
      </c>
      <c r="B2826">
        <v>0.98876768158843997</v>
      </c>
      <c r="C2826">
        <v>1.0414491954868801</v>
      </c>
      <c r="D2826">
        <v>0.95070258433412003</v>
      </c>
      <c r="E2826">
        <v>0.73648799361611905</v>
      </c>
      <c r="F2826">
        <v>0.41748978168578899</v>
      </c>
      <c r="G2826">
        <v>0.111659729670621</v>
      </c>
      <c r="H2826">
        <v>4.7899172168709397E-2</v>
      </c>
      <c r="I2826">
        <v>3.8767812232346599E-2</v>
      </c>
      <c r="J2826">
        <v>3.9896590358860597E-2</v>
      </c>
      <c r="K2826">
        <v>4.7873696914611401E-2</v>
      </c>
      <c r="L2826">
        <v>1319.76872716194</v>
      </c>
      <c r="M2826">
        <v>25.3757905957197</v>
      </c>
      <c r="N2826">
        <v>52.148450602661299</v>
      </c>
      <c r="O2826">
        <v>51.689186877327103</v>
      </c>
      <c r="P2826">
        <v>-0.11870780230455499</v>
      </c>
      <c r="Q2826">
        <v>3.2805073995451697E-2</v>
      </c>
      <c r="R2826">
        <v>0.99816956376702604</v>
      </c>
      <c r="S2826" t="s">
        <v>6658</v>
      </c>
      <c r="T2826" t="s">
        <v>7662</v>
      </c>
      <c r="U2826" t="s">
        <v>7662</v>
      </c>
      <c r="V2826" t="s">
        <v>7662</v>
      </c>
      <c r="W2826">
        <v>2</v>
      </c>
      <c r="X2826" t="s">
        <v>10488</v>
      </c>
      <c r="Y2826">
        <v>0.42855220516198378</v>
      </c>
      <c r="Z2826" t="str">
        <f>HYPERLINK("Melting_Curves/meltCurve_sp_Q9NUY8_2_TBC23_HUMAN_.pdf", "Melting_Curves/meltCurve_sp_Q9NUY8_2_TBC23_HUMAN_.pdf")</f>
        <v>Melting_Curves/meltCurve_sp_Q9NUY8_2_TBC23_HUMAN_.pdf</v>
      </c>
      <c r="AA2826" t="s">
        <v>14284</v>
      </c>
      <c r="AB2826" t="s">
        <v>18065</v>
      </c>
    </row>
    <row r="2827" spans="1:28" x14ac:dyDescent="0.25">
      <c r="A2827" t="s">
        <v>2831</v>
      </c>
      <c r="B2827">
        <v>0.98876768158843997</v>
      </c>
      <c r="C2827">
        <v>1.0283485883682999</v>
      </c>
      <c r="D2827">
        <v>0.86757431713480604</v>
      </c>
      <c r="E2827">
        <v>0.63673923261165999</v>
      </c>
      <c r="F2827">
        <v>0.36855800027069402</v>
      </c>
      <c r="G2827">
        <v>0.21665674109482699</v>
      </c>
      <c r="H2827">
        <v>0.134562088135319</v>
      </c>
      <c r="I2827">
        <v>0.12930434584331901</v>
      </c>
      <c r="J2827">
        <v>0.140541366174259</v>
      </c>
      <c r="K2827">
        <v>9.9544052963797106E-2</v>
      </c>
      <c r="L2827">
        <v>1000.19455079677</v>
      </c>
      <c r="M2827">
        <v>19.7069561206891</v>
      </c>
      <c r="N2827">
        <v>51.422921145558803</v>
      </c>
      <c r="O2827">
        <v>50.239425422843603</v>
      </c>
      <c r="P2827">
        <v>-8.6971367376290007E-2</v>
      </c>
      <c r="Q2827">
        <v>0.11315748767756501</v>
      </c>
      <c r="R2827">
        <v>0.99622890057040003</v>
      </c>
      <c r="S2827" t="s">
        <v>6659</v>
      </c>
      <c r="T2827" t="s">
        <v>7662</v>
      </c>
      <c r="U2827" t="s">
        <v>7662</v>
      </c>
      <c r="V2827" t="s">
        <v>7662</v>
      </c>
      <c r="W2827">
        <v>2</v>
      </c>
      <c r="X2827" t="s">
        <v>10489</v>
      </c>
      <c r="Y2827">
        <v>0.44370868800933549</v>
      </c>
      <c r="Z2827" t="str">
        <f>HYPERLINK("Melting_Curves/meltCurve_sp_Q9NV35_NUD15_HUMAN_.pdf", "Melting_Curves/meltCurve_sp_Q9NV35_NUD15_HUMAN_.pdf")</f>
        <v>Melting_Curves/meltCurve_sp_Q9NV35_NUD15_HUMAN_.pdf</v>
      </c>
      <c r="AA2827" t="s">
        <v>14285</v>
      </c>
      <c r="AB2827" t="s">
        <v>18066</v>
      </c>
    </row>
    <row r="2828" spans="1:28" x14ac:dyDescent="0.25">
      <c r="A2828" t="s">
        <v>2832</v>
      </c>
      <c r="B2828">
        <v>0.98876768158843997</v>
      </c>
      <c r="C2828">
        <v>0.98096885195513395</v>
      </c>
      <c r="D2828">
        <v>0.93864548091705202</v>
      </c>
      <c r="E2828">
        <v>0.74422162091986699</v>
      </c>
      <c r="F2828">
        <v>0.72394075363541099</v>
      </c>
      <c r="G2828">
        <v>0.41311628553880098</v>
      </c>
      <c r="H2828">
        <v>0.29637591609533798</v>
      </c>
      <c r="I2828">
        <v>0.25527996517958901</v>
      </c>
      <c r="J2828">
        <v>0.34701298966350502</v>
      </c>
      <c r="K2828">
        <v>0.32341332079177798</v>
      </c>
      <c r="L2828">
        <v>909.70358426842301</v>
      </c>
      <c r="M2828">
        <v>17.182728501818001</v>
      </c>
      <c r="N2828">
        <v>55.526095322923602</v>
      </c>
      <c r="O2828">
        <v>52.241420977892098</v>
      </c>
      <c r="P2828">
        <v>-5.9602418228624401E-2</v>
      </c>
      <c r="Q2828">
        <v>0.27519531362258598</v>
      </c>
      <c r="R2828">
        <v>0.97323231115478304</v>
      </c>
      <c r="S2828" t="s">
        <v>6660</v>
      </c>
      <c r="T2828" t="s">
        <v>7662</v>
      </c>
      <c r="U2828" t="s">
        <v>7662</v>
      </c>
      <c r="V2828" t="s">
        <v>7662</v>
      </c>
      <c r="W2828">
        <v>2</v>
      </c>
      <c r="X2828" t="s">
        <v>10490</v>
      </c>
      <c r="Y2828">
        <v>0.60068515266966171</v>
      </c>
      <c r="Z2828" t="str">
        <f>HYPERLINK("Melting_Curves/meltCurve_sp_Q9NV56_MRGBP_HUMAN_.pdf", "Melting_Curves/meltCurve_sp_Q9NV56_MRGBP_HUMAN_.pdf")</f>
        <v>Melting_Curves/meltCurve_sp_Q9NV56_MRGBP_HUMAN_.pdf</v>
      </c>
      <c r="AA2828" t="s">
        <v>14286</v>
      </c>
      <c r="AB2828" t="s">
        <v>18067</v>
      </c>
    </row>
    <row r="2829" spans="1:28" x14ac:dyDescent="0.25">
      <c r="A2829" t="s">
        <v>2833</v>
      </c>
      <c r="B2829">
        <v>0.98876768158843997</v>
      </c>
      <c r="C2829">
        <v>0.91226925023987504</v>
      </c>
      <c r="D2829">
        <v>0.97523653366112095</v>
      </c>
      <c r="E2829">
        <v>0.39500806532589799</v>
      </c>
      <c r="F2829">
        <v>0.14929569598487399</v>
      </c>
      <c r="G2829">
        <v>7.65739562066E-2</v>
      </c>
      <c r="H2829">
        <v>4.22426951038102E-2</v>
      </c>
      <c r="I2829">
        <v>3.62638018956358E-2</v>
      </c>
      <c r="J2829">
        <v>4.9761304016002303E-2</v>
      </c>
      <c r="K2829">
        <v>5.7194535461843499E-2</v>
      </c>
      <c r="L2829">
        <v>1860.95911163816</v>
      </c>
      <c r="M2829">
        <v>37.725957226806202</v>
      </c>
      <c r="N2829">
        <v>49.481230135671296</v>
      </c>
      <c r="O2829">
        <v>49.190368834384003</v>
      </c>
      <c r="P2829">
        <v>-0.18118560766695099</v>
      </c>
      <c r="Q2829">
        <v>5.50207797162112E-2</v>
      </c>
      <c r="R2829">
        <v>0.99356309940296295</v>
      </c>
      <c r="S2829" t="s">
        <v>6661</v>
      </c>
      <c r="T2829" t="s">
        <v>7662</v>
      </c>
      <c r="U2829" t="s">
        <v>7662</v>
      </c>
      <c r="V2829" t="s">
        <v>7662</v>
      </c>
      <c r="W2829">
        <v>6</v>
      </c>
      <c r="X2829" t="s">
        <v>10491</v>
      </c>
      <c r="Y2829">
        <v>0.35248719898521153</v>
      </c>
      <c r="Z2829" t="str">
        <f>HYPERLINK("Melting_Curves/meltCurve_sp_Q9NV70_2_EXOC1_HUMAN_.pdf", "Melting_Curves/meltCurve_sp_Q9NV70_2_EXOC1_HUMAN_.pdf")</f>
        <v>Melting_Curves/meltCurve_sp_Q9NV70_2_EXOC1_HUMAN_.pdf</v>
      </c>
      <c r="AA2829" t="s">
        <v>14287</v>
      </c>
      <c r="AB2829" t="s">
        <v>18068</v>
      </c>
    </row>
    <row r="2830" spans="1:28" x14ac:dyDescent="0.25">
      <c r="A2830" t="s">
        <v>2834</v>
      </c>
      <c r="B2830">
        <v>0.98876768158843997</v>
      </c>
      <c r="C2830">
        <v>0.85734367012817603</v>
      </c>
      <c r="D2830">
        <v>0.93076100331749601</v>
      </c>
      <c r="E2830">
        <v>0.61204483637100304</v>
      </c>
      <c r="F2830">
        <v>0.34066628772267199</v>
      </c>
      <c r="G2830">
        <v>0.143815302592399</v>
      </c>
      <c r="H2830">
        <v>8.7675497397094806E-2</v>
      </c>
      <c r="I2830">
        <v>8.2283136328262896E-2</v>
      </c>
      <c r="J2830">
        <v>8.9953669939794395E-2</v>
      </c>
      <c r="K2830">
        <v>6.3880984389705603E-2</v>
      </c>
      <c r="L2830">
        <v>1026.55817842188</v>
      </c>
      <c r="M2830">
        <v>20.217558250537198</v>
      </c>
      <c r="N2830">
        <v>51.124047431520303</v>
      </c>
      <c r="O2830">
        <v>50.286669464366</v>
      </c>
      <c r="P2830">
        <v>-9.4044651239327107E-2</v>
      </c>
      <c r="Q2830">
        <v>6.4369214203221697E-2</v>
      </c>
      <c r="R2830">
        <v>0.98798015276296303</v>
      </c>
      <c r="S2830" t="s">
        <v>6662</v>
      </c>
      <c r="T2830" t="s">
        <v>7662</v>
      </c>
      <c r="U2830" t="s">
        <v>7662</v>
      </c>
      <c r="V2830" t="s">
        <v>7662</v>
      </c>
      <c r="W2830">
        <v>9</v>
      </c>
      <c r="X2830" t="s">
        <v>10492</v>
      </c>
      <c r="Y2830">
        <v>0.41316640484745959</v>
      </c>
      <c r="Z2830" t="str">
        <f>HYPERLINK("Melting_Curves/meltCurve_sp_Q9NVD7_PARVA_HUMAN_.pdf", "Melting_Curves/meltCurve_sp_Q9NVD7_PARVA_HUMAN_.pdf")</f>
        <v>Melting_Curves/meltCurve_sp_Q9NVD7_PARVA_HUMAN_.pdf</v>
      </c>
      <c r="AA2830" t="s">
        <v>14288</v>
      </c>
      <c r="AB2830" t="s">
        <v>18069</v>
      </c>
    </row>
    <row r="2831" spans="1:28" x14ac:dyDescent="0.25">
      <c r="A2831" t="s">
        <v>2835</v>
      </c>
      <c r="B2831">
        <v>0.98876768158843997</v>
      </c>
      <c r="C2831">
        <v>0.81730503412128097</v>
      </c>
      <c r="D2831">
        <v>0.74569926705641898</v>
      </c>
      <c r="E2831">
        <v>0.24121784920529801</v>
      </c>
      <c r="F2831">
        <v>0.13199915906537801</v>
      </c>
      <c r="G2831">
        <v>7.8801613679152199E-2</v>
      </c>
      <c r="H2831">
        <v>4.9686055623374401E-2</v>
      </c>
      <c r="I2831">
        <v>4.5397444971642699E-2</v>
      </c>
      <c r="J2831">
        <v>3.0425124785268799E-2</v>
      </c>
      <c r="K2831">
        <v>1.8021675852341899E-2</v>
      </c>
      <c r="L2831">
        <v>993.68402181235797</v>
      </c>
      <c r="M2831">
        <v>20.912218260054399</v>
      </c>
      <c r="N2831">
        <v>47.6661137950192</v>
      </c>
      <c r="O2831">
        <v>47.088779416300497</v>
      </c>
      <c r="P2831">
        <v>-0.107510957094057</v>
      </c>
      <c r="Q2831">
        <v>3.1681053915695603E-2</v>
      </c>
      <c r="R2831">
        <v>0.98795199392861499</v>
      </c>
      <c r="S2831" t="s">
        <v>6663</v>
      </c>
      <c r="T2831" t="s">
        <v>7662</v>
      </c>
      <c r="U2831" t="s">
        <v>7662</v>
      </c>
      <c r="V2831" t="s">
        <v>7662</v>
      </c>
      <c r="W2831">
        <v>10</v>
      </c>
      <c r="X2831" t="s">
        <v>10493</v>
      </c>
      <c r="Y2831">
        <v>0.28694923012911139</v>
      </c>
      <c r="Z2831" t="str">
        <f>HYPERLINK("Melting_Curves/meltCurve_sp_Q9NVE7_PANK4_HUMAN_.pdf", "Melting_Curves/meltCurve_sp_Q9NVE7_PANK4_HUMAN_.pdf")</f>
        <v>Melting_Curves/meltCurve_sp_Q9NVE7_PANK4_HUMAN_.pdf</v>
      </c>
      <c r="AA2831" t="s">
        <v>14289</v>
      </c>
      <c r="AB2831" t="s">
        <v>18070</v>
      </c>
    </row>
    <row r="2832" spans="1:28" x14ac:dyDescent="0.25">
      <c r="A2832" t="s">
        <v>2836</v>
      </c>
      <c r="B2832">
        <v>0.98876768158843997</v>
      </c>
      <c r="C2832">
        <v>1.14908525520376</v>
      </c>
      <c r="D2832">
        <v>0.86139417585145495</v>
      </c>
      <c r="E2832">
        <v>0.55024380576570497</v>
      </c>
      <c r="F2832">
        <v>0.22166393178772301</v>
      </c>
      <c r="G2832">
        <v>0.12501454392389</v>
      </c>
      <c r="H2832">
        <v>8.4076522507802495E-2</v>
      </c>
      <c r="I2832">
        <v>7.3573239902635895E-2</v>
      </c>
      <c r="J2832">
        <v>0.125127312804517</v>
      </c>
      <c r="K2832">
        <v>0.103254095617182</v>
      </c>
      <c r="L2832">
        <v>1392.13904184084</v>
      </c>
      <c r="M2832">
        <v>27.923248526809999</v>
      </c>
      <c r="N2832">
        <v>50.2298337820529</v>
      </c>
      <c r="O2832">
        <v>49.602319427956203</v>
      </c>
      <c r="P2832">
        <v>-0.12753032937764999</v>
      </c>
      <c r="Q2832">
        <v>9.3838347522341603E-2</v>
      </c>
      <c r="R2832">
        <v>0.98057336806622097</v>
      </c>
      <c r="S2832" t="s">
        <v>6664</v>
      </c>
      <c r="T2832" t="s">
        <v>7662</v>
      </c>
      <c r="U2832" t="s">
        <v>7662</v>
      </c>
      <c r="V2832" t="s">
        <v>7662</v>
      </c>
      <c r="W2832">
        <v>3</v>
      </c>
      <c r="X2832" t="s">
        <v>10494</v>
      </c>
      <c r="Y2832">
        <v>0.39800674429039629</v>
      </c>
      <c r="Z2832" t="str">
        <f>HYPERLINK("Melting_Curves/meltCurve_sp_Q9NVF9_EKI2_HUMAN_.pdf", "Melting_Curves/meltCurve_sp_Q9NVF9_EKI2_HUMAN_.pdf")</f>
        <v>Melting_Curves/meltCurve_sp_Q9NVF9_EKI2_HUMAN_.pdf</v>
      </c>
      <c r="AA2832" t="s">
        <v>14290</v>
      </c>
      <c r="AB2832" t="s">
        <v>18071</v>
      </c>
    </row>
    <row r="2833" spans="1:28" x14ac:dyDescent="0.25">
      <c r="A2833" t="s">
        <v>2837</v>
      </c>
      <c r="B2833">
        <v>0.98876768158843997</v>
      </c>
      <c r="C2833">
        <v>1.0377504848643899</v>
      </c>
      <c r="D2833">
        <v>0.85709285572375304</v>
      </c>
      <c r="E2833">
        <v>0.75674694541209797</v>
      </c>
      <c r="F2833">
        <v>0.61752040963538501</v>
      </c>
      <c r="G2833">
        <v>0.28234599681830203</v>
      </c>
      <c r="H2833">
        <v>8.3483767268488801E-2</v>
      </c>
      <c r="I2833">
        <v>5.2045406146073898E-2</v>
      </c>
      <c r="J2833">
        <v>4.2638203009057102E-2</v>
      </c>
      <c r="K2833">
        <v>2.90218529599135E-2</v>
      </c>
      <c r="L2833">
        <v>885.09873515013203</v>
      </c>
      <c r="M2833">
        <v>16.447485863342798</v>
      </c>
      <c r="N2833">
        <v>53.8136195737478</v>
      </c>
      <c r="O2833">
        <v>53.036981820052397</v>
      </c>
      <c r="P2833">
        <v>-7.7533840971648393E-2</v>
      </c>
      <c r="Q2833">
        <v>0</v>
      </c>
      <c r="R2833">
        <v>0.99007317555131802</v>
      </c>
      <c r="S2833" t="s">
        <v>6665</v>
      </c>
      <c r="T2833" t="s">
        <v>7662</v>
      </c>
      <c r="U2833" t="s">
        <v>7662</v>
      </c>
      <c r="V2833" t="s">
        <v>7662</v>
      </c>
      <c r="W2833">
        <v>5</v>
      </c>
      <c r="X2833" t="s">
        <v>10495</v>
      </c>
      <c r="Y2833">
        <v>0.47878176667717293</v>
      </c>
      <c r="Z2833" t="str">
        <f>HYPERLINK("Melting_Curves/meltCurve_sp_Q9NVG8_TBC13_HUMAN_.pdf", "Melting_Curves/meltCurve_sp_Q9NVG8_TBC13_HUMAN_.pdf")</f>
        <v>Melting_Curves/meltCurve_sp_Q9NVG8_TBC13_HUMAN_.pdf</v>
      </c>
      <c r="AA2833" t="s">
        <v>14291</v>
      </c>
      <c r="AB2833" t="s">
        <v>18072</v>
      </c>
    </row>
    <row r="2834" spans="1:28" x14ac:dyDescent="0.25">
      <c r="A2834" t="s">
        <v>2838</v>
      </c>
      <c r="B2834">
        <v>0.98876768158843997</v>
      </c>
      <c r="C2834">
        <v>0.94947132055616701</v>
      </c>
      <c r="D2834">
        <v>0.94750561149782198</v>
      </c>
      <c r="E2834">
        <v>0.90055892410143201</v>
      </c>
      <c r="F2834">
        <v>0.786774628891037</v>
      </c>
      <c r="G2834">
        <v>0.59414289948283405</v>
      </c>
      <c r="H2834">
        <v>0.41201641577445303</v>
      </c>
      <c r="I2834">
        <v>0.173875065819558</v>
      </c>
      <c r="J2834">
        <v>0.104576266099086</v>
      </c>
      <c r="K2834">
        <v>7.6735881180063706E-2</v>
      </c>
      <c r="L2834">
        <v>828.72886422203806</v>
      </c>
      <c r="M2834">
        <v>14.211049146134799</v>
      </c>
      <c r="N2834">
        <v>58.315811716023099</v>
      </c>
      <c r="O2834">
        <v>57.197511266215301</v>
      </c>
      <c r="P2834">
        <v>-6.2121680442114399E-2</v>
      </c>
      <c r="Q2834">
        <v>0</v>
      </c>
      <c r="R2834">
        <v>0.99118416387720998</v>
      </c>
      <c r="S2834" t="s">
        <v>6666</v>
      </c>
      <c r="T2834" t="s">
        <v>7662</v>
      </c>
      <c r="U2834" t="s">
        <v>7662</v>
      </c>
      <c r="V2834" t="s">
        <v>7662</v>
      </c>
      <c r="W2834">
        <v>9</v>
      </c>
      <c r="X2834" t="s">
        <v>10496</v>
      </c>
      <c r="Y2834">
        <v>0.62302891774019487</v>
      </c>
      <c r="Z2834" t="str">
        <f>HYPERLINK("Melting_Curves/meltCurve_sp_Q9NVH6_TMLH_HUMAN_.pdf", "Melting_Curves/meltCurve_sp_Q9NVH6_TMLH_HUMAN_.pdf")</f>
        <v>Melting_Curves/meltCurve_sp_Q9NVH6_TMLH_HUMAN_.pdf</v>
      </c>
      <c r="AA2834" t="s">
        <v>14292</v>
      </c>
      <c r="AB2834" t="s">
        <v>18073</v>
      </c>
    </row>
    <row r="2835" spans="1:28" x14ac:dyDescent="0.25">
      <c r="A2835" t="s">
        <v>2839</v>
      </c>
      <c r="B2835">
        <v>0.98876768158843997</v>
      </c>
      <c r="C2835">
        <v>0.87464415349069502</v>
      </c>
      <c r="D2835">
        <v>0.93278310371455897</v>
      </c>
      <c r="E2835">
        <v>0.71993555589445302</v>
      </c>
      <c r="F2835">
        <v>0.481373079246663</v>
      </c>
      <c r="G2835">
        <v>0.26994499414301698</v>
      </c>
      <c r="H2835">
        <v>0.14029324294737999</v>
      </c>
      <c r="I2835">
        <v>0.12515401126356901</v>
      </c>
      <c r="J2835">
        <v>0.129887189300847</v>
      </c>
      <c r="K2835">
        <v>9.6115997986741794E-2</v>
      </c>
      <c r="L2835">
        <v>856.90613261444196</v>
      </c>
      <c r="M2835">
        <v>16.402052269864502</v>
      </c>
      <c r="N2835">
        <v>52.831842804906302</v>
      </c>
      <c r="O2835">
        <v>51.485753053420503</v>
      </c>
      <c r="P2835">
        <v>-7.3004235242972199E-2</v>
      </c>
      <c r="Q2835">
        <v>8.3428858942238296E-2</v>
      </c>
      <c r="R2835">
        <v>0.99032508604019498</v>
      </c>
      <c r="S2835" t="s">
        <v>6667</v>
      </c>
      <c r="T2835" t="s">
        <v>7662</v>
      </c>
      <c r="U2835" t="s">
        <v>7662</v>
      </c>
      <c r="V2835" t="s">
        <v>7662</v>
      </c>
      <c r="W2835">
        <v>1</v>
      </c>
      <c r="X2835" t="s">
        <v>10497</v>
      </c>
      <c r="Y2835">
        <v>0.4752040776091635</v>
      </c>
      <c r="Z2835" t="str">
        <f>HYPERLINK("Melting_Curves/meltCurve_sp_Q9NVM6_DJC17_HUMAN_.pdf", "Melting_Curves/meltCurve_sp_Q9NVM6_DJC17_HUMAN_.pdf")</f>
        <v>Melting_Curves/meltCurve_sp_Q9NVM6_DJC17_HUMAN_.pdf</v>
      </c>
      <c r="AA2835" t="s">
        <v>14293</v>
      </c>
      <c r="AB2835" t="s">
        <v>18074</v>
      </c>
    </row>
    <row r="2836" spans="1:28" x14ac:dyDescent="0.25">
      <c r="A2836" t="s">
        <v>2840</v>
      </c>
      <c r="B2836">
        <v>0.98876768158843997</v>
      </c>
      <c r="C2836">
        <v>1.1563150327076701</v>
      </c>
      <c r="D2836">
        <v>0.95847442179626696</v>
      </c>
      <c r="E2836">
        <v>0.84344013344466295</v>
      </c>
      <c r="F2836">
        <v>0.82831263913259701</v>
      </c>
      <c r="G2836">
        <v>0.63159606562494897</v>
      </c>
      <c r="H2836">
        <v>0.36454371329066598</v>
      </c>
      <c r="I2836">
        <v>0.34567087043599898</v>
      </c>
      <c r="J2836">
        <v>0.248063104559752</v>
      </c>
      <c r="K2836">
        <v>0.33131742896095601</v>
      </c>
      <c r="L2836">
        <v>935.99284289836896</v>
      </c>
      <c r="M2836">
        <v>16.609815914571801</v>
      </c>
      <c r="N2836">
        <v>58.758859472592803</v>
      </c>
      <c r="O2836">
        <v>55.553971096345798</v>
      </c>
      <c r="P2836">
        <v>-5.6302795752272497E-2</v>
      </c>
      <c r="Q2836">
        <v>0.24679912663151901</v>
      </c>
      <c r="R2836">
        <v>0.95623143320548498</v>
      </c>
      <c r="S2836" t="s">
        <v>6668</v>
      </c>
      <c r="T2836" t="s">
        <v>7662</v>
      </c>
      <c r="U2836" t="s">
        <v>7662</v>
      </c>
      <c r="V2836" t="s">
        <v>7662</v>
      </c>
      <c r="W2836">
        <v>1</v>
      </c>
      <c r="X2836" t="s">
        <v>10498</v>
      </c>
      <c r="Y2836">
        <v>0.66914184693142453</v>
      </c>
      <c r="Z2836" t="str">
        <f>HYPERLINK("Melting_Curves/meltCurve_sp_Q9NVR5_KTU_HUMAN_.pdf", "Melting_Curves/meltCurve_sp_Q9NVR5_KTU_HUMAN_.pdf")</f>
        <v>Melting_Curves/meltCurve_sp_Q9NVR5_KTU_HUMAN_.pdf</v>
      </c>
      <c r="AA2836" t="s">
        <v>14294</v>
      </c>
      <c r="AB2836" t="s">
        <v>18075</v>
      </c>
    </row>
    <row r="2837" spans="1:28" x14ac:dyDescent="0.25">
      <c r="A2837" t="s">
        <v>2841</v>
      </c>
      <c r="B2837">
        <v>0.98876768158843997</v>
      </c>
      <c r="C2837">
        <v>1.0210891717781601</v>
      </c>
      <c r="D2837">
        <v>0.84968754324651796</v>
      </c>
      <c r="E2837">
        <v>0.76558825507373895</v>
      </c>
      <c r="F2837">
        <v>0.49681553816032697</v>
      </c>
      <c r="G2837">
        <v>0.29306436713461498</v>
      </c>
      <c r="H2837">
        <v>0.19855120204348001</v>
      </c>
      <c r="I2837">
        <v>0.192215983270036</v>
      </c>
      <c r="J2837">
        <v>0.197844570554537</v>
      </c>
      <c r="K2837">
        <v>0.20873270372693201</v>
      </c>
      <c r="L2837">
        <v>972.92774299444795</v>
      </c>
      <c r="M2837">
        <v>18.779669681699801</v>
      </c>
      <c r="N2837">
        <v>53.043124542460397</v>
      </c>
      <c r="O2837">
        <v>51.230778080670298</v>
      </c>
      <c r="P2837">
        <v>-7.5409810443076195E-2</v>
      </c>
      <c r="Q2837">
        <v>0.17716507712912599</v>
      </c>
      <c r="R2837">
        <v>0.98985509189825505</v>
      </c>
      <c r="S2837" t="s">
        <v>6669</v>
      </c>
      <c r="T2837" t="s">
        <v>7662</v>
      </c>
      <c r="U2837" t="s">
        <v>7662</v>
      </c>
      <c r="V2837" t="s">
        <v>7662</v>
      </c>
      <c r="W2837">
        <v>14</v>
      </c>
      <c r="X2837" t="s">
        <v>10499</v>
      </c>
      <c r="Y2837">
        <v>0.51376952203441084</v>
      </c>
      <c r="Z2837" t="str">
        <f>HYPERLINK("Melting_Curves/meltCurve_sp_Q9NVS9_PNPO_HUMAN_.pdf", "Melting_Curves/meltCurve_sp_Q9NVS9_PNPO_HUMAN_.pdf")</f>
        <v>Melting_Curves/meltCurve_sp_Q9NVS9_PNPO_HUMAN_.pdf</v>
      </c>
      <c r="AA2837" t="s">
        <v>14295</v>
      </c>
      <c r="AB2837" t="s">
        <v>18076</v>
      </c>
    </row>
    <row r="2838" spans="1:28" x14ac:dyDescent="0.25">
      <c r="A2838" t="s">
        <v>2842</v>
      </c>
      <c r="B2838">
        <v>0.98876768158843997</v>
      </c>
      <c r="C2838">
        <v>0.98231091587986097</v>
      </c>
      <c r="D2838">
        <v>0.86851923203682102</v>
      </c>
      <c r="E2838">
        <v>0.60797626305899699</v>
      </c>
      <c r="F2838">
        <v>0.51826042387416205</v>
      </c>
      <c r="G2838">
        <v>0.28659163302620499</v>
      </c>
      <c r="H2838">
        <v>0.170621927398309</v>
      </c>
      <c r="I2838">
        <v>0.142641750345889</v>
      </c>
      <c r="J2838">
        <v>0.16220666000385101</v>
      </c>
      <c r="K2838">
        <v>0.12899301960300399</v>
      </c>
      <c r="L2838">
        <v>738.99814272552499</v>
      </c>
      <c r="M2838">
        <v>14.321618557145101</v>
      </c>
      <c r="N2838">
        <v>52.474130707121702</v>
      </c>
      <c r="O2838">
        <v>50.625414544197596</v>
      </c>
      <c r="P2838">
        <v>-6.3227029094396606E-2</v>
      </c>
      <c r="Q2838">
        <v>0.10610466532464299</v>
      </c>
      <c r="R2838">
        <v>0.99415119071952696</v>
      </c>
      <c r="S2838" t="s">
        <v>6670</v>
      </c>
      <c r="T2838" t="s">
        <v>7662</v>
      </c>
      <c r="U2838" t="s">
        <v>7662</v>
      </c>
      <c r="V2838" t="s">
        <v>7662</v>
      </c>
      <c r="W2838">
        <v>6</v>
      </c>
      <c r="X2838" t="s">
        <v>10500</v>
      </c>
      <c r="Y2838">
        <v>0.47351996861128731</v>
      </c>
      <c r="Z2838" t="str">
        <f>HYPERLINK("Melting_Curves/meltCurve_sp_Q9NVT9_ARMC1_HUMAN_.pdf", "Melting_Curves/meltCurve_sp_Q9NVT9_ARMC1_HUMAN_.pdf")</f>
        <v>Melting_Curves/meltCurve_sp_Q9NVT9_ARMC1_HUMAN_.pdf</v>
      </c>
      <c r="AA2838" t="s">
        <v>14296</v>
      </c>
      <c r="AB2838" t="s">
        <v>18077</v>
      </c>
    </row>
    <row r="2839" spans="1:28" x14ac:dyDescent="0.25">
      <c r="A2839" t="s">
        <v>2843</v>
      </c>
      <c r="B2839">
        <v>0.98876768158843997</v>
      </c>
      <c r="C2839">
        <v>1.1013237610395099</v>
      </c>
      <c r="D2839">
        <v>0.91595602561197897</v>
      </c>
      <c r="E2839">
        <v>0.73889650693915299</v>
      </c>
      <c r="F2839">
        <v>0.66576663078917198</v>
      </c>
      <c r="G2839">
        <v>0.473205750028105</v>
      </c>
      <c r="H2839">
        <v>0.37720876410232301</v>
      </c>
      <c r="I2839">
        <v>0.40029181706078998</v>
      </c>
      <c r="J2839">
        <v>0.34233261943214499</v>
      </c>
      <c r="K2839">
        <v>0.22107728596144899</v>
      </c>
      <c r="L2839">
        <v>717.23311769073302</v>
      </c>
      <c r="M2839">
        <v>13.4564113287085</v>
      </c>
      <c r="N2839">
        <v>56.528934016291601</v>
      </c>
      <c r="O2839">
        <v>52.164646870267802</v>
      </c>
      <c r="P2839">
        <v>-4.7204367699970301E-2</v>
      </c>
      <c r="Q2839">
        <v>0.26814998444841498</v>
      </c>
      <c r="R2839">
        <v>0.96444203106520399</v>
      </c>
      <c r="S2839" t="s">
        <v>6671</v>
      </c>
      <c r="T2839" t="s">
        <v>7662</v>
      </c>
      <c r="U2839" t="s">
        <v>7662</v>
      </c>
      <c r="V2839" t="s">
        <v>7662</v>
      </c>
      <c r="W2839">
        <v>3</v>
      </c>
      <c r="X2839" t="s">
        <v>10501</v>
      </c>
      <c r="Y2839">
        <v>0.61047388155579274</v>
      </c>
      <c r="Z2839" t="str">
        <f>HYPERLINK("Melting_Curves/meltCurve_sp_Q9NVX2_NLE1_HUMAN_.pdf", "Melting_Curves/meltCurve_sp_Q9NVX2_NLE1_HUMAN_.pdf")</f>
        <v>Melting_Curves/meltCurve_sp_Q9NVX2_NLE1_HUMAN_.pdf</v>
      </c>
      <c r="AA2839" t="s">
        <v>14297</v>
      </c>
      <c r="AB2839" t="s">
        <v>18078</v>
      </c>
    </row>
    <row r="2840" spans="1:28" x14ac:dyDescent="0.25">
      <c r="A2840" t="s">
        <v>2844</v>
      </c>
      <c r="B2840">
        <v>0.98876768158843997</v>
      </c>
      <c r="C2840">
        <v>1.00343604438296</v>
      </c>
      <c r="D2840">
        <v>0.94994309026339896</v>
      </c>
      <c r="E2840">
        <v>0.75978422836216297</v>
      </c>
      <c r="F2840">
        <v>0.69144902124958496</v>
      </c>
      <c r="G2840">
        <v>0.45039386577914597</v>
      </c>
      <c r="H2840">
        <v>0.294983576245965</v>
      </c>
      <c r="I2840">
        <v>0.18565863383733799</v>
      </c>
      <c r="J2840">
        <v>0.20251241959751801</v>
      </c>
      <c r="K2840">
        <v>0.151893251662677</v>
      </c>
      <c r="L2840">
        <v>720.92191029636194</v>
      </c>
      <c r="M2840">
        <v>13.1098538545619</v>
      </c>
      <c r="N2840">
        <v>55.933479151531799</v>
      </c>
      <c r="O2840">
        <v>53.758539798675699</v>
      </c>
      <c r="P2840">
        <v>-5.4932997468269101E-2</v>
      </c>
      <c r="Q2840">
        <v>9.9116577422442398E-2</v>
      </c>
      <c r="R2840">
        <v>0.99431389874753995</v>
      </c>
      <c r="S2840" t="s">
        <v>6672</v>
      </c>
      <c r="T2840" t="s">
        <v>7662</v>
      </c>
      <c r="U2840" t="s">
        <v>7662</v>
      </c>
      <c r="V2840" t="s">
        <v>7662</v>
      </c>
      <c r="W2840">
        <v>2</v>
      </c>
      <c r="X2840" t="s">
        <v>10502</v>
      </c>
      <c r="Y2840">
        <v>0.56904724492224712</v>
      </c>
      <c r="Z2840" t="str">
        <f>HYPERLINK("Melting_Curves/meltCurve_sp_Q9NVZ3_NECP2_HUMAN_.pdf", "Melting_Curves/meltCurve_sp_Q9NVZ3_NECP2_HUMAN_.pdf")</f>
        <v>Melting_Curves/meltCurve_sp_Q9NVZ3_NECP2_HUMAN_.pdf</v>
      </c>
      <c r="AA2840" t="s">
        <v>14298</v>
      </c>
      <c r="AB2840" t="s">
        <v>18079</v>
      </c>
    </row>
    <row r="2841" spans="1:28" x14ac:dyDescent="0.25">
      <c r="A2841" t="s">
        <v>2845</v>
      </c>
      <c r="B2841">
        <v>0.98876768158843997</v>
      </c>
      <c r="C2841">
        <v>1.12655071244064</v>
      </c>
      <c r="D2841">
        <v>0.88109710454169099</v>
      </c>
      <c r="E2841">
        <v>0.58893947561626803</v>
      </c>
      <c r="F2841">
        <v>0.81948464257740705</v>
      </c>
      <c r="G2841">
        <v>0.52472085457169804</v>
      </c>
      <c r="H2841">
        <v>0.34940363299815502</v>
      </c>
      <c r="I2841">
        <v>0.32428325101764699</v>
      </c>
      <c r="J2841">
        <v>0.31645661118868401</v>
      </c>
      <c r="K2841">
        <v>0.294582459061077</v>
      </c>
      <c r="L2841">
        <v>598.47498614158201</v>
      </c>
      <c r="M2841">
        <v>11.0235199094209</v>
      </c>
      <c r="N2841">
        <v>57.289951622757499</v>
      </c>
      <c r="O2841">
        <v>52.595886469026503</v>
      </c>
      <c r="P2841">
        <v>-4.0923523104122297E-2</v>
      </c>
      <c r="Q2841">
        <v>0.21923705162993901</v>
      </c>
      <c r="R2841">
        <v>0.89234731827359504</v>
      </c>
      <c r="S2841" t="s">
        <v>6673</v>
      </c>
      <c r="T2841" t="s">
        <v>7662</v>
      </c>
      <c r="U2841" t="s">
        <v>7662</v>
      </c>
      <c r="V2841" t="s">
        <v>7662</v>
      </c>
      <c r="W2841">
        <v>4</v>
      </c>
      <c r="X2841" t="s">
        <v>10503</v>
      </c>
      <c r="Y2841">
        <v>0.61236402260781364</v>
      </c>
      <c r="Z2841" t="str">
        <f>HYPERLINK("Melting_Curves/meltCurve_sp_Q9NW64_RBM22_HUMAN_.pdf", "Melting_Curves/meltCurve_sp_Q9NW64_RBM22_HUMAN_.pdf")</f>
        <v>Melting_Curves/meltCurve_sp_Q9NW64_RBM22_HUMAN_.pdf</v>
      </c>
      <c r="AA2841" t="s">
        <v>14299</v>
      </c>
      <c r="AB2841" t="s">
        <v>18080</v>
      </c>
    </row>
    <row r="2842" spans="1:28" x14ac:dyDescent="0.25">
      <c r="A2842" t="s">
        <v>2846</v>
      </c>
      <c r="B2842">
        <v>0.98876768158843997</v>
      </c>
      <c r="C2842">
        <v>1.1447836265306099</v>
      </c>
      <c r="D2842">
        <v>0.86198867557089498</v>
      </c>
      <c r="E2842">
        <v>0.69867591994623401</v>
      </c>
      <c r="F2842">
        <v>0.81192411049228297</v>
      </c>
      <c r="G2842">
        <v>0.62877368011408197</v>
      </c>
      <c r="H2842">
        <v>0.47705332681590301</v>
      </c>
      <c r="I2842">
        <v>0.61113350600363103</v>
      </c>
      <c r="J2842">
        <v>0.72131372183364195</v>
      </c>
      <c r="K2842">
        <v>0.87656424034180203</v>
      </c>
      <c r="L2842">
        <v>11510.2982358918</v>
      </c>
      <c r="M2842">
        <v>250</v>
      </c>
      <c r="O2842">
        <v>46.038246389184003</v>
      </c>
      <c r="P2842">
        <v>-0.42173038945930602</v>
      </c>
      <c r="Q2842">
        <v>0.68934835758069501</v>
      </c>
      <c r="R2842">
        <v>0.63352381979223804</v>
      </c>
      <c r="S2842" t="s">
        <v>6674</v>
      </c>
      <c r="T2842" t="s">
        <v>7662</v>
      </c>
      <c r="U2842" t="s">
        <v>7662</v>
      </c>
      <c r="V2842" t="s">
        <v>7662</v>
      </c>
      <c r="W2842">
        <v>7</v>
      </c>
      <c r="X2842" t="s">
        <v>10504</v>
      </c>
      <c r="Y2842">
        <v>0.75193034239302003</v>
      </c>
      <c r="Z2842" t="str">
        <f>HYPERLINK("Melting_Curves/meltCurve_sp_Q9NW68_4_BSDC1_HUMAN_.pdf", "Melting_Curves/meltCurve_sp_Q9NW68_4_BSDC1_HUMAN_.pdf")</f>
        <v>Melting_Curves/meltCurve_sp_Q9NW68_4_BSDC1_HUMAN_.pdf</v>
      </c>
      <c r="AA2842" t="s">
        <v>14300</v>
      </c>
      <c r="AB2842" t="s">
        <v>18081</v>
      </c>
    </row>
    <row r="2843" spans="1:28" x14ac:dyDescent="0.25">
      <c r="A2843" t="s">
        <v>2847</v>
      </c>
      <c r="B2843">
        <v>0.98876768158843997</v>
      </c>
      <c r="C2843">
        <v>1.0479286975233799</v>
      </c>
      <c r="D2843">
        <v>0.86694952981776197</v>
      </c>
      <c r="E2843">
        <v>0.70771161841600305</v>
      </c>
      <c r="F2843">
        <v>0.64321186732092595</v>
      </c>
      <c r="G2843">
        <v>0.28062978402298999</v>
      </c>
      <c r="H2843">
        <v>9.3167420247582594E-2</v>
      </c>
      <c r="I2843">
        <v>9.2794056975892103E-2</v>
      </c>
      <c r="J2843">
        <v>8.6107812175109599E-2</v>
      </c>
      <c r="K2843">
        <v>0.103214092318272</v>
      </c>
      <c r="L2843">
        <v>849.98147696872695</v>
      </c>
      <c r="M2843">
        <v>15.8982412608236</v>
      </c>
      <c r="N2843">
        <v>53.730356981513602</v>
      </c>
      <c r="O2843">
        <v>52.639419077192301</v>
      </c>
      <c r="P2843">
        <v>-7.2648871699409506E-2</v>
      </c>
      <c r="Q2843">
        <v>3.7909309607018403E-2</v>
      </c>
      <c r="R2843">
        <v>0.98188071204223404</v>
      </c>
      <c r="S2843" t="s">
        <v>6675</v>
      </c>
      <c r="T2843" t="s">
        <v>7662</v>
      </c>
      <c r="U2843" t="s">
        <v>7662</v>
      </c>
      <c r="V2843" t="s">
        <v>7662</v>
      </c>
      <c r="W2843">
        <v>3</v>
      </c>
      <c r="X2843" t="s">
        <v>10505</v>
      </c>
      <c r="Y2843">
        <v>0.4884278820851865</v>
      </c>
      <c r="Z2843" t="str">
        <f>HYPERLINK("Melting_Curves/meltCurve_sp_Q9NW82_WDR70_HUMAN_.pdf", "Melting_Curves/meltCurve_sp_Q9NW82_WDR70_HUMAN_.pdf")</f>
        <v>Melting_Curves/meltCurve_sp_Q9NW82_WDR70_HUMAN_.pdf</v>
      </c>
      <c r="AA2843" t="s">
        <v>14301</v>
      </c>
      <c r="AB2843" t="s">
        <v>18082</v>
      </c>
    </row>
    <row r="2844" spans="1:28" x14ac:dyDescent="0.25">
      <c r="A2844" t="s">
        <v>2848</v>
      </c>
      <c r="B2844">
        <v>0.98876768158843997</v>
      </c>
      <c r="C2844">
        <v>1.1456335757371201</v>
      </c>
      <c r="D2844">
        <v>0.91404279812071598</v>
      </c>
      <c r="E2844">
        <v>0.77757827692088199</v>
      </c>
      <c r="F2844">
        <v>1.02315873631929</v>
      </c>
      <c r="G2844">
        <v>0.67128533776833099</v>
      </c>
      <c r="H2844">
        <v>0.59397835112673103</v>
      </c>
      <c r="I2844">
        <v>0.74929073641112998</v>
      </c>
      <c r="J2844">
        <v>0.87270551481735403</v>
      </c>
      <c r="K2844">
        <v>1.1320758766561101</v>
      </c>
      <c r="L2844">
        <v>11498.1694797212</v>
      </c>
      <c r="M2844">
        <v>250</v>
      </c>
      <c r="O2844">
        <v>45.989734718355699</v>
      </c>
      <c r="P2844">
        <v>-0.229074249183291</v>
      </c>
      <c r="Q2844">
        <v>0.831438977080182</v>
      </c>
      <c r="R2844">
        <v>0.24445171617936601</v>
      </c>
      <c r="S2844" t="s">
        <v>6676</v>
      </c>
      <c r="T2844" t="s">
        <v>7662</v>
      </c>
      <c r="U2844" t="s">
        <v>7662</v>
      </c>
      <c r="V2844" t="s">
        <v>7662</v>
      </c>
      <c r="W2844">
        <v>4</v>
      </c>
      <c r="X2844" t="s">
        <v>10506</v>
      </c>
      <c r="Y2844">
        <v>0.86512364672606146</v>
      </c>
      <c r="Z2844" t="str">
        <f>HYPERLINK("Melting_Curves/meltCurve_sp_Q9NWB6_2_ARGL1_HUMAN_.pdf", "Melting_Curves/meltCurve_sp_Q9NWB6_2_ARGL1_HUMAN_.pdf")</f>
        <v>Melting_Curves/meltCurve_sp_Q9NWB6_2_ARGL1_HUMAN_.pdf</v>
      </c>
      <c r="AA2844" t="s">
        <v>14302</v>
      </c>
      <c r="AB2844" t="s">
        <v>18083</v>
      </c>
    </row>
    <row r="2845" spans="1:28" x14ac:dyDescent="0.25">
      <c r="A2845" t="s">
        <v>2849</v>
      </c>
      <c r="B2845">
        <v>0.98876768158843997</v>
      </c>
      <c r="C2845">
        <v>1.1668026182975899</v>
      </c>
      <c r="D2845">
        <v>0.87988152908559303</v>
      </c>
      <c r="E2845">
        <v>0.786397491155163</v>
      </c>
      <c r="F2845">
        <v>0.93246485104997601</v>
      </c>
      <c r="G2845">
        <v>0.68221569040735996</v>
      </c>
      <c r="H2845">
        <v>0.51891905940427596</v>
      </c>
      <c r="I2845">
        <v>0.59179398055033505</v>
      </c>
      <c r="J2845">
        <v>0.68980002868308099</v>
      </c>
      <c r="K2845">
        <v>0.84963658769688599</v>
      </c>
      <c r="L2845">
        <v>926.75392742454801</v>
      </c>
      <c r="M2845">
        <v>18.127569902728901</v>
      </c>
      <c r="O2845">
        <v>50.514031326029503</v>
      </c>
      <c r="P2845">
        <v>-2.9952768915746299E-2</v>
      </c>
      <c r="Q2845">
        <v>0.66615216222322204</v>
      </c>
      <c r="R2845">
        <v>0.60820436436804404</v>
      </c>
      <c r="S2845" t="s">
        <v>6677</v>
      </c>
      <c r="T2845" t="s">
        <v>7662</v>
      </c>
      <c r="U2845" t="s">
        <v>7662</v>
      </c>
      <c r="V2845" t="s">
        <v>7662</v>
      </c>
      <c r="W2845">
        <v>5</v>
      </c>
      <c r="X2845" t="s">
        <v>10507</v>
      </c>
      <c r="Y2845">
        <v>0.79548920892654018</v>
      </c>
      <c r="Z2845" t="str">
        <f>HYPERLINK("Melting_Curves/meltCurve_sp_Q9NWH9_SLTM_HUMAN_.pdf", "Melting_Curves/meltCurve_sp_Q9NWH9_SLTM_HUMAN_.pdf")</f>
        <v>Melting_Curves/meltCurve_sp_Q9NWH9_SLTM_HUMAN_.pdf</v>
      </c>
      <c r="AA2845" t="s">
        <v>14303</v>
      </c>
      <c r="AB2845" t="s">
        <v>18084</v>
      </c>
    </row>
    <row r="2846" spans="1:28" x14ac:dyDescent="0.25">
      <c r="A2846" t="s">
        <v>2850</v>
      </c>
      <c r="B2846">
        <v>0.98876768158843997</v>
      </c>
      <c r="C2846">
        <v>0.919132755354513</v>
      </c>
      <c r="D2846">
        <v>1.0262920485539599</v>
      </c>
      <c r="E2846">
        <v>0.83656375799302496</v>
      </c>
      <c r="F2846">
        <v>0.55073786557985505</v>
      </c>
      <c r="G2846">
        <v>0.348156559413135</v>
      </c>
      <c r="H2846">
        <v>0.37853845845233802</v>
      </c>
      <c r="I2846">
        <v>0.41256099834452897</v>
      </c>
      <c r="J2846">
        <v>0.42811577204880402</v>
      </c>
      <c r="K2846">
        <v>0.52404090188222197</v>
      </c>
      <c r="L2846">
        <v>2153.46313632488</v>
      </c>
      <c r="M2846">
        <v>42.045196963087101</v>
      </c>
      <c r="N2846">
        <v>53.537736633310203</v>
      </c>
      <c r="O2846">
        <v>51.102359901745302</v>
      </c>
      <c r="P2846">
        <v>-0.11947739853842</v>
      </c>
      <c r="Q2846">
        <v>0.41914253214892</v>
      </c>
      <c r="R2846">
        <v>0.95885892585703103</v>
      </c>
      <c r="S2846" t="s">
        <v>6678</v>
      </c>
      <c r="T2846" t="s">
        <v>7662</v>
      </c>
      <c r="U2846" t="s">
        <v>7662</v>
      </c>
      <c r="V2846" t="s">
        <v>7662</v>
      </c>
      <c r="W2846">
        <v>1</v>
      </c>
      <c r="X2846" t="s">
        <v>10508</v>
      </c>
      <c r="Y2846">
        <v>0.63820062911911468</v>
      </c>
      <c r="Z2846" t="str">
        <f>HYPERLINK("Melting_Curves/meltCurve_sp_Q9NWT8_AKIP_HUMAN_.pdf", "Melting_Curves/meltCurve_sp_Q9NWT8_AKIP_HUMAN_.pdf")</f>
        <v>Melting_Curves/meltCurve_sp_Q9NWT8_AKIP_HUMAN_.pdf</v>
      </c>
      <c r="AA2846" t="s">
        <v>14304</v>
      </c>
      <c r="AB2846" t="s">
        <v>18085</v>
      </c>
    </row>
    <row r="2847" spans="1:28" x14ac:dyDescent="0.25">
      <c r="A2847" t="s">
        <v>2851</v>
      </c>
      <c r="B2847">
        <v>0.98876768158843997</v>
      </c>
      <c r="C2847">
        <v>0.98053023483617996</v>
      </c>
      <c r="D2847">
        <v>0.907228108039002</v>
      </c>
      <c r="E2847">
        <v>0.90722964784735405</v>
      </c>
      <c r="F2847">
        <v>0.837715063250425</v>
      </c>
      <c r="G2847">
        <v>0.64392226995659596</v>
      </c>
      <c r="H2847">
        <v>0.56864229751322404</v>
      </c>
      <c r="I2847">
        <v>0.62724076742012302</v>
      </c>
      <c r="J2847">
        <v>0.694574381436869</v>
      </c>
      <c r="K2847">
        <v>0.59888906670779996</v>
      </c>
      <c r="L2847">
        <v>1189.7820062793101</v>
      </c>
      <c r="M2847">
        <v>22.542876095696698</v>
      </c>
      <c r="O2847">
        <v>52.368560719180003</v>
      </c>
      <c r="P2847">
        <v>-4.1628381921499702E-2</v>
      </c>
      <c r="Q2847">
        <v>0.61318612144114104</v>
      </c>
      <c r="R2847">
        <v>0.92034744829206105</v>
      </c>
      <c r="S2847" t="s">
        <v>6679</v>
      </c>
      <c r="T2847" t="s">
        <v>7662</v>
      </c>
      <c r="U2847" t="s">
        <v>7662</v>
      </c>
      <c r="V2847" t="s">
        <v>7662</v>
      </c>
      <c r="W2847">
        <v>11</v>
      </c>
      <c r="X2847" t="s">
        <v>10509</v>
      </c>
      <c r="Y2847">
        <v>0.78225991128199057</v>
      </c>
      <c r="Z2847" t="str">
        <f>HYPERLINK("Melting_Curves/meltCurve_sp_Q9NWU1_OXSM_HUMAN_.pdf", "Melting_Curves/meltCurve_sp_Q9NWU1_OXSM_HUMAN_.pdf")</f>
        <v>Melting_Curves/meltCurve_sp_Q9NWU1_OXSM_HUMAN_.pdf</v>
      </c>
      <c r="AA2847" t="s">
        <v>14305</v>
      </c>
      <c r="AB2847" t="s">
        <v>18086</v>
      </c>
    </row>
    <row r="2848" spans="1:28" x14ac:dyDescent="0.25">
      <c r="A2848" t="s">
        <v>2852</v>
      </c>
      <c r="B2848">
        <v>0.98876768158843997</v>
      </c>
      <c r="C2848">
        <v>1.34530541600835</v>
      </c>
      <c r="D2848">
        <v>0.95358077756597703</v>
      </c>
      <c r="E2848">
        <v>0.87422979290524305</v>
      </c>
      <c r="F2848">
        <v>0.61038206264634498</v>
      </c>
      <c r="G2848">
        <v>0.506913542221055</v>
      </c>
      <c r="H2848">
        <v>0.467964054315126</v>
      </c>
      <c r="I2848">
        <v>0.38760828132486702</v>
      </c>
      <c r="J2848">
        <v>0.48256665610751698</v>
      </c>
      <c r="K2848">
        <v>0.41105071388803699</v>
      </c>
      <c r="L2848">
        <v>1623.92623802341</v>
      </c>
      <c r="M2848">
        <v>31.343586289927298</v>
      </c>
      <c r="N2848">
        <v>55.622602512048601</v>
      </c>
      <c r="O2848">
        <v>51.6009496837965</v>
      </c>
      <c r="P2848">
        <v>-8.4789077195668694E-2</v>
      </c>
      <c r="Q2848">
        <v>0.44164998593747601</v>
      </c>
      <c r="R2848">
        <v>0.860158834990702</v>
      </c>
      <c r="S2848" t="s">
        <v>6680</v>
      </c>
      <c r="T2848" t="s">
        <v>7662</v>
      </c>
      <c r="U2848" t="s">
        <v>7662</v>
      </c>
      <c r="V2848" t="s">
        <v>7662</v>
      </c>
      <c r="W2848">
        <v>1</v>
      </c>
      <c r="X2848" t="s">
        <v>10510</v>
      </c>
      <c r="Y2848">
        <v>0.66472251786128966</v>
      </c>
      <c r="Z2848" t="str">
        <f>HYPERLINK("Melting_Curves/meltCurve_sp_Q9NWU2_GID8_HUMAN_.pdf", "Melting_Curves/meltCurve_sp_Q9NWU2_GID8_HUMAN_.pdf")</f>
        <v>Melting_Curves/meltCurve_sp_Q9NWU2_GID8_HUMAN_.pdf</v>
      </c>
      <c r="AA2848" t="s">
        <v>14306</v>
      </c>
      <c r="AB2848" t="s">
        <v>18087</v>
      </c>
    </row>
    <row r="2849" spans="1:28" x14ac:dyDescent="0.25">
      <c r="A2849" t="s">
        <v>2853</v>
      </c>
      <c r="B2849">
        <v>0.98876768158843997</v>
      </c>
      <c r="C2849">
        <v>1.25985241144699</v>
      </c>
      <c r="D2849">
        <v>0.86210682143815498</v>
      </c>
      <c r="E2849">
        <v>0.80489142997444396</v>
      </c>
      <c r="F2849">
        <v>0.92834740675707905</v>
      </c>
      <c r="G2849">
        <v>0.58196771434888195</v>
      </c>
      <c r="H2849">
        <v>0.38978775956870798</v>
      </c>
      <c r="I2849">
        <v>0.453665128894081</v>
      </c>
      <c r="J2849">
        <v>0.49111429496949499</v>
      </c>
      <c r="K2849">
        <v>0.57386327586399399</v>
      </c>
      <c r="L2849">
        <v>1982.74229730253</v>
      </c>
      <c r="M2849">
        <v>36.149944449232201</v>
      </c>
      <c r="N2849">
        <v>59.7772843363839</v>
      </c>
      <c r="O2849">
        <v>54.680698166017699</v>
      </c>
      <c r="P2849">
        <v>-8.6831753788596894E-2</v>
      </c>
      <c r="Q2849">
        <v>0.47463198849722499</v>
      </c>
      <c r="R2849">
        <v>0.79998367039445595</v>
      </c>
      <c r="S2849" t="s">
        <v>6681</v>
      </c>
      <c r="T2849" t="s">
        <v>7662</v>
      </c>
      <c r="U2849" t="s">
        <v>7662</v>
      </c>
      <c r="V2849" t="s">
        <v>7662</v>
      </c>
      <c r="W2849">
        <v>7</v>
      </c>
      <c r="X2849" t="s">
        <v>10511</v>
      </c>
      <c r="Y2849">
        <v>0.73707496243370085</v>
      </c>
      <c r="Z2849" t="str">
        <f>HYPERLINK("Melting_Curves/meltCurve_sp_Q9NWV4_CA123_HUMAN_.pdf", "Melting_Curves/meltCurve_sp_Q9NWV4_CA123_HUMAN_.pdf")</f>
        <v>Melting_Curves/meltCurve_sp_Q9NWV4_CA123_HUMAN_.pdf</v>
      </c>
      <c r="AA2849" t="s">
        <v>14307</v>
      </c>
      <c r="AB2849" t="s">
        <v>18088</v>
      </c>
    </row>
    <row r="2850" spans="1:28" x14ac:dyDescent="0.25">
      <c r="A2850" t="s">
        <v>2854</v>
      </c>
      <c r="B2850">
        <v>0.98876768158843997</v>
      </c>
      <c r="C2850">
        <v>1.1429678052583601</v>
      </c>
      <c r="D2850">
        <v>0.89788159486498398</v>
      </c>
      <c r="E2850">
        <v>0.53554157534317004</v>
      </c>
      <c r="F2850">
        <v>0.233965356891006</v>
      </c>
      <c r="G2850">
        <v>0.149739986552899</v>
      </c>
      <c r="H2850">
        <v>5.8685949013021203E-2</v>
      </c>
      <c r="I2850">
        <v>6.9343225356442106E-2</v>
      </c>
      <c r="J2850">
        <v>7.8129486193687106E-2</v>
      </c>
      <c r="K2850">
        <v>4.73481365625339E-2</v>
      </c>
      <c r="L2850">
        <v>1348.5892605184999</v>
      </c>
      <c r="M2850">
        <v>26.957483217710699</v>
      </c>
      <c r="N2850">
        <v>50.309901433293398</v>
      </c>
      <c r="O2850">
        <v>49.753665904052198</v>
      </c>
      <c r="P2850">
        <v>-0.125915008971999</v>
      </c>
      <c r="Q2850">
        <v>7.0436831778946302E-2</v>
      </c>
      <c r="R2850">
        <v>0.98401792049910597</v>
      </c>
      <c r="S2850" t="s">
        <v>6682</v>
      </c>
      <c r="T2850" t="s">
        <v>7662</v>
      </c>
      <c r="U2850" t="s">
        <v>7662</v>
      </c>
      <c r="V2850" t="s">
        <v>7662</v>
      </c>
      <c r="W2850">
        <v>2</v>
      </c>
      <c r="X2850" t="s">
        <v>10512</v>
      </c>
      <c r="Y2850">
        <v>0.38825285924880981</v>
      </c>
      <c r="Z2850" t="str">
        <f>HYPERLINK("Melting_Curves/meltCurve_sp_Q9NWW6_NRK1_HUMAN_.pdf", "Melting_Curves/meltCurve_sp_Q9NWW6_NRK1_HUMAN_.pdf")</f>
        <v>Melting_Curves/meltCurve_sp_Q9NWW6_NRK1_HUMAN_.pdf</v>
      </c>
      <c r="AA2850" t="s">
        <v>14308</v>
      </c>
      <c r="AB2850" t="s">
        <v>18089</v>
      </c>
    </row>
    <row r="2851" spans="1:28" x14ac:dyDescent="0.25">
      <c r="A2851" t="s">
        <v>2855</v>
      </c>
      <c r="B2851">
        <v>0.98876768158843997</v>
      </c>
      <c r="C2851">
        <v>0.86372226836363597</v>
      </c>
      <c r="D2851">
        <v>0.718635480613521</v>
      </c>
      <c r="E2851">
        <v>0.30244714172528903</v>
      </c>
      <c r="F2851">
        <v>7.4729491657471697E-2</v>
      </c>
      <c r="G2851">
        <v>4.2378574128682497E-2</v>
      </c>
      <c r="H2851">
        <v>3.1574605113264299E-2</v>
      </c>
      <c r="I2851">
        <v>2.5320372985420201E-2</v>
      </c>
      <c r="J2851">
        <v>1.4890571745893E-2</v>
      </c>
      <c r="K2851">
        <v>1.2470632827097899E-2</v>
      </c>
      <c r="L2851">
        <v>1008.06564210022</v>
      </c>
      <c r="M2851">
        <v>21.107290546887601</v>
      </c>
      <c r="N2851">
        <v>47.806021730286602</v>
      </c>
      <c r="O2851">
        <v>47.336621532242802</v>
      </c>
      <c r="P2851">
        <v>-0.110334991180257</v>
      </c>
      <c r="Q2851">
        <v>1.0247286576922501E-2</v>
      </c>
      <c r="R2851">
        <v>0.99576012735769204</v>
      </c>
      <c r="S2851" t="s">
        <v>6683</v>
      </c>
      <c r="T2851" t="s">
        <v>7662</v>
      </c>
      <c r="U2851" t="s">
        <v>7662</v>
      </c>
      <c r="V2851" t="s">
        <v>7662</v>
      </c>
      <c r="W2851">
        <v>1</v>
      </c>
      <c r="X2851" t="s">
        <v>10513</v>
      </c>
      <c r="Y2851">
        <v>0.27883205358554758</v>
      </c>
      <c r="Z2851" t="str">
        <f>HYPERLINK("Melting_Curves/meltCurve_sp_Q9NWX6_THG1_HUMAN_.pdf", "Melting_Curves/meltCurve_sp_Q9NWX6_THG1_HUMAN_.pdf")</f>
        <v>Melting_Curves/meltCurve_sp_Q9NWX6_THG1_HUMAN_.pdf</v>
      </c>
      <c r="AA2851" t="s">
        <v>14309</v>
      </c>
      <c r="AB2851" t="s">
        <v>18090</v>
      </c>
    </row>
    <row r="2852" spans="1:28" x14ac:dyDescent="0.25">
      <c r="A2852" t="s">
        <v>2856</v>
      </c>
      <c r="B2852">
        <v>0.98876768158843997</v>
      </c>
      <c r="C2852">
        <v>1.0298279660004499</v>
      </c>
      <c r="D2852">
        <v>0.76009137285300399</v>
      </c>
      <c r="E2852">
        <v>0.35645706294903801</v>
      </c>
      <c r="F2852">
        <v>0.21333433479594499</v>
      </c>
      <c r="G2852">
        <v>0.13963266206703501</v>
      </c>
      <c r="H2852">
        <v>9.3193497634193295E-2</v>
      </c>
      <c r="I2852">
        <v>0.107621692905503</v>
      </c>
      <c r="J2852">
        <v>0.110234020366615</v>
      </c>
      <c r="K2852">
        <v>9.9970790986819102E-2</v>
      </c>
      <c r="L2852">
        <v>1194.8271009755099</v>
      </c>
      <c r="M2852">
        <v>24.829340673516398</v>
      </c>
      <c r="N2852">
        <v>48.598015521417999</v>
      </c>
      <c r="O2852">
        <v>47.812698700313902</v>
      </c>
      <c r="P2852">
        <v>-0.11580263145846401</v>
      </c>
      <c r="Q2852">
        <v>0.108029696375481</v>
      </c>
      <c r="R2852">
        <v>0.99482149986842205</v>
      </c>
      <c r="S2852" t="s">
        <v>6684</v>
      </c>
      <c r="T2852" t="s">
        <v>7662</v>
      </c>
      <c r="U2852" t="s">
        <v>7662</v>
      </c>
      <c r="V2852" t="s">
        <v>7662</v>
      </c>
      <c r="W2852">
        <v>3</v>
      </c>
      <c r="X2852" t="s">
        <v>10514</v>
      </c>
      <c r="Y2852">
        <v>0.3575005833581319</v>
      </c>
      <c r="Z2852" t="str">
        <f>HYPERLINK("Melting_Curves/meltCurve_sp_Q9NWY4_CD027_HUMAN_.pdf", "Melting_Curves/meltCurve_sp_Q9NWY4_CD027_HUMAN_.pdf")</f>
        <v>Melting_Curves/meltCurve_sp_Q9NWY4_CD027_HUMAN_.pdf</v>
      </c>
      <c r="AA2852" t="s">
        <v>14310</v>
      </c>
      <c r="AB2852" t="s">
        <v>18091</v>
      </c>
    </row>
    <row r="2853" spans="1:28" x14ac:dyDescent="0.25">
      <c r="A2853" t="s">
        <v>2857</v>
      </c>
      <c r="B2853">
        <v>0.98876768158843997</v>
      </c>
      <c r="C2853">
        <v>0.88426922575769595</v>
      </c>
      <c r="D2853">
        <v>0.74775920868085599</v>
      </c>
      <c r="E2853">
        <v>0.37550151000194099</v>
      </c>
      <c r="F2853">
        <v>0.12307972301720201</v>
      </c>
      <c r="G2853">
        <v>0.160819289615897</v>
      </c>
      <c r="H2853">
        <v>9.2435000568551903E-2</v>
      </c>
      <c r="I2853">
        <v>9.0420928660845404E-2</v>
      </c>
      <c r="J2853">
        <v>9.9497617375765499E-2</v>
      </c>
      <c r="K2853">
        <v>8.1304460699752598E-2</v>
      </c>
      <c r="L2853">
        <v>1020.94507002482</v>
      </c>
      <c r="M2853">
        <v>21.322238690907302</v>
      </c>
      <c r="N2853">
        <v>48.316784680327899</v>
      </c>
      <c r="O2853">
        <v>47.466511556330197</v>
      </c>
      <c r="P2853">
        <v>-0.102495062529859</v>
      </c>
      <c r="Q2853">
        <v>8.7345498766017493E-2</v>
      </c>
      <c r="R2853">
        <v>0.99202118962666097</v>
      </c>
      <c r="S2853" t="s">
        <v>6685</v>
      </c>
      <c r="T2853" t="s">
        <v>7662</v>
      </c>
      <c r="U2853" t="s">
        <v>7662</v>
      </c>
      <c r="V2853" t="s">
        <v>7662</v>
      </c>
      <c r="W2853">
        <v>2</v>
      </c>
      <c r="X2853" t="s">
        <v>10515</v>
      </c>
      <c r="Y2853">
        <v>0.33846249256919297</v>
      </c>
      <c r="Z2853" t="str">
        <f>HYPERLINK("Melting_Curves/meltCurve_sp_Q9NWZ3_IRAK4_HUMAN_.pdf", "Melting_Curves/meltCurve_sp_Q9NWZ3_IRAK4_HUMAN_.pdf")</f>
        <v>Melting_Curves/meltCurve_sp_Q9NWZ3_IRAK4_HUMAN_.pdf</v>
      </c>
      <c r="AA2853" t="s">
        <v>14311</v>
      </c>
      <c r="AB2853" t="s">
        <v>18092</v>
      </c>
    </row>
    <row r="2854" spans="1:28" x14ac:dyDescent="0.25">
      <c r="A2854" t="s">
        <v>2858</v>
      </c>
      <c r="B2854">
        <v>0.98876768158843997</v>
      </c>
      <c r="C2854">
        <v>0.93487457684979103</v>
      </c>
      <c r="D2854">
        <v>0.97496802503233804</v>
      </c>
      <c r="E2854">
        <v>0.76457020734310199</v>
      </c>
      <c r="F2854">
        <v>0.34280804298176198</v>
      </c>
      <c r="G2854">
        <v>0.190261035867515</v>
      </c>
      <c r="H2854">
        <v>7.9880646280290402E-2</v>
      </c>
      <c r="I2854">
        <v>5.8279669586529803E-2</v>
      </c>
      <c r="J2854">
        <v>6.8958086849272696E-2</v>
      </c>
      <c r="K2854">
        <v>9.2346332756346294E-2</v>
      </c>
      <c r="L2854">
        <v>1526.1007599997999</v>
      </c>
      <c r="M2854">
        <v>29.560206616664001</v>
      </c>
      <c r="N2854">
        <v>51.936454275653801</v>
      </c>
      <c r="O2854">
        <v>51.392324159718399</v>
      </c>
      <c r="P2854">
        <v>-0.132182141697996</v>
      </c>
      <c r="Q2854">
        <v>8.0777737453439996E-2</v>
      </c>
      <c r="R2854">
        <v>0.99383165058176903</v>
      </c>
      <c r="S2854" t="s">
        <v>6686</v>
      </c>
      <c r="T2854" t="s">
        <v>7662</v>
      </c>
      <c r="U2854" t="s">
        <v>7662</v>
      </c>
      <c r="V2854" t="s">
        <v>7662</v>
      </c>
      <c r="W2854">
        <v>3</v>
      </c>
      <c r="X2854" t="s">
        <v>10516</v>
      </c>
      <c r="Y2854">
        <v>0.44304619751868302</v>
      </c>
      <c r="Z2854" t="str">
        <f>HYPERLINK("Melting_Curves/meltCurve_sp_Q9NX08_COMD8_HUMAN_.pdf", "Melting_Curves/meltCurve_sp_Q9NX08_COMD8_HUMAN_.pdf")</f>
        <v>Melting_Curves/meltCurve_sp_Q9NX08_COMD8_HUMAN_.pdf</v>
      </c>
      <c r="AA2854" t="s">
        <v>14312</v>
      </c>
      <c r="AB2854" t="s">
        <v>18093</v>
      </c>
    </row>
    <row r="2855" spans="1:28" x14ac:dyDescent="0.25">
      <c r="A2855" t="s">
        <v>2859</v>
      </c>
      <c r="B2855">
        <v>0.98876768158843997</v>
      </c>
      <c r="C2855">
        <v>0.98375931141061801</v>
      </c>
      <c r="D2855">
        <v>0.950985798156329</v>
      </c>
      <c r="E2855">
        <v>0.829939767853343</v>
      </c>
      <c r="F2855">
        <v>0.49184479491367999</v>
      </c>
      <c r="G2855">
        <v>0.16164398274234601</v>
      </c>
      <c r="H2855">
        <v>0.108736882422252</v>
      </c>
      <c r="I2855">
        <v>8.82515997673671E-2</v>
      </c>
      <c r="J2855">
        <v>9.6528772160090703E-2</v>
      </c>
      <c r="K2855">
        <v>7.8118339983615198E-2</v>
      </c>
      <c r="L2855">
        <v>1493.9540974541601</v>
      </c>
      <c r="M2855">
        <v>28.4262404147489</v>
      </c>
      <c r="N2855">
        <v>52.898414789197197</v>
      </c>
      <c r="O2855">
        <v>52.2974319016392</v>
      </c>
      <c r="P2855">
        <v>-0.12445278615864699</v>
      </c>
      <c r="Q2855">
        <v>8.4154965074883306E-2</v>
      </c>
      <c r="R2855">
        <v>0.99881656158099397</v>
      </c>
      <c r="S2855" t="s">
        <v>6687</v>
      </c>
      <c r="T2855" t="s">
        <v>7662</v>
      </c>
      <c r="U2855" t="s">
        <v>7662</v>
      </c>
      <c r="V2855" t="s">
        <v>7662</v>
      </c>
      <c r="W2855">
        <v>2</v>
      </c>
      <c r="X2855" t="s">
        <v>10517</v>
      </c>
      <c r="Y2855">
        <v>0.47400963098056881</v>
      </c>
      <c r="Z2855" t="str">
        <f>HYPERLINK("Melting_Curves/meltCurve_sp_Q9NX38_F206A_HUMAN_.pdf", "Melting_Curves/meltCurve_sp_Q9NX38_F206A_HUMAN_.pdf")</f>
        <v>Melting_Curves/meltCurve_sp_Q9NX38_F206A_HUMAN_.pdf</v>
      </c>
      <c r="AA2855" t="s">
        <v>14313</v>
      </c>
      <c r="AB2855" t="s">
        <v>18094</v>
      </c>
    </row>
    <row r="2856" spans="1:28" x14ac:dyDescent="0.25">
      <c r="A2856" t="s">
        <v>2860</v>
      </c>
      <c r="B2856">
        <v>0.98876768158843997</v>
      </c>
      <c r="C2856">
        <v>0.98211565455136796</v>
      </c>
      <c r="D2856">
        <v>0.70669575033263698</v>
      </c>
      <c r="E2856">
        <v>0.27008404505314298</v>
      </c>
      <c r="F2856">
        <v>0.180413222848574</v>
      </c>
      <c r="G2856">
        <v>0.106252524482309</v>
      </c>
      <c r="H2856">
        <v>7.6752268271165006E-2</v>
      </c>
      <c r="I2856">
        <v>7.1493519909416103E-2</v>
      </c>
      <c r="J2856">
        <v>9.52015142140408E-2</v>
      </c>
      <c r="K2856">
        <v>6.6468840125576995E-2</v>
      </c>
      <c r="L2856">
        <v>1215.0745163767499</v>
      </c>
      <c r="M2856">
        <v>25.5994555469868</v>
      </c>
      <c r="N2856">
        <v>47.810929073822201</v>
      </c>
      <c r="O2856">
        <v>47.178056842223697</v>
      </c>
      <c r="P2856">
        <v>-0.12418190187504</v>
      </c>
      <c r="Q2856">
        <v>8.4575995628090705E-2</v>
      </c>
      <c r="R2856">
        <v>0.99701145510823996</v>
      </c>
      <c r="S2856" t="s">
        <v>6688</v>
      </c>
      <c r="T2856" t="s">
        <v>7662</v>
      </c>
      <c r="U2856" t="s">
        <v>7662</v>
      </c>
      <c r="V2856" t="s">
        <v>7662</v>
      </c>
      <c r="W2856">
        <v>6</v>
      </c>
      <c r="X2856" t="s">
        <v>10518</v>
      </c>
      <c r="Y2856">
        <v>0.3200714633487155</v>
      </c>
      <c r="Z2856" t="str">
        <f>HYPERLINK("Melting_Curves/meltCurve_sp_Q9NX46_ARHL2_HUMAN_.pdf", "Melting_Curves/meltCurve_sp_Q9NX46_ARHL2_HUMAN_.pdf")</f>
        <v>Melting_Curves/meltCurve_sp_Q9NX46_ARHL2_HUMAN_.pdf</v>
      </c>
      <c r="AA2856" t="s">
        <v>14314</v>
      </c>
      <c r="AB2856" t="s">
        <v>18095</v>
      </c>
    </row>
    <row r="2857" spans="1:28" x14ac:dyDescent="0.25">
      <c r="A2857" t="s">
        <v>2861</v>
      </c>
      <c r="B2857">
        <v>0.98876768158843997</v>
      </c>
      <c r="C2857">
        <v>0.95660260721388202</v>
      </c>
      <c r="D2857">
        <v>0.97834640240884096</v>
      </c>
      <c r="E2857">
        <v>0.76909203367709</v>
      </c>
      <c r="F2857">
        <v>0.58184774727058297</v>
      </c>
      <c r="G2857">
        <v>0.47444342848257698</v>
      </c>
      <c r="H2857">
        <v>0.31382637448330503</v>
      </c>
      <c r="I2857">
        <v>0.354397314750168</v>
      </c>
      <c r="J2857">
        <v>0.35530556273108399</v>
      </c>
      <c r="K2857">
        <v>0.42711941668541997</v>
      </c>
      <c r="L2857">
        <v>1113.3984751287901</v>
      </c>
      <c r="M2857">
        <v>21.634374882091901</v>
      </c>
      <c r="N2857">
        <v>54.732646099933703</v>
      </c>
      <c r="O2857">
        <v>51.030669286079302</v>
      </c>
      <c r="P2857">
        <v>-6.7555331829721704E-2</v>
      </c>
      <c r="Q2857">
        <v>0.36262336602719603</v>
      </c>
      <c r="R2857">
        <v>0.98130207943984804</v>
      </c>
      <c r="S2857" t="s">
        <v>6689</v>
      </c>
      <c r="T2857" t="s">
        <v>7662</v>
      </c>
      <c r="U2857" t="s">
        <v>7662</v>
      </c>
      <c r="V2857" t="s">
        <v>7662</v>
      </c>
      <c r="W2857">
        <v>2</v>
      </c>
      <c r="X2857" t="s">
        <v>10519</v>
      </c>
      <c r="Y2857">
        <v>0.61382906545715599</v>
      </c>
      <c r="Z2857" t="str">
        <f>HYPERLINK("Melting_Curves/meltCurve_sp_Q9NX55_HYPK_HUMAN_.pdf", "Melting_Curves/meltCurve_sp_Q9NX55_HYPK_HUMAN_.pdf")</f>
        <v>Melting_Curves/meltCurve_sp_Q9NX55_HYPK_HUMAN_.pdf</v>
      </c>
      <c r="AA2857" t="s">
        <v>14315</v>
      </c>
      <c r="AB2857" t="s">
        <v>18096</v>
      </c>
    </row>
    <row r="2858" spans="1:28" x14ac:dyDescent="0.25">
      <c r="A2858" t="s">
        <v>2862</v>
      </c>
      <c r="B2858">
        <v>0.98876768158843997</v>
      </c>
      <c r="C2858">
        <v>1.0877968211962901</v>
      </c>
      <c r="D2858">
        <v>0.78280697516661302</v>
      </c>
      <c r="E2858">
        <v>0.64597637667880703</v>
      </c>
      <c r="F2858">
        <v>0.34861213324692703</v>
      </c>
      <c r="G2858">
        <v>9.4027439387221606E-2</v>
      </c>
      <c r="H2858">
        <v>5.5433438652109701E-2</v>
      </c>
      <c r="I2858">
        <v>4.2179357239405899E-2</v>
      </c>
      <c r="J2858">
        <v>3.5600853117379601E-2</v>
      </c>
      <c r="K2858">
        <v>4.91526204951293E-2</v>
      </c>
      <c r="L2858">
        <v>970.34930168279595</v>
      </c>
      <c r="M2858">
        <v>19.027644029398701</v>
      </c>
      <c r="N2858">
        <v>51.108244685557302</v>
      </c>
      <c r="O2858">
        <v>50.443557174805299</v>
      </c>
      <c r="P2858">
        <v>-9.2389322279165298E-2</v>
      </c>
      <c r="Q2858">
        <v>2.03177472044026E-2</v>
      </c>
      <c r="R2858">
        <v>0.98217621181358605</v>
      </c>
      <c r="S2858" t="s">
        <v>6690</v>
      </c>
      <c r="T2858" t="s">
        <v>7662</v>
      </c>
      <c r="U2858" t="s">
        <v>7662</v>
      </c>
      <c r="V2858" t="s">
        <v>7662</v>
      </c>
      <c r="W2858">
        <v>12</v>
      </c>
      <c r="X2858" t="s">
        <v>10520</v>
      </c>
      <c r="Y2858">
        <v>0.39434914681246802</v>
      </c>
      <c r="Z2858" t="str">
        <f>HYPERLINK("Melting_Curves/meltCurve_sp_Q9NXA8_SIR5_HUMAN_.pdf", "Melting_Curves/meltCurve_sp_Q9NXA8_SIR5_HUMAN_.pdf")</f>
        <v>Melting_Curves/meltCurve_sp_Q9NXA8_SIR5_HUMAN_.pdf</v>
      </c>
      <c r="AA2858" t="s">
        <v>14316</v>
      </c>
      <c r="AB2858" t="s">
        <v>18097</v>
      </c>
    </row>
    <row r="2859" spans="1:28" x14ac:dyDescent="0.25">
      <c r="A2859" t="s">
        <v>2863</v>
      </c>
      <c r="B2859">
        <v>0.98876768158843997</v>
      </c>
      <c r="C2859">
        <v>0.83199676096669495</v>
      </c>
      <c r="D2859">
        <v>0.92139059026113401</v>
      </c>
      <c r="E2859">
        <v>0.663326311799317</v>
      </c>
      <c r="F2859">
        <v>0.30737539764259197</v>
      </c>
      <c r="G2859">
        <v>0.20488220386563</v>
      </c>
      <c r="H2859">
        <v>0.12525933953164201</v>
      </c>
      <c r="I2859">
        <v>8.5530454100057704E-2</v>
      </c>
      <c r="J2859">
        <v>0.10314786936383299</v>
      </c>
      <c r="K2859">
        <v>3.8014284562689502E-2</v>
      </c>
      <c r="L2859">
        <v>945.82583218064701</v>
      </c>
      <c r="M2859">
        <v>18.5647692419615</v>
      </c>
      <c r="N2859">
        <v>51.346229177435198</v>
      </c>
      <c r="O2859">
        <v>50.367252434051302</v>
      </c>
      <c r="P2859">
        <v>-8.5963055789359394E-2</v>
      </c>
      <c r="Q2859">
        <v>6.7150609179659898E-2</v>
      </c>
      <c r="R2859">
        <v>0.97697876633659897</v>
      </c>
      <c r="S2859" t="s">
        <v>6691</v>
      </c>
      <c r="T2859" t="s">
        <v>7662</v>
      </c>
      <c r="U2859" t="s">
        <v>7662</v>
      </c>
      <c r="V2859" t="s">
        <v>7662</v>
      </c>
      <c r="W2859">
        <v>4</v>
      </c>
      <c r="X2859" t="s">
        <v>10521</v>
      </c>
      <c r="Y2859">
        <v>0.42242622661793322</v>
      </c>
      <c r="Z2859" t="str">
        <f>HYPERLINK("Melting_Curves/meltCurve_sp_Q9NXD2_MTMRA_HUMAN_.pdf", "Melting_Curves/meltCurve_sp_Q9NXD2_MTMRA_HUMAN_.pdf")</f>
        <v>Melting_Curves/meltCurve_sp_Q9NXD2_MTMRA_HUMAN_.pdf</v>
      </c>
      <c r="AA2859" t="s">
        <v>14317</v>
      </c>
      <c r="AB2859" t="s">
        <v>18098</v>
      </c>
    </row>
    <row r="2860" spans="1:28" x14ac:dyDescent="0.25">
      <c r="A2860" t="s">
        <v>2864</v>
      </c>
      <c r="B2860">
        <v>0.98876768158843997</v>
      </c>
      <c r="C2860">
        <v>1.0475648627259799</v>
      </c>
      <c r="D2860">
        <v>0.94030747489843303</v>
      </c>
      <c r="E2860">
        <v>0.88002687872984597</v>
      </c>
      <c r="F2860">
        <v>0.81936990405379895</v>
      </c>
      <c r="G2860">
        <v>0.61570348671146902</v>
      </c>
      <c r="H2860">
        <v>0.44949337337906298</v>
      </c>
      <c r="I2860">
        <v>0.20672135791871199</v>
      </c>
      <c r="J2860">
        <v>6.1346310403151402E-2</v>
      </c>
      <c r="K2860">
        <v>5.6068072030380403E-2</v>
      </c>
      <c r="L2860">
        <v>883.64242471074499</v>
      </c>
      <c r="M2860">
        <v>15.040061489114199</v>
      </c>
      <c r="N2860">
        <v>58.752580913297699</v>
      </c>
      <c r="O2860">
        <v>57.743272047790299</v>
      </c>
      <c r="P2860">
        <v>-6.5122597366087207E-2</v>
      </c>
      <c r="Q2860">
        <v>0</v>
      </c>
      <c r="R2860">
        <v>0.98412897737659</v>
      </c>
      <c r="S2860" t="s">
        <v>6692</v>
      </c>
      <c r="T2860" t="s">
        <v>7662</v>
      </c>
      <c r="U2860" t="s">
        <v>7662</v>
      </c>
      <c r="V2860" t="s">
        <v>7662</v>
      </c>
      <c r="W2860">
        <v>12</v>
      </c>
      <c r="X2860" t="s">
        <v>10522</v>
      </c>
      <c r="Y2860">
        <v>0.63636447272761798</v>
      </c>
      <c r="Z2860" t="str">
        <f>HYPERLINK("Melting_Curves/meltCurve_sp_Q9NXG2_THUM1_HUMAN_.pdf", "Melting_Curves/meltCurve_sp_Q9NXG2_THUM1_HUMAN_.pdf")</f>
        <v>Melting_Curves/meltCurve_sp_Q9NXG2_THUM1_HUMAN_.pdf</v>
      </c>
      <c r="AA2860" t="s">
        <v>14318</v>
      </c>
      <c r="AB2860" t="s">
        <v>18099</v>
      </c>
    </row>
    <row r="2861" spans="1:28" x14ac:dyDescent="0.25">
      <c r="A2861" t="s">
        <v>2865</v>
      </c>
      <c r="B2861">
        <v>0.98876768158843997</v>
      </c>
      <c r="C2861">
        <v>0.95989387872255305</v>
      </c>
      <c r="D2861">
        <v>1.0621313300608599</v>
      </c>
      <c r="E2861">
        <v>1.10217549161022</v>
      </c>
      <c r="F2861">
        <v>0.75210292736677697</v>
      </c>
      <c r="G2861">
        <v>0.59963344872760405</v>
      </c>
      <c r="H2861">
        <v>0.116301167407488</v>
      </c>
      <c r="I2861">
        <v>0.121303331275981</v>
      </c>
      <c r="J2861">
        <v>0.106516806581021</v>
      </c>
      <c r="K2861">
        <v>0.15658510556837699</v>
      </c>
      <c r="L2861">
        <v>1548.72952229102</v>
      </c>
      <c r="M2861">
        <v>27.324661334423901</v>
      </c>
      <c r="N2861">
        <v>57.113168090856398</v>
      </c>
      <c r="O2861">
        <v>56.377853784058999</v>
      </c>
      <c r="P2861">
        <v>-0.109800912786919</v>
      </c>
      <c r="Q2861">
        <v>9.3817668891199801E-2</v>
      </c>
      <c r="R2861">
        <v>0.96544670491920503</v>
      </c>
      <c r="S2861" t="s">
        <v>6693</v>
      </c>
      <c r="T2861" t="s">
        <v>7662</v>
      </c>
      <c r="U2861" t="s">
        <v>7662</v>
      </c>
      <c r="V2861" t="s">
        <v>7662</v>
      </c>
      <c r="W2861">
        <v>8</v>
      </c>
      <c r="X2861" t="s">
        <v>10523</v>
      </c>
      <c r="Y2861">
        <v>0.60472796009510765</v>
      </c>
      <c r="Z2861" t="str">
        <f>HYPERLINK("Melting_Curves/meltCurve_sp_Q9NXH9_2_TRM1_HUMAN_.pdf", "Melting_Curves/meltCurve_sp_Q9NXH9_2_TRM1_HUMAN_.pdf")</f>
        <v>Melting_Curves/meltCurve_sp_Q9NXH9_2_TRM1_HUMAN_.pdf</v>
      </c>
      <c r="AA2861" t="s">
        <v>14319</v>
      </c>
      <c r="AB2861" t="s">
        <v>18100</v>
      </c>
    </row>
    <row r="2862" spans="1:28" x14ac:dyDescent="0.25">
      <c r="A2862" t="s">
        <v>2866</v>
      </c>
      <c r="B2862">
        <v>0.98876768158843997</v>
      </c>
      <c r="C2862">
        <v>0.90132977309544304</v>
      </c>
      <c r="D2862">
        <v>1.1148018360478</v>
      </c>
      <c r="E2862">
        <v>0.94202328111131295</v>
      </c>
      <c r="F2862">
        <v>0.57744805499570495</v>
      </c>
      <c r="G2862">
        <v>0.398432296707255</v>
      </c>
      <c r="H2862">
        <v>0.27575861684059899</v>
      </c>
      <c r="I2862">
        <v>0.16925216812002</v>
      </c>
      <c r="J2862">
        <v>8.8582796052466301E-2</v>
      </c>
      <c r="K2862">
        <v>6.1098098427677001E-2</v>
      </c>
      <c r="L2862">
        <v>995.88491028913404</v>
      </c>
      <c r="M2862">
        <v>18.1679928767633</v>
      </c>
      <c r="N2862">
        <v>55.371408066042399</v>
      </c>
      <c r="O2862">
        <v>54.164187690362901</v>
      </c>
      <c r="P2862">
        <v>-7.6867361658385897E-2</v>
      </c>
      <c r="Q2862">
        <v>8.3385776767272601E-2</v>
      </c>
      <c r="R2862">
        <v>0.964365717929346</v>
      </c>
      <c r="S2862" t="s">
        <v>6694</v>
      </c>
      <c r="T2862" t="s">
        <v>7662</v>
      </c>
      <c r="U2862" t="s">
        <v>7662</v>
      </c>
      <c r="V2862" t="s">
        <v>7662</v>
      </c>
      <c r="W2862">
        <v>5</v>
      </c>
      <c r="X2862" t="s">
        <v>10524</v>
      </c>
      <c r="Y2862">
        <v>0.550151605644147</v>
      </c>
      <c r="Z2862" t="str">
        <f>HYPERLINK("Melting_Curves/meltCurve_sp_Q9NXR7_4_BRE_HUMAN_.pdf", "Melting_Curves/meltCurve_sp_Q9NXR7_4_BRE_HUMAN_.pdf")</f>
        <v>Melting_Curves/meltCurve_sp_Q9NXR7_4_BRE_HUMAN_.pdf</v>
      </c>
      <c r="AA2862" t="s">
        <v>14320</v>
      </c>
      <c r="AB2862" t="s">
        <v>18101</v>
      </c>
    </row>
    <row r="2863" spans="1:28" x14ac:dyDescent="0.25">
      <c r="A2863" t="s">
        <v>2867</v>
      </c>
      <c r="B2863">
        <v>0.98876768158843997</v>
      </c>
      <c r="C2863">
        <v>0.97953670493102496</v>
      </c>
      <c r="D2863">
        <v>0.95715532710783002</v>
      </c>
      <c r="E2863">
        <v>0.74330555359291195</v>
      </c>
      <c r="F2863">
        <v>0.57199669256212304</v>
      </c>
      <c r="G2863">
        <v>0.28541534777319399</v>
      </c>
      <c r="H2863">
        <v>0.27357433888031801</v>
      </c>
      <c r="I2863">
        <v>0.25607739523485201</v>
      </c>
      <c r="J2863">
        <v>0.36086730738119099</v>
      </c>
      <c r="K2863">
        <v>0.41484877215131899</v>
      </c>
      <c r="L2863">
        <v>1350.78096400356</v>
      </c>
      <c r="M2863">
        <v>26.344411958624899</v>
      </c>
      <c r="N2863">
        <v>53.261509359666697</v>
      </c>
      <c r="O2863">
        <v>50.981201107401901</v>
      </c>
      <c r="P2863">
        <v>-8.8761659192781506E-2</v>
      </c>
      <c r="Q2863">
        <v>0.31292805806639201</v>
      </c>
      <c r="R2863">
        <v>0.96738519211653395</v>
      </c>
      <c r="S2863" t="s">
        <v>6695</v>
      </c>
      <c r="T2863" t="s">
        <v>7662</v>
      </c>
      <c r="U2863" t="s">
        <v>7662</v>
      </c>
      <c r="V2863" t="s">
        <v>7662</v>
      </c>
      <c r="W2863">
        <v>2</v>
      </c>
      <c r="X2863" t="s">
        <v>10525</v>
      </c>
      <c r="Y2863">
        <v>0.57674442262194936</v>
      </c>
      <c r="Z2863" t="str">
        <f>HYPERLINK("Melting_Curves/meltCurve_sp_Q9NXU5_ARL15_HUMAN_.pdf", "Melting_Curves/meltCurve_sp_Q9NXU5_ARL15_HUMAN_.pdf")</f>
        <v>Melting_Curves/meltCurve_sp_Q9NXU5_ARL15_HUMAN_.pdf</v>
      </c>
      <c r="AA2863" t="s">
        <v>14321</v>
      </c>
      <c r="AB2863" t="s">
        <v>18102</v>
      </c>
    </row>
    <row r="2864" spans="1:28" x14ac:dyDescent="0.25">
      <c r="A2864" t="s">
        <v>2868</v>
      </c>
      <c r="B2864">
        <v>0.98876768158843997</v>
      </c>
      <c r="C2864">
        <v>1.1353654188314299</v>
      </c>
      <c r="D2864">
        <v>0.86887478976286703</v>
      </c>
      <c r="E2864">
        <v>0.68075932459693</v>
      </c>
      <c r="F2864">
        <v>0.59031311722848601</v>
      </c>
      <c r="G2864">
        <v>0.33751331877882501</v>
      </c>
      <c r="H2864">
        <v>0.242138704687543</v>
      </c>
      <c r="I2864">
        <v>0.28067934003793199</v>
      </c>
      <c r="J2864">
        <v>0.33280748853110498</v>
      </c>
      <c r="K2864">
        <v>0.35695973330365099</v>
      </c>
      <c r="L2864">
        <v>1017.59925658708</v>
      </c>
      <c r="M2864">
        <v>19.964984096812799</v>
      </c>
      <c r="N2864">
        <v>53.329810312844003</v>
      </c>
      <c r="O2864">
        <v>50.466111210425701</v>
      </c>
      <c r="P2864">
        <v>-6.9889017009694201E-2</v>
      </c>
      <c r="Q2864">
        <v>0.293380594574425</v>
      </c>
      <c r="R2864">
        <v>0.95218464392652902</v>
      </c>
      <c r="S2864" t="s">
        <v>6696</v>
      </c>
      <c r="T2864" t="s">
        <v>7662</v>
      </c>
      <c r="U2864" t="s">
        <v>7662</v>
      </c>
      <c r="V2864" t="s">
        <v>7662</v>
      </c>
      <c r="W2864">
        <v>11</v>
      </c>
      <c r="X2864" t="s">
        <v>10526</v>
      </c>
      <c r="Y2864">
        <v>0.56159088071398644</v>
      </c>
      <c r="Z2864" t="str">
        <f>HYPERLINK("Melting_Curves/meltCurve_sp_Q9NXV6_CARF_HUMAN_.pdf", "Melting_Curves/meltCurve_sp_Q9NXV6_CARF_HUMAN_.pdf")</f>
        <v>Melting_Curves/meltCurve_sp_Q9NXV6_CARF_HUMAN_.pdf</v>
      </c>
      <c r="AA2864" t="s">
        <v>14322</v>
      </c>
      <c r="AB2864" t="s">
        <v>18103</v>
      </c>
    </row>
    <row r="2865" spans="1:28" x14ac:dyDescent="0.25">
      <c r="A2865" t="s">
        <v>2869</v>
      </c>
      <c r="B2865">
        <v>0.98876768158843997</v>
      </c>
      <c r="C2865">
        <v>1.0156428699039</v>
      </c>
      <c r="D2865">
        <v>0.88643148364254098</v>
      </c>
      <c r="E2865">
        <v>0.74027991872687704</v>
      </c>
      <c r="F2865">
        <v>0.70531901420643095</v>
      </c>
      <c r="G2865">
        <v>0.514315251779764</v>
      </c>
      <c r="H2865">
        <v>0.32002844556771898</v>
      </c>
      <c r="I2865">
        <v>0.35754305259957903</v>
      </c>
      <c r="J2865">
        <v>0.47268810359633301</v>
      </c>
      <c r="K2865">
        <v>0.54249939005778502</v>
      </c>
      <c r="L2865">
        <v>882.81917953087395</v>
      </c>
      <c r="M2865">
        <v>17.2232256472426</v>
      </c>
      <c r="N2865">
        <v>57.2754646771795</v>
      </c>
      <c r="O2865">
        <v>50.581426563356501</v>
      </c>
      <c r="P2865">
        <v>-4.9534008030210797E-2</v>
      </c>
      <c r="Q2865">
        <v>0.41814504185669699</v>
      </c>
      <c r="R2865">
        <v>0.91257689965659705</v>
      </c>
      <c r="S2865" t="s">
        <v>6697</v>
      </c>
      <c r="T2865" t="s">
        <v>7662</v>
      </c>
      <c r="U2865" t="s">
        <v>7662</v>
      </c>
      <c r="V2865" t="s">
        <v>7662</v>
      </c>
      <c r="W2865">
        <v>2</v>
      </c>
      <c r="X2865" t="s">
        <v>10527</v>
      </c>
      <c r="Y2865">
        <v>0.64704990936914153</v>
      </c>
      <c r="Z2865" t="str">
        <f>HYPERLINK("Melting_Curves/meltCurve_sp_Q9NXW2_DJB12_HUMAN_.pdf", "Melting_Curves/meltCurve_sp_Q9NXW2_DJB12_HUMAN_.pdf")</f>
        <v>Melting_Curves/meltCurve_sp_Q9NXW2_DJB12_HUMAN_.pdf</v>
      </c>
      <c r="AA2865" t="s">
        <v>14323</v>
      </c>
      <c r="AB2865" t="s">
        <v>18104</v>
      </c>
    </row>
    <row r="2866" spans="1:28" x14ac:dyDescent="0.25">
      <c r="A2866" t="s">
        <v>2870</v>
      </c>
      <c r="B2866">
        <v>0.98876768158843997</v>
      </c>
      <c r="C2866">
        <v>1.2390741635949001</v>
      </c>
      <c r="D2866">
        <v>0.91835417308718503</v>
      </c>
      <c r="E2866">
        <v>0.84695998383418802</v>
      </c>
      <c r="F2866">
        <v>0.99554370559556704</v>
      </c>
      <c r="G2866">
        <v>0.64033848369283897</v>
      </c>
      <c r="H2866">
        <v>0.46825547250062899</v>
      </c>
      <c r="I2866">
        <v>0.53632103894834604</v>
      </c>
      <c r="J2866">
        <v>0.65735511512812905</v>
      </c>
      <c r="K2866">
        <v>0.85188784037625098</v>
      </c>
      <c r="L2866">
        <v>5941.4909184683102</v>
      </c>
      <c r="M2866">
        <v>107.67731375143801</v>
      </c>
      <c r="O2866">
        <v>55.159652909216199</v>
      </c>
      <c r="P2866">
        <v>-0.18129137966358899</v>
      </c>
      <c r="Q2866">
        <v>0.62852091089842399</v>
      </c>
      <c r="R2866">
        <v>0.66148861026372796</v>
      </c>
      <c r="S2866" t="s">
        <v>6698</v>
      </c>
      <c r="T2866" t="s">
        <v>7662</v>
      </c>
      <c r="U2866" t="s">
        <v>7662</v>
      </c>
      <c r="V2866" t="s">
        <v>7662</v>
      </c>
      <c r="W2866">
        <v>8</v>
      </c>
      <c r="X2866" t="s">
        <v>10528</v>
      </c>
      <c r="Y2866">
        <v>0.81666695943673762</v>
      </c>
      <c r="Z2866" t="str">
        <f>HYPERLINK("Melting_Curves/meltCurve_sp_Q9NY27_PP4R2_HUMAN_.pdf", "Melting_Curves/meltCurve_sp_Q9NY27_PP4R2_HUMAN_.pdf")</f>
        <v>Melting_Curves/meltCurve_sp_Q9NY27_PP4R2_HUMAN_.pdf</v>
      </c>
      <c r="AA2866" t="s">
        <v>14324</v>
      </c>
      <c r="AB2866" t="s">
        <v>18105</v>
      </c>
    </row>
    <row r="2867" spans="1:28" x14ac:dyDescent="0.25">
      <c r="A2867" t="s">
        <v>2871</v>
      </c>
      <c r="B2867">
        <v>0.98876768158843997</v>
      </c>
      <c r="C2867">
        <v>0.99327454577585805</v>
      </c>
      <c r="D2867">
        <v>0.90195336494775702</v>
      </c>
      <c r="E2867">
        <v>0.75607944299718299</v>
      </c>
      <c r="F2867">
        <v>0.18322679811558901</v>
      </c>
      <c r="G2867">
        <v>7.01124289828884E-2</v>
      </c>
      <c r="H2867">
        <v>3.9742255651490699E-2</v>
      </c>
      <c r="I2867">
        <v>3.3961131341416199E-2</v>
      </c>
      <c r="J2867">
        <v>3.7670915778665701E-2</v>
      </c>
      <c r="K2867">
        <v>3.4503288286544802E-2</v>
      </c>
      <c r="L2867">
        <v>2392.4078132609502</v>
      </c>
      <c r="M2867">
        <v>46.813712496823001</v>
      </c>
      <c r="N2867">
        <v>51.1969556495742</v>
      </c>
      <c r="O2867">
        <v>51.011856713874899</v>
      </c>
      <c r="P2867">
        <v>-0.220160563383622</v>
      </c>
      <c r="Q2867">
        <v>4.0384870522784201E-2</v>
      </c>
      <c r="R2867">
        <v>0.99461463715571397</v>
      </c>
      <c r="S2867" t="s">
        <v>6699</v>
      </c>
      <c r="T2867" t="s">
        <v>7662</v>
      </c>
      <c r="U2867" t="s">
        <v>7662</v>
      </c>
      <c r="V2867" t="s">
        <v>7662</v>
      </c>
      <c r="W2867">
        <v>22</v>
      </c>
      <c r="X2867" t="s">
        <v>10529</v>
      </c>
      <c r="Y2867">
        <v>0.39806714061373011</v>
      </c>
      <c r="Z2867" t="str">
        <f>HYPERLINK("Melting_Curves/meltCurve_sp_Q9NY33_4_DPP3_HUMAN_.pdf", "Melting_Curves/meltCurve_sp_Q9NY33_4_DPP3_HUMAN_.pdf")</f>
        <v>Melting_Curves/meltCurve_sp_Q9NY33_4_DPP3_HUMAN_.pdf</v>
      </c>
      <c r="AA2867" t="s">
        <v>14325</v>
      </c>
      <c r="AB2867" t="s">
        <v>18106</v>
      </c>
    </row>
    <row r="2868" spans="1:28" x14ac:dyDescent="0.25">
      <c r="A2868" t="s">
        <v>2872</v>
      </c>
      <c r="B2868">
        <v>0.98876768158843997</v>
      </c>
      <c r="C2868">
        <v>0.94569130169134397</v>
      </c>
      <c r="D2868">
        <v>0.90218414568526895</v>
      </c>
      <c r="E2868">
        <v>0.877645073732089</v>
      </c>
      <c r="F2868">
        <v>0.93786412690073295</v>
      </c>
      <c r="G2868">
        <v>0.59125362552012295</v>
      </c>
      <c r="H2868">
        <v>0.43214350724248402</v>
      </c>
      <c r="I2868">
        <v>0.45739721107096498</v>
      </c>
      <c r="J2868">
        <v>0.44593560115110498</v>
      </c>
      <c r="K2868">
        <v>0.443490007061347</v>
      </c>
      <c r="L2868">
        <v>1997.7550826822201</v>
      </c>
      <c r="M2868">
        <v>36.010818493366799</v>
      </c>
      <c r="N2868">
        <v>58.898879627261003</v>
      </c>
      <c r="O2868">
        <v>55.306282105175598</v>
      </c>
      <c r="P2868">
        <v>-9.1432240250653607E-2</v>
      </c>
      <c r="Q2868">
        <v>0.438306457094575</v>
      </c>
      <c r="R2868">
        <v>0.951006002810309</v>
      </c>
      <c r="S2868" t="s">
        <v>6700</v>
      </c>
      <c r="T2868" t="s">
        <v>7662</v>
      </c>
      <c r="U2868" t="s">
        <v>7662</v>
      </c>
      <c r="V2868" t="s">
        <v>7662</v>
      </c>
      <c r="W2868">
        <v>1</v>
      </c>
      <c r="X2868" t="s">
        <v>10530</v>
      </c>
      <c r="Y2868">
        <v>0.73071099916137328</v>
      </c>
      <c r="Z2868" t="str">
        <f>HYPERLINK("Melting_Curves/meltCurve_sp_Q9NYB0_TE2IP_HUMAN_.pdf", "Melting_Curves/meltCurve_sp_Q9NYB0_TE2IP_HUMAN_.pdf")</f>
        <v>Melting_Curves/meltCurve_sp_Q9NYB0_TE2IP_HUMAN_.pdf</v>
      </c>
      <c r="AA2868" t="s">
        <v>14326</v>
      </c>
      <c r="AB2868" t="s">
        <v>18107</v>
      </c>
    </row>
    <row r="2869" spans="1:28" x14ac:dyDescent="0.25">
      <c r="A2869" t="s">
        <v>2873</v>
      </c>
      <c r="B2869">
        <v>0.98876768158843997</v>
      </c>
      <c r="C2869">
        <v>1.09449448506976</v>
      </c>
      <c r="D2869">
        <v>0.94796879324342898</v>
      </c>
      <c r="E2869">
        <v>0.78130037729372104</v>
      </c>
      <c r="F2869">
        <v>0.86369783507815301</v>
      </c>
      <c r="G2869">
        <v>0.64003510027769395</v>
      </c>
      <c r="H2869">
        <v>0.51954133926512602</v>
      </c>
      <c r="I2869">
        <v>0.61959131163519199</v>
      </c>
      <c r="J2869">
        <v>0.72745124855245002</v>
      </c>
      <c r="K2869">
        <v>0.90756163699050796</v>
      </c>
      <c r="L2869">
        <v>1184.64949253602</v>
      </c>
      <c r="M2869">
        <v>23.8620039836579</v>
      </c>
      <c r="O2869">
        <v>49.301118538562498</v>
      </c>
      <c r="P2869">
        <v>-3.7116572544925598E-2</v>
      </c>
      <c r="Q2869">
        <v>0.69325980751073701</v>
      </c>
      <c r="R2869">
        <v>0.61867021017969703</v>
      </c>
      <c r="S2869" t="s">
        <v>6701</v>
      </c>
      <c r="T2869" t="s">
        <v>7662</v>
      </c>
      <c r="U2869" t="s">
        <v>7662</v>
      </c>
      <c r="V2869" t="s">
        <v>7662</v>
      </c>
      <c r="W2869">
        <v>8</v>
      </c>
      <c r="X2869" t="s">
        <v>10531</v>
      </c>
      <c r="Y2869">
        <v>0.79488793242998768</v>
      </c>
      <c r="Z2869" t="str">
        <f>HYPERLINK("Melting_Curves/meltCurve_sp_Q9NYF8_2_BCLF1_HUMAN_.pdf", "Melting_Curves/meltCurve_sp_Q9NYF8_2_BCLF1_HUMAN_.pdf")</f>
        <v>Melting_Curves/meltCurve_sp_Q9NYF8_2_BCLF1_HUMAN_.pdf</v>
      </c>
      <c r="AA2869" t="s">
        <v>14327</v>
      </c>
      <c r="AB2869" t="s">
        <v>18108</v>
      </c>
    </row>
    <row r="2870" spans="1:28" x14ac:dyDescent="0.25">
      <c r="A2870" t="s">
        <v>2874</v>
      </c>
      <c r="B2870">
        <v>0.98876768158843997</v>
      </c>
      <c r="C2870">
        <v>1.1316567493271701</v>
      </c>
      <c r="D2870">
        <v>0.90081560887523404</v>
      </c>
      <c r="E2870">
        <v>0.81419448827395302</v>
      </c>
      <c r="F2870">
        <v>0.78735731963268596</v>
      </c>
      <c r="G2870">
        <v>0.56679498788016802</v>
      </c>
      <c r="H2870">
        <v>0.42758664017314202</v>
      </c>
      <c r="I2870">
        <v>0.497174460472327</v>
      </c>
      <c r="J2870">
        <v>0.62792673974594104</v>
      </c>
      <c r="K2870">
        <v>0.734441662318151</v>
      </c>
      <c r="L2870">
        <v>1167.1330100942</v>
      </c>
      <c r="M2870">
        <v>22.765427674690301</v>
      </c>
      <c r="O2870">
        <v>50.877132175848097</v>
      </c>
      <c r="P2870">
        <v>-4.8254170378067202E-2</v>
      </c>
      <c r="Q2870">
        <v>0.56864681834989395</v>
      </c>
      <c r="R2870">
        <v>0.79428314061751504</v>
      </c>
      <c r="S2870" t="s">
        <v>6702</v>
      </c>
      <c r="T2870" t="s">
        <v>7662</v>
      </c>
      <c r="U2870" t="s">
        <v>7662</v>
      </c>
      <c r="V2870" t="s">
        <v>7662</v>
      </c>
      <c r="W2870">
        <v>6</v>
      </c>
      <c r="X2870" t="s">
        <v>10532</v>
      </c>
      <c r="Y2870">
        <v>0.73534618576584543</v>
      </c>
      <c r="Z2870" t="str">
        <f>HYPERLINK("Melting_Curves/meltCurve_sp_Q9NYJ1_COA4_HUMAN_.pdf", "Melting_Curves/meltCurve_sp_Q9NYJ1_COA4_HUMAN_.pdf")</f>
        <v>Melting_Curves/meltCurve_sp_Q9NYJ1_COA4_HUMAN_.pdf</v>
      </c>
      <c r="AA2870" t="s">
        <v>14328</v>
      </c>
      <c r="AB2870" t="s">
        <v>18109</v>
      </c>
    </row>
    <row r="2871" spans="1:28" x14ac:dyDescent="0.25">
      <c r="A2871" t="s">
        <v>2875</v>
      </c>
      <c r="B2871">
        <v>0.98876768158843997</v>
      </c>
      <c r="C2871">
        <v>0.88533318608679701</v>
      </c>
      <c r="D2871">
        <v>0.98483570017969102</v>
      </c>
      <c r="E2871">
        <v>0.63839191398986195</v>
      </c>
      <c r="F2871">
        <v>1.1968745838919801</v>
      </c>
      <c r="G2871">
        <v>0.68770185499761904</v>
      </c>
      <c r="H2871">
        <v>0.69359391054545205</v>
      </c>
      <c r="I2871">
        <v>0.76715382271586596</v>
      </c>
      <c r="J2871">
        <v>0.72224788161778297</v>
      </c>
      <c r="K2871">
        <v>1.03663081116577</v>
      </c>
      <c r="L2871">
        <v>536.16828493857201</v>
      </c>
      <c r="M2871">
        <v>11.730176192025199</v>
      </c>
      <c r="O2871">
        <v>44.440660582705704</v>
      </c>
      <c r="P2871">
        <v>-1.2563031798882299E-2</v>
      </c>
      <c r="Q2871">
        <v>0.80966601468592103</v>
      </c>
      <c r="R2871">
        <v>9.4554284455296206E-2</v>
      </c>
      <c r="S2871" t="s">
        <v>6703</v>
      </c>
      <c r="T2871" t="s">
        <v>7662</v>
      </c>
      <c r="U2871" t="s">
        <v>7662</v>
      </c>
      <c r="V2871" t="s">
        <v>7662</v>
      </c>
      <c r="W2871">
        <v>2</v>
      </c>
      <c r="X2871" t="s">
        <v>10533</v>
      </c>
      <c r="Y2871">
        <v>0.85515154794740733</v>
      </c>
      <c r="Z2871" t="str">
        <f>HYPERLINK("Melting_Curves/meltCurve_sp_Q9NYJ8_2_TAB2_HUMAN_.pdf", "Melting_Curves/meltCurve_sp_Q9NYJ8_2_TAB2_HUMAN_.pdf")</f>
        <v>Melting_Curves/meltCurve_sp_Q9NYJ8_2_TAB2_HUMAN_.pdf</v>
      </c>
      <c r="AA2871" t="s">
        <v>14329</v>
      </c>
      <c r="AB2871" t="s">
        <v>18110</v>
      </c>
    </row>
    <row r="2872" spans="1:28" x14ac:dyDescent="0.25">
      <c r="A2872" t="s">
        <v>2876</v>
      </c>
      <c r="B2872">
        <v>0.98876768158843997</v>
      </c>
      <c r="C2872">
        <v>0.96311408976850699</v>
      </c>
      <c r="D2872">
        <v>0.768052579974558</v>
      </c>
      <c r="E2872">
        <v>0.57322422882415003</v>
      </c>
      <c r="F2872">
        <v>0.51352469176329296</v>
      </c>
      <c r="G2872">
        <v>0.21284385652967899</v>
      </c>
      <c r="H2872">
        <v>0</v>
      </c>
      <c r="I2872">
        <v>0</v>
      </c>
      <c r="J2872">
        <v>0</v>
      </c>
      <c r="K2872">
        <v>0</v>
      </c>
      <c r="L2872">
        <v>740.85027939664405</v>
      </c>
      <c r="M2872">
        <v>14.3909299901926</v>
      </c>
      <c r="N2872">
        <v>51.480361612566099</v>
      </c>
      <c r="O2872">
        <v>50.516912952670801</v>
      </c>
      <c r="P2872">
        <v>-7.1226838707973597E-2</v>
      </c>
      <c r="Q2872">
        <v>0</v>
      </c>
      <c r="R2872">
        <v>0.97687564629313395</v>
      </c>
      <c r="S2872" t="s">
        <v>6704</v>
      </c>
      <c r="T2872" t="s">
        <v>7662</v>
      </c>
      <c r="U2872" t="s">
        <v>7662</v>
      </c>
      <c r="V2872" t="s">
        <v>7662</v>
      </c>
      <c r="W2872">
        <v>3</v>
      </c>
      <c r="X2872" t="s">
        <v>10534</v>
      </c>
      <c r="Y2872">
        <v>0.4069642804071022</v>
      </c>
      <c r="Z2872" t="str">
        <f>HYPERLINK("Melting_Curves/meltCurve_sp_Q9NYL2_2_MLTK_HUMAN_.pdf", "Melting_Curves/meltCurve_sp_Q9NYL2_2_MLTK_HUMAN_.pdf")</f>
        <v>Melting_Curves/meltCurve_sp_Q9NYL2_2_MLTK_HUMAN_.pdf</v>
      </c>
      <c r="AA2872" t="s">
        <v>14330</v>
      </c>
      <c r="AB2872" t="s">
        <v>18111</v>
      </c>
    </row>
    <row r="2873" spans="1:28" x14ac:dyDescent="0.25">
      <c r="A2873" t="s">
        <v>2877</v>
      </c>
      <c r="B2873">
        <v>0.98876768158843997</v>
      </c>
      <c r="C2873">
        <v>1.0315803092442899</v>
      </c>
      <c r="D2873">
        <v>0.831527694257304</v>
      </c>
      <c r="E2873">
        <v>0.73073881386989803</v>
      </c>
      <c r="F2873">
        <v>0.50902782215194597</v>
      </c>
      <c r="G2873">
        <v>0.18607563511460501</v>
      </c>
      <c r="H2873">
        <v>7.7185418367529096E-2</v>
      </c>
      <c r="I2873">
        <v>6.6488052271667694E-2</v>
      </c>
      <c r="J2873">
        <v>0.11246304936589099</v>
      </c>
      <c r="K2873">
        <v>5.2484422364960599E-2</v>
      </c>
      <c r="L2873">
        <v>931.69671751454996</v>
      </c>
      <c r="M2873">
        <v>17.7871372864698</v>
      </c>
      <c r="N2873">
        <v>52.629954698261798</v>
      </c>
      <c r="O2873">
        <v>51.731746077535099</v>
      </c>
      <c r="P2873">
        <v>-8.2486010037415694E-2</v>
      </c>
      <c r="Q2873">
        <v>4.0447118927926698E-2</v>
      </c>
      <c r="R2873">
        <v>0.98740691397929703</v>
      </c>
      <c r="S2873" t="s">
        <v>6705</v>
      </c>
      <c r="T2873" t="s">
        <v>7662</v>
      </c>
      <c r="U2873" t="s">
        <v>7662</v>
      </c>
      <c r="V2873" t="s">
        <v>7662</v>
      </c>
      <c r="W2873">
        <v>4</v>
      </c>
      <c r="X2873" t="s">
        <v>10535</v>
      </c>
      <c r="Y2873">
        <v>0.45263074789392749</v>
      </c>
      <c r="Z2873" t="str">
        <f>HYPERLINK("Melting_Curves/meltCurve_sp_Q9NYL2_MLTK_HUMAN_.pdf", "Melting_Curves/meltCurve_sp_Q9NYL2_MLTK_HUMAN_.pdf")</f>
        <v>Melting_Curves/meltCurve_sp_Q9NYL2_MLTK_HUMAN_.pdf</v>
      </c>
      <c r="AA2873" t="s">
        <v>14330</v>
      </c>
      <c r="AB2873" t="s">
        <v>18112</v>
      </c>
    </row>
    <row r="2874" spans="1:28" x14ac:dyDescent="0.25">
      <c r="A2874" t="s">
        <v>2878</v>
      </c>
      <c r="B2874">
        <v>0.98876768158843997</v>
      </c>
      <c r="C2874">
        <v>1.1513123365842399</v>
      </c>
      <c r="D2874">
        <v>0.90194070363064605</v>
      </c>
      <c r="E2874">
        <v>0.70112728085299902</v>
      </c>
      <c r="F2874">
        <v>0.73439828159715104</v>
      </c>
      <c r="G2874">
        <v>0.48302633602094502</v>
      </c>
      <c r="H2874">
        <v>0.37284242075999702</v>
      </c>
      <c r="I2874">
        <v>0.41059867893176499</v>
      </c>
      <c r="J2874">
        <v>0.57838705917725997</v>
      </c>
      <c r="K2874">
        <v>0.587489793907358</v>
      </c>
      <c r="L2874">
        <v>1063.09023417802</v>
      </c>
      <c r="M2874">
        <v>21.0993506146268</v>
      </c>
      <c r="N2874">
        <v>60.704555360993297</v>
      </c>
      <c r="O2874">
        <v>49.938925724809003</v>
      </c>
      <c r="P2874">
        <v>-5.42765015631511E-2</v>
      </c>
      <c r="Q2874">
        <v>0.486156927483884</v>
      </c>
      <c r="R2874">
        <v>0.85213743713879198</v>
      </c>
      <c r="S2874" t="s">
        <v>6706</v>
      </c>
      <c r="T2874" t="s">
        <v>7662</v>
      </c>
      <c r="U2874" t="s">
        <v>7662</v>
      </c>
      <c r="V2874" t="s">
        <v>7662</v>
      </c>
      <c r="W2874">
        <v>13</v>
      </c>
      <c r="X2874" t="s">
        <v>10536</v>
      </c>
      <c r="Y2874">
        <v>0.67047430646140194</v>
      </c>
      <c r="Z2874" t="str">
        <f>HYPERLINK("Melting_Curves/meltCurve_sp_Q9NYL9_TMOD3_HUMAN_.pdf", "Melting_Curves/meltCurve_sp_Q9NYL9_TMOD3_HUMAN_.pdf")</f>
        <v>Melting_Curves/meltCurve_sp_Q9NYL9_TMOD3_HUMAN_.pdf</v>
      </c>
      <c r="AA2874" t="s">
        <v>14331</v>
      </c>
      <c r="AB2874" t="s">
        <v>18113</v>
      </c>
    </row>
    <row r="2875" spans="1:28" x14ac:dyDescent="0.25">
      <c r="A2875" t="s">
        <v>2879</v>
      </c>
      <c r="B2875">
        <v>0.98876768158843997</v>
      </c>
      <c r="C2875">
        <v>0.89777162856292003</v>
      </c>
      <c r="D2875">
        <v>1.0355398743419899</v>
      </c>
      <c r="E2875">
        <v>0.96385921119512796</v>
      </c>
      <c r="F2875">
        <v>0.56070375412261597</v>
      </c>
      <c r="G2875">
        <v>0.48746615064538201</v>
      </c>
      <c r="H2875">
        <v>0.380043284657335</v>
      </c>
      <c r="I2875">
        <v>0.268131618772325</v>
      </c>
      <c r="J2875">
        <v>0.17050991515869601</v>
      </c>
      <c r="K2875">
        <v>0.13800452208247899</v>
      </c>
      <c r="L2875">
        <v>776.82172318007395</v>
      </c>
      <c r="M2875">
        <v>13.9912337923711</v>
      </c>
      <c r="N2875">
        <v>56.656240845799601</v>
      </c>
      <c r="O2875">
        <v>54.424691270369003</v>
      </c>
      <c r="P2875">
        <v>-5.6426283514802597E-2</v>
      </c>
      <c r="Q2875">
        <v>0.122142973604159</v>
      </c>
      <c r="R2875">
        <v>0.95164623986319397</v>
      </c>
      <c r="S2875" t="s">
        <v>6707</v>
      </c>
      <c r="T2875" t="s">
        <v>7662</v>
      </c>
      <c r="U2875" t="s">
        <v>7662</v>
      </c>
      <c r="V2875" t="s">
        <v>7662</v>
      </c>
      <c r="W2875">
        <v>8</v>
      </c>
      <c r="X2875" t="s">
        <v>10537</v>
      </c>
      <c r="Y2875">
        <v>0.59365007467951358</v>
      </c>
      <c r="Z2875" t="str">
        <f>HYPERLINK("Melting_Curves/meltCurve_sp_Q9NYQ3_HAOX2_HUMAN_.pdf", "Melting_Curves/meltCurve_sp_Q9NYQ3_HAOX2_HUMAN_.pdf")</f>
        <v>Melting_Curves/meltCurve_sp_Q9NYQ3_HAOX2_HUMAN_.pdf</v>
      </c>
      <c r="AA2875" t="s">
        <v>14332</v>
      </c>
      <c r="AB2875" t="s">
        <v>18114</v>
      </c>
    </row>
    <row r="2876" spans="1:28" x14ac:dyDescent="0.25">
      <c r="A2876" t="s">
        <v>2880</v>
      </c>
      <c r="B2876">
        <v>0.98876768158843997</v>
      </c>
      <c r="C2876">
        <v>0.89393188394507805</v>
      </c>
      <c r="D2876">
        <v>1.0449324420463699</v>
      </c>
      <c r="E2876">
        <v>0.850440261310072</v>
      </c>
      <c r="F2876">
        <v>0.39739617346975598</v>
      </c>
      <c r="G2876">
        <v>0.14022006716806101</v>
      </c>
      <c r="H2876">
        <v>7.9877860984580801E-2</v>
      </c>
      <c r="I2876">
        <v>6.5389033004914596E-2</v>
      </c>
      <c r="J2876">
        <v>6.9838677427121298E-2</v>
      </c>
      <c r="K2876">
        <v>6.4513188954301401E-2</v>
      </c>
      <c r="L2876">
        <v>1942.46577904474</v>
      </c>
      <c r="M2876">
        <v>37.233223190659899</v>
      </c>
      <c r="N2876">
        <v>52.396215425601703</v>
      </c>
      <c r="O2876">
        <v>52.020421930618703</v>
      </c>
      <c r="P2876">
        <v>-0.165663386372322</v>
      </c>
      <c r="Q2876">
        <v>7.41757654099654E-2</v>
      </c>
      <c r="R2876">
        <v>0.99104333424352598</v>
      </c>
      <c r="S2876" t="s">
        <v>6708</v>
      </c>
      <c r="T2876" t="s">
        <v>7662</v>
      </c>
      <c r="U2876" t="s">
        <v>7662</v>
      </c>
      <c r="V2876" t="s">
        <v>7662</v>
      </c>
      <c r="W2876">
        <v>16</v>
      </c>
      <c r="X2876" t="s">
        <v>10538</v>
      </c>
      <c r="Y2876">
        <v>0.45361246735714972</v>
      </c>
      <c r="Z2876" t="str">
        <f>HYPERLINK("Melting_Curves/meltCurve_sp_Q9NYU2_2_UGGG1_HUMAN_.pdf", "Melting_Curves/meltCurve_sp_Q9NYU2_2_UGGG1_HUMAN_.pdf")</f>
        <v>Melting_Curves/meltCurve_sp_Q9NYU2_2_UGGG1_HUMAN_.pdf</v>
      </c>
      <c r="AA2876" t="s">
        <v>14333</v>
      </c>
      <c r="AB2876" t="s">
        <v>18115</v>
      </c>
    </row>
    <row r="2877" spans="1:28" x14ac:dyDescent="0.25">
      <c r="A2877" t="s">
        <v>2881</v>
      </c>
      <c r="B2877">
        <v>0.98876768158843997</v>
      </c>
      <c r="C2877">
        <v>1.05419029693513</v>
      </c>
      <c r="D2877">
        <v>0.99400377940015605</v>
      </c>
      <c r="E2877">
        <v>0.74531918848312695</v>
      </c>
      <c r="F2877">
        <v>0.30974665284632402</v>
      </c>
      <c r="G2877">
        <v>0.179995630969293</v>
      </c>
      <c r="H2877">
        <v>0.118297289391343</v>
      </c>
      <c r="I2877">
        <v>0.105436769534841</v>
      </c>
      <c r="J2877">
        <v>8.1914927867714302E-2</v>
      </c>
      <c r="K2877">
        <v>6.2572583433426907E-2</v>
      </c>
      <c r="L2877">
        <v>1760.90671322862</v>
      </c>
      <c r="M2877">
        <v>34.320148218371003</v>
      </c>
      <c r="N2877">
        <v>51.646157615310699</v>
      </c>
      <c r="O2877">
        <v>51.134988443134603</v>
      </c>
      <c r="P2877">
        <v>-0.15091896844239799</v>
      </c>
      <c r="Q2877">
        <v>0.100562126197943</v>
      </c>
      <c r="R2877">
        <v>0.99499618504593201</v>
      </c>
      <c r="S2877" t="s">
        <v>6709</v>
      </c>
      <c r="T2877" t="s">
        <v>7662</v>
      </c>
      <c r="U2877" t="s">
        <v>7662</v>
      </c>
      <c r="V2877" t="s">
        <v>7662</v>
      </c>
      <c r="W2877">
        <v>5</v>
      </c>
      <c r="X2877" t="s">
        <v>10539</v>
      </c>
      <c r="Y2877">
        <v>0.44393810714656562</v>
      </c>
      <c r="Z2877" t="str">
        <f>HYPERLINK("Melting_Curves/meltCurve_sp_Q9NYY8_2_FAKD2_HUMAN_.pdf", "Melting_Curves/meltCurve_sp_Q9NYY8_2_FAKD2_HUMAN_.pdf")</f>
        <v>Melting_Curves/meltCurve_sp_Q9NYY8_2_FAKD2_HUMAN_.pdf</v>
      </c>
      <c r="AA2877" t="s">
        <v>14334</v>
      </c>
      <c r="AB2877" t="s">
        <v>18116</v>
      </c>
    </row>
    <row r="2878" spans="1:28" x14ac:dyDescent="0.25">
      <c r="A2878" t="s">
        <v>2882</v>
      </c>
      <c r="B2878">
        <v>0.98876768158843997</v>
      </c>
      <c r="C2878">
        <v>0.87845074251671496</v>
      </c>
      <c r="D2878">
        <v>0.967107199156643</v>
      </c>
      <c r="E2878">
        <v>0.86431003197511302</v>
      </c>
      <c r="F2878">
        <v>0.38260952801358999</v>
      </c>
      <c r="G2878">
        <v>0.114397628260171</v>
      </c>
      <c r="H2878">
        <v>7.1024140487982002E-2</v>
      </c>
      <c r="I2878">
        <v>5.7509462507216003E-2</v>
      </c>
      <c r="J2878">
        <v>7.9676706905247696E-2</v>
      </c>
      <c r="K2878">
        <v>5.26661366942211E-2</v>
      </c>
      <c r="L2878">
        <v>2072.6507949639199</v>
      </c>
      <c r="M2878">
        <v>39.749900195770302</v>
      </c>
      <c r="N2878">
        <v>52.333309332305603</v>
      </c>
      <c r="O2878">
        <v>52.010842472808001</v>
      </c>
      <c r="P2878">
        <v>-0.178163873609128</v>
      </c>
      <c r="Q2878">
        <v>6.7526367375725802E-2</v>
      </c>
      <c r="R2878">
        <v>0.98982660448641602</v>
      </c>
      <c r="S2878" t="s">
        <v>6710</v>
      </c>
      <c r="T2878" t="s">
        <v>7662</v>
      </c>
      <c r="U2878" t="s">
        <v>7662</v>
      </c>
      <c r="V2878" t="s">
        <v>7662</v>
      </c>
      <c r="W2878">
        <v>19</v>
      </c>
      <c r="X2878" t="s">
        <v>10540</v>
      </c>
      <c r="Y2878">
        <v>0.4483401697492867</v>
      </c>
      <c r="Z2878" t="str">
        <f>HYPERLINK("Melting_Curves/meltCurve_sp_Q9NZ08_ERAP1_HUMAN_.pdf", "Melting_Curves/meltCurve_sp_Q9NZ08_ERAP1_HUMAN_.pdf")</f>
        <v>Melting_Curves/meltCurve_sp_Q9NZ08_ERAP1_HUMAN_.pdf</v>
      </c>
      <c r="AA2878" t="s">
        <v>14335</v>
      </c>
      <c r="AB2878" t="s">
        <v>18117</v>
      </c>
    </row>
    <row r="2879" spans="1:28" x14ac:dyDescent="0.25">
      <c r="A2879" t="s">
        <v>2883</v>
      </c>
      <c r="B2879">
        <v>0.98876768158843997</v>
      </c>
      <c r="C2879">
        <v>0.996467953993869</v>
      </c>
      <c r="D2879">
        <v>0.83044384937030302</v>
      </c>
      <c r="E2879">
        <v>0.55051116658978105</v>
      </c>
      <c r="F2879">
        <v>0.51416814697768098</v>
      </c>
      <c r="G2879">
        <v>0.39563714231722702</v>
      </c>
      <c r="H2879">
        <v>0.27366498624320101</v>
      </c>
      <c r="I2879">
        <v>0.34720044756173002</v>
      </c>
      <c r="J2879">
        <v>0.48930797260984599</v>
      </c>
      <c r="K2879">
        <v>0.45742224774572998</v>
      </c>
      <c r="L2879">
        <v>1118.5580156506801</v>
      </c>
      <c r="M2879">
        <v>23.289313013907201</v>
      </c>
      <c r="N2879">
        <v>51.500308206580698</v>
      </c>
      <c r="O2879">
        <v>47.678903290706799</v>
      </c>
      <c r="P2879">
        <v>-7.3763485470354898E-2</v>
      </c>
      <c r="Q2879">
        <v>0.39596337714246199</v>
      </c>
      <c r="R2879">
        <v>0.94163736555839905</v>
      </c>
      <c r="S2879" t="s">
        <v>6711</v>
      </c>
      <c r="T2879" t="s">
        <v>7662</v>
      </c>
      <c r="U2879" t="s">
        <v>7662</v>
      </c>
      <c r="V2879" t="s">
        <v>7662</v>
      </c>
      <c r="W2879">
        <v>3</v>
      </c>
      <c r="X2879" t="s">
        <v>10541</v>
      </c>
      <c r="Y2879">
        <v>0.56382638205495694</v>
      </c>
      <c r="Z2879" t="str">
        <f>HYPERLINK("Melting_Curves/meltCurve_sp_Q9NZ09_2_UBAP1_HUMAN_.pdf", "Melting_Curves/meltCurve_sp_Q9NZ09_2_UBAP1_HUMAN_.pdf")</f>
        <v>Melting_Curves/meltCurve_sp_Q9NZ09_2_UBAP1_HUMAN_.pdf</v>
      </c>
      <c r="AA2879" t="s">
        <v>14336</v>
      </c>
      <c r="AB2879" t="s">
        <v>18118</v>
      </c>
    </row>
    <row r="2880" spans="1:28" x14ac:dyDescent="0.25">
      <c r="A2880" t="s">
        <v>2884</v>
      </c>
      <c r="B2880">
        <v>0.98876768158843997</v>
      </c>
      <c r="C2880">
        <v>0.96996764388004497</v>
      </c>
      <c r="D2880">
        <v>1.0976069752445199</v>
      </c>
      <c r="E2880">
        <v>0.504889847869049</v>
      </c>
      <c r="F2880">
        <v>0.59733207305802605</v>
      </c>
      <c r="G2880">
        <v>0.46899618363165302</v>
      </c>
      <c r="H2880">
        <v>0.39704537368507298</v>
      </c>
      <c r="I2880">
        <v>0.28792915349180198</v>
      </c>
      <c r="J2880">
        <v>0.10236379251338699</v>
      </c>
      <c r="K2880">
        <v>8.1930911304215995E-2</v>
      </c>
      <c r="L2880">
        <v>516.60573913487406</v>
      </c>
      <c r="M2880">
        <v>9.2935351847121694</v>
      </c>
      <c r="N2880">
        <v>55.587645479459098</v>
      </c>
      <c r="O2880">
        <v>53.195814476667302</v>
      </c>
      <c r="P2880">
        <v>-4.3704148469920497E-2</v>
      </c>
      <c r="Q2880">
        <v>0</v>
      </c>
      <c r="R2880">
        <v>0.894584238415703</v>
      </c>
      <c r="S2880" t="s">
        <v>6712</v>
      </c>
      <c r="T2880" t="s">
        <v>7662</v>
      </c>
      <c r="U2880" t="s">
        <v>7662</v>
      </c>
      <c r="V2880" t="s">
        <v>7662</v>
      </c>
      <c r="W2880">
        <v>4</v>
      </c>
      <c r="X2880" t="s">
        <v>10542</v>
      </c>
      <c r="Y2880">
        <v>0.54288448115241195</v>
      </c>
      <c r="Z2880" t="str">
        <f>HYPERLINK("Melting_Curves/meltCurve_sp_Q9NZ32_ARP10_HUMAN_.pdf", "Melting_Curves/meltCurve_sp_Q9NZ32_ARP10_HUMAN_.pdf")</f>
        <v>Melting_Curves/meltCurve_sp_Q9NZ32_ARP10_HUMAN_.pdf</v>
      </c>
      <c r="AA2880" t="s">
        <v>14337</v>
      </c>
      <c r="AB2880" t="s">
        <v>18119</v>
      </c>
    </row>
    <row r="2881" spans="1:28" x14ac:dyDescent="0.25">
      <c r="A2881" t="s">
        <v>2885</v>
      </c>
      <c r="B2881">
        <v>0.98876768158843997</v>
      </c>
      <c r="C2881">
        <v>0.99796128392555095</v>
      </c>
      <c r="D2881">
        <v>0.91008194542991006</v>
      </c>
      <c r="E2881">
        <v>0.48402513016597698</v>
      </c>
      <c r="F2881">
        <v>0.32817290242222802</v>
      </c>
      <c r="G2881">
        <v>0.23745944197657401</v>
      </c>
      <c r="H2881">
        <v>0.14499063244212701</v>
      </c>
      <c r="I2881">
        <v>0.172221777991789</v>
      </c>
      <c r="J2881">
        <v>0.26507285265684399</v>
      </c>
      <c r="K2881">
        <v>0.19503979764363799</v>
      </c>
      <c r="L2881">
        <v>1356.2231006258</v>
      </c>
      <c r="M2881">
        <v>27.602447060888299</v>
      </c>
      <c r="N2881">
        <v>50.070792185542203</v>
      </c>
      <c r="O2881">
        <v>48.878447667105597</v>
      </c>
      <c r="P2881">
        <v>-0.112711423146842</v>
      </c>
      <c r="Q2881">
        <v>0.201649273279673</v>
      </c>
      <c r="R2881">
        <v>0.99023121583269202</v>
      </c>
      <c r="S2881" t="s">
        <v>6713</v>
      </c>
      <c r="T2881" t="s">
        <v>7662</v>
      </c>
      <c r="U2881" t="s">
        <v>7662</v>
      </c>
      <c r="V2881" t="s">
        <v>7662</v>
      </c>
      <c r="W2881">
        <v>1</v>
      </c>
      <c r="X2881" t="s">
        <v>10543</v>
      </c>
      <c r="Y2881">
        <v>0.45050313124373931</v>
      </c>
      <c r="Z2881" t="str">
        <f>HYPERLINK("Melting_Curves/meltCurve_sp_Q9NZ45_CISD1_HUMAN_.pdf", "Melting_Curves/meltCurve_sp_Q9NZ45_CISD1_HUMAN_.pdf")</f>
        <v>Melting_Curves/meltCurve_sp_Q9NZ45_CISD1_HUMAN_.pdf</v>
      </c>
      <c r="AA2881" t="s">
        <v>14338</v>
      </c>
      <c r="AB2881" t="s">
        <v>18120</v>
      </c>
    </row>
    <row r="2882" spans="1:28" x14ac:dyDescent="0.25">
      <c r="A2882" t="s">
        <v>2886</v>
      </c>
      <c r="B2882">
        <v>0.98876768158843997</v>
      </c>
      <c r="C2882">
        <v>1.36572439610813</v>
      </c>
      <c r="D2882">
        <v>1.0034706323624401</v>
      </c>
      <c r="E2882">
        <v>0.89625640335693102</v>
      </c>
      <c r="F2882">
        <v>1.9818104697301699</v>
      </c>
      <c r="G2882">
        <v>0.89034261555961303</v>
      </c>
      <c r="H2882">
        <v>0.95330060952205498</v>
      </c>
      <c r="I2882">
        <v>1.1340342107701999</v>
      </c>
      <c r="J2882">
        <v>1.3821240018355001</v>
      </c>
      <c r="K2882">
        <v>1.5702563948674</v>
      </c>
      <c r="L2882">
        <v>181.67895394334499</v>
      </c>
      <c r="M2882">
        <v>3.0931153347161802</v>
      </c>
      <c r="O2882">
        <v>43.825885531006797</v>
      </c>
      <c r="P2882">
        <v>9.0715885288376596E-3</v>
      </c>
      <c r="Q2882">
        <v>1.5</v>
      </c>
      <c r="R2882">
        <v>4.8675927689595902E-2</v>
      </c>
      <c r="S2882" t="s">
        <v>6714</v>
      </c>
      <c r="T2882" t="s">
        <v>7662</v>
      </c>
      <c r="U2882" t="s">
        <v>7662</v>
      </c>
      <c r="V2882" t="s">
        <v>7662</v>
      </c>
      <c r="W2882">
        <v>2</v>
      </c>
      <c r="X2882" t="s">
        <v>10544</v>
      </c>
      <c r="Y2882">
        <v>1.2163131585369611</v>
      </c>
      <c r="Z2882" t="str">
        <f>HYPERLINK("Melting_Curves/meltCurve_sp_Q9NZ63_CI078_HUMAN_.pdf", "Melting_Curves/meltCurve_sp_Q9NZ63_CI078_HUMAN_.pdf")</f>
        <v>Melting_Curves/meltCurve_sp_Q9NZ63_CI078_HUMAN_.pdf</v>
      </c>
      <c r="AA2882" t="s">
        <v>14339</v>
      </c>
      <c r="AB2882" t="s">
        <v>18121</v>
      </c>
    </row>
    <row r="2883" spans="1:28" x14ac:dyDescent="0.25">
      <c r="A2883" t="s">
        <v>2887</v>
      </c>
      <c r="B2883">
        <v>0.98876768158843997</v>
      </c>
      <c r="C2883">
        <v>1.05549269356829</v>
      </c>
      <c r="D2883">
        <v>0.89923683307500402</v>
      </c>
      <c r="E2883">
        <v>0.73172854651277597</v>
      </c>
      <c r="F2883">
        <v>0.65535248715446603</v>
      </c>
      <c r="G2883">
        <v>0.43151627244368801</v>
      </c>
      <c r="H2883">
        <v>0.30242398717153302</v>
      </c>
      <c r="I2883">
        <v>0.35406380900306</v>
      </c>
      <c r="J2883">
        <v>0.31130348294541099</v>
      </c>
      <c r="K2883">
        <v>0.55952968976126405</v>
      </c>
      <c r="L2883">
        <v>1015.58735170222</v>
      </c>
      <c r="M2883">
        <v>19.827916796166999</v>
      </c>
      <c r="N2883">
        <v>55.079298713863501</v>
      </c>
      <c r="O2883">
        <v>50.707609872329101</v>
      </c>
      <c r="P2883">
        <v>-6.10633309327622E-2</v>
      </c>
      <c r="Q2883">
        <v>0.37537132395480799</v>
      </c>
      <c r="R2883">
        <v>0.91603628633655299</v>
      </c>
      <c r="S2883" t="s">
        <v>6715</v>
      </c>
      <c r="T2883" t="s">
        <v>7662</v>
      </c>
      <c r="U2883" t="s">
        <v>7662</v>
      </c>
      <c r="V2883" t="s">
        <v>7662</v>
      </c>
      <c r="W2883">
        <v>18</v>
      </c>
      <c r="X2883" t="s">
        <v>10545</v>
      </c>
      <c r="Y2883">
        <v>0.61778978285416764</v>
      </c>
      <c r="Z2883" t="str">
        <f>HYPERLINK("Melting_Curves/meltCurve_sp_Q9NZB2_F120A_HUMAN_.pdf", "Melting_Curves/meltCurve_sp_Q9NZB2_F120A_HUMAN_.pdf")</f>
        <v>Melting_Curves/meltCurve_sp_Q9NZB2_F120A_HUMAN_.pdf</v>
      </c>
      <c r="AA2883" t="s">
        <v>14340</v>
      </c>
      <c r="AB2883" t="s">
        <v>18122</v>
      </c>
    </row>
    <row r="2884" spans="1:28" x14ac:dyDescent="0.25">
      <c r="A2884" t="s">
        <v>2888</v>
      </c>
      <c r="B2884">
        <v>0.98876768158843997</v>
      </c>
      <c r="C2884">
        <v>1.0326682963763301</v>
      </c>
      <c r="D2884">
        <v>0.96386852341848706</v>
      </c>
      <c r="E2884">
        <v>0.96153579715333803</v>
      </c>
      <c r="F2884">
        <v>0.90918398644658904</v>
      </c>
      <c r="G2884">
        <v>0.68694218342609303</v>
      </c>
      <c r="H2884">
        <v>0.590084607983975</v>
      </c>
      <c r="I2884">
        <v>0.57268526101922201</v>
      </c>
      <c r="J2884">
        <v>0.44140870331255699</v>
      </c>
      <c r="K2884">
        <v>0.40048244800851202</v>
      </c>
      <c r="L2884">
        <v>792.478722199245</v>
      </c>
      <c r="M2884">
        <v>13.5107341464876</v>
      </c>
      <c r="N2884">
        <v>64.547210285016504</v>
      </c>
      <c r="O2884">
        <v>57.4152226633962</v>
      </c>
      <c r="P2884">
        <v>-3.7990238044107102E-2</v>
      </c>
      <c r="Q2884">
        <v>0.354324828843117</v>
      </c>
      <c r="R2884">
        <v>0.98051519705330703</v>
      </c>
      <c r="S2884" t="s">
        <v>6716</v>
      </c>
      <c r="T2884" t="s">
        <v>7662</v>
      </c>
      <c r="U2884" t="s">
        <v>7662</v>
      </c>
      <c r="V2884" t="s">
        <v>7662</v>
      </c>
      <c r="W2884">
        <v>6</v>
      </c>
      <c r="X2884" t="s">
        <v>10546</v>
      </c>
      <c r="Y2884">
        <v>0.76296158182827722</v>
      </c>
      <c r="Z2884" t="str">
        <f>HYPERLINK("Melting_Curves/meltCurve_sp_Q9NZB8_2_MOCS1_HUMAN_.pdf", "Melting_Curves/meltCurve_sp_Q9NZB8_2_MOCS1_HUMAN_.pdf")</f>
        <v>Melting_Curves/meltCurve_sp_Q9NZB8_2_MOCS1_HUMAN_.pdf</v>
      </c>
      <c r="AA2884" t="s">
        <v>14341</v>
      </c>
      <c r="AB2884" t="s">
        <v>18123</v>
      </c>
    </row>
    <row r="2885" spans="1:28" x14ac:dyDescent="0.25">
      <c r="A2885" t="s">
        <v>2889</v>
      </c>
      <c r="B2885">
        <v>0.98876768158843997</v>
      </c>
      <c r="C2885">
        <v>1.0095562758840599</v>
      </c>
      <c r="D2885">
        <v>0.85750003045036705</v>
      </c>
      <c r="E2885">
        <v>0.40067337154194399</v>
      </c>
      <c r="F2885">
        <v>0.16758934608449699</v>
      </c>
      <c r="G2885">
        <v>9.40589546937039E-2</v>
      </c>
      <c r="H2885">
        <v>6.5566958085312696E-2</v>
      </c>
      <c r="I2885">
        <v>5.2942088276325003E-2</v>
      </c>
      <c r="J2885">
        <v>5.6144879489435799E-2</v>
      </c>
      <c r="K2885">
        <v>4.3954421269803597E-2</v>
      </c>
      <c r="L2885">
        <v>1321.95102421962</v>
      </c>
      <c r="M2885">
        <v>26.980955782282301</v>
      </c>
      <c r="N2885">
        <v>49.215804089332302</v>
      </c>
      <c r="O2885">
        <v>48.728929954185602</v>
      </c>
      <c r="P2885">
        <v>-0.13055806838497799</v>
      </c>
      <c r="Q2885">
        <v>5.6832259610674299E-2</v>
      </c>
      <c r="R2885">
        <v>0.99904792655733399</v>
      </c>
      <c r="S2885" t="s">
        <v>6717</v>
      </c>
      <c r="T2885" t="s">
        <v>7662</v>
      </c>
      <c r="U2885" t="s">
        <v>7662</v>
      </c>
      <c r="V2885" t="s">
        <v>7662</v>
      </c>
      <c r="W2885">
        <v>3</v>
      </c>
      <c r="X2885" t="s">
        <v>10547</v>
      </c>
      <c r="Y2885">
        <v>0.34679031982384878</v>
      </c>
      <c r="Z2885" t="str">
        <f>HYPERLINK("Melting_Curves/meltCurve_sp_Q9NZJ6_COQ3_HUMAN_.pdf", "Melting_Curves/meltCurve_sp_Q9NZJ6_COQ3_HUMAN_.pdf")</f>
        <v>Melting_Curves/meltCurve_sp_Q9NZJ6_COQ3_HUMAN_.pdf</v>
      </c>
      <c r="AA2885" t="s">
        <v>14342</v>
      </c>
      <c r="AB2885" t="s">
        <v>18124</v>
      </c>
    </row>
    <row r="2886" spans="1:28" x14ac:dyDescent="0.25">
      <c r="A2886" t="s">
        <v>2890</v>
      </c>
      <c r="B2886">
        <v>0.98876768158843997</v>
      </c>
      <c r="C2886">
        <v>1.1060615097074999</v>
      </c>
      <c r="D2886">
        <v>0.842680919297359</v>
      </c>
      <c r="E2886">
        <v>0.624736209214801</v>
      </c>
      <c r="F2886">
        <v>0.36787954080781199</v>
      </c>
      <c r="G2886">
        <v>0.179376904346357</v>
      </c>
      <c r="H2886">
        <v>0.121354604160769</v>
      </c>
      <c r="I2886">
        <v>0.10548185037017301</v>
      </c>
      <c r="J2886">
        <v>0.12458339249444</v>
      </c>
      <c r="K2886">
        <v>0.104112018902401</v>
      </c>
      <c r="L2886">
        <v>1043.1488812331299</v>
      </c>
      <c r="M2886">
        <v>20.577177987293499</v>
      </c>
      <c r="N2886">
        <v>51.261041866415802</v>
      </c>
      <c r="O2886">
        <v>50.2229594640174</v>
      </c>
      <c r="P2886">
        <v>-9.2013367756287601E-2</v>
      </c>
      <c r="Q2886">
        <v>0.101713708665385</v>
      </c>
      <c r="R2886">
        <v>0.985896618861689</v>
      </c>
      <c r="S2886" t="s">
        <v>6718</v>
      </c>
      <c r="T2886" t="s">
        <v>7662</v>
      </c>
      <c r="U2886" t="s">
        <v>7662</v>
      </c>
      <c r="V2886" t="s">
        <v>7662</v>
      </c>
      <c r="W2886">
        <v>5</v>
      </c>
      <c r="X2886" t="s">
        <v>10548</v>
      </c>
      <c r="Y2886">
        <v>0.43375784910056969</v>
      </c>
      <c r="Z2886" t="str">
        <f>HYPERLINK("Melting_Curves/meltCurve_sp_Q9NZJ9_NUDT4_HUMAN_.pdf", "Melting_Curves/meltCurve_sp_Q9NZJ9_NUDT4_HUMAN_.pdf")</f>
        <v>Melting_Curves/meltCurve_sp_Q9NZJ9_NUDT4_HUMAN_.pdf</v>
      </c>
      <c r="AA2886" t="s">
        <v>14343</v>
      </c>
      <c r="AB2886" t="s">
        <v>18125</v>
      </c>
    </row>
    <row r="2887" spans="1:28" x14ac:dyDescent="0.25">
      <c r="A2887" t="s">
        <v>2891</v>
      </c>
      <c r="B2887">
        <v>0.98876768158843997</v>
      </c>
      <c r="C2887">
        <v>0.97646835551703604</v>
      </c>
      <c r="D2887">
        <v>0.97421694731297304</v>
      </c>
      <c r="E2887">
        <v>0.84934288461155505</v>
      </c>
      <c r="F2887">
        <v>0.52499533943487997</v>
      </c>
      <c r="G2887">
        <v>0.22444404132207199</v>
      </c>
      <c r="H2887">
        <v>0.10568265578253799</v>
      </c>
      <c r="I2887">
        <v>7.5004402399020606E-2</v>
      </c>
      <c r="J2887">
        <v>0.10157049637843001</v>
      </c>
      <c r="K2887">
        <v>3.5018462502691299E-2</v>
      </c>
      <c r="L2887">
        <v>1299.2110795548399</v>
      </c>
      <c r="M2887">
        <v>24.473428970989598</v>
      </c>
      <c r="N2887">
        <v>53.393149895418503</v>
      </c>
      <c r="O2887">
        <v>52.735962616910903</v>
      </c>
      <c r="P2887">
        <v>-0.10841601538767</v>
      </c>
      <c r="Q2887">
        <v>6.5543412745761004E-2</v>
      </c>
      <c r="R2887">
        <v>0.997882532347103</v>
      </c>
      <c r="S2887" t="s">
        <v>6719</v>
      </c>
      <c r="T2887" t="s">
        <v>7662</v>
      </c>
      <c r="U2887" t="s">
        <v>7662</v>
      </c>
      <c r="V2887" t="s">
        <v>7662</v>
      </c>
      <c r="W2887">
        <v>8</v>
      </c>
      <c r="X2887" t="s">
        <v>10549</v>
      </c>
      <c r="Y2887">
        <v>0.48212980284045043</v>
      </c>
      <c r="Z2887" t="str">
        <f>HYPERLINK("Melting_Curves/meltCurve_sp_Q9NZL4_HPBP1_HUMAN_.pdf", "Melting_Curves/meltCurve_sp_Q9NZL4_HPBP1_HUMAN_.pdf")</f>
        <v>Melting_Curves/meltCurve_sp_Q9NZL4_HPBP1_HUMAN_.pdf</v>
      </c>
      <c r="AA2887" t="s">
        <v>14344</v>
      </c>
      <c r="AB2887" t="s">
        <v>18126</v>
      </c>
    </row>
    <row r="2888" spans="1:28" x14ac:dyDescent="0.25">
      <c r="A2888" t="s">
        <v>2892</v>
      </c>
      <c r="B2888">
        <v>0.98876768158843997</v>
      </c>
      <c r="C2888">
        <v>0.95664697087249395</v>
      </c>
      <c r="D2888">
        <v>0.94127344917429001</v>
      </c>
      <c r="E2888">
        <v>0.82408226065524104</v>
      </c>
      <c r="F2888">
        <v>0.52396567978248199</v>
      </c>
      <c r="G2888">
        <v>0.18958572377053901</v>
      </c>
      <c r="H2888">
        <v>7.57696774578481E-2</v>
      </c>
      <c r="I2888">
        <v>7.6478038517263494E-2</v>
      </c>
      <c r="J2888">
        <v>9.7000766180428202E-2</v>
      </c>
      <c r="K2888">
        <v>8.8031305117508896E-2</v>
      </c>
      <c r="L2888">
        <v>1353.23771345608</v>
      </c>
      <c r="M2888">
        <v>25.623525924575301</v>
      </c>
      <c r="N2888">
        <v>53.1393525397514</v>
      </c>
      <c r="O2888">
        <v>52.493788183402103</v>
      </c>
      <c r="P2888">
        <v>-0.113131065523838</v>
      </c>
      <c r="Q2888">
        <v>7.2944677957895596E-2</v>
      </c>
      <c r="R2888">
        <v>0.99694702882697905</v>
      </c>
      <c r="S2888" t="s">
        <v>6720</v>
      </c>
      <c r="T2888" t="s">
        <v>7662</v>
      </c>
      <c r="U2888" t="s">
        <v>7662</v>
      </c>
      <c r="V2888" t="s">
        <v>7662</v>
      </c>
      <c r="W2888">
        <v>13</v>
      </c>
      <c r="X2888" t="s">
        <v>10550</v>
      </c>
      <c r="Y2888">
        <v>0.47700411673293058</v>
      </c>
      <c r="Z2888" t="str">
        <f>HYPERLINK("Melting_Curves/meltCurve_sp_Q9NZL9_MAT2B_HUMAN_.pdf", "Melting_Curves/meltCurve_sp_Q9NZL9_MAT2B_HUMAN_.pdf")</f>
        <v>Melting_Curves/meltCurve_sp_Q9NZL9_MAT2B_HUMAN_.pdf</v>
      </c>
      <c r="AA2888" t="s">
        <v>14345</v>
      </c>
      <c r="AB2888" t="s">
        <v>18127</v>
      </c>
    </row>
    <row r="2889" spans="1:28" x14ac:dyDescent="0.25">
      <c r="A2889" t="s">
        <v>2893</v>
      </c>
      <c r="B2889">
        <v>0.98876768158843997</v>
      </c>
      <c r="C2889">
        <v>1.02234774070683</v>
      </c>
      <c r="D2889">
        <v>0.92954439183103998</v>
      </c>
      <c r="E2889">
        <v>0.68811110361035999</v>
      </c>
      <c r="F2889">
        <v>0.63967454421665904</v>
      </c>
      <c r="G2889">
        <v>0.39275317245425101</v>
      </c>
      <c r="H2889">
        <v>0.26766122005793203</v>
      </c>
      <c r="I2889">
        <v>0.21163451443968101</v>
      </c>
      <c r="J2889">
        <v>0.340110494783116</v>
      </c>
      <c r="K2889">
        <v>0.23325896514699901</v>
      </c>
      <c r="L2889">
        <v>834.12920387771305</v>
      </c>
      <c r="M2889">
        <v>15.9458662733997</v>
      </c>
      <c r="N2889">
        <v>54.428309801593002</v>
      </c>
      <c r="O2889">
        <v>51.508099232676997</v>
      </c>
      <c r="P2889">
        <v>-5.9507135745154198E-2</v>
      </c>
      <c r="Q2889">
        <v>0.231184857199973</v>
      </c>
      <c r="R2889">
        <v>0.97622429045381798</v>
      </c>
      <c r="S2889" t="s">
        <v>6721</v>
      </c>
      <c r="T2889" t="s">
        <v>7662</v>
      </c>
      <c r="U2889" t="s">
        <v>7662</v>
      </c>
      <c r="V2889" t="s">
        <v>7662</v>
      </c>
      <c r="W2889">
        <v>8</v>
      </c>
      <c r="X2889" t="s">
        <v>10551</v>
      </c>
      <c r="Y2889">
        <v>0.56214625362679016</v>
      </c>
      <c r="Z2889" t="str">
        <f>HYPERLINK("Melting_Curves/meltCurve_sp_Q9NZM3_2_ITSN2_HUMAN_.pdf", "Melting_Curves/meltCurve_sp_Q9NZM3_2_ITSN2_HUMAN_.pdf")</f>
        <v>Melting_Curves/meltCurve_sp_Q9NZM3_2_ITSN2_HUMAN_.pdf</v>
      </c>
      <c r="AA2889" t="s">
        <v>14346</v>
      </c>
      <c r="AB2889" t="s">
        <v>18128</v>
      </c>
    </row>
    <row r="2890" spans="1:28" x14ac:dyDescent="0.25">
      <c r="A2890" t="s">
        <v>2894</v>
      </c>
      <c r="B2890">
        <v>0.98876768158843997</v>
      </c>
      <c r="C2890">
        <v>0.91425102015566995</v>
      </c>
      <c r="D2890">
        <v>0.87168478127019999</v>
      </c>
      <c r="E2890">
        <v>0.56690135732411095</v>
      </c>
      <c r="F2890">
        <v>0.314978579870339</v>
      </c>
      <c r="G2890">
        <v>0.235569137881049</v>
      </c>
      <c r="H2890">
        <v>0.163706462520853</v>
      </c>
      <c r="I2890">
        <v>0.15413213012117599</v>
      </c>
      <c r="J2890">
        <v>0.23050013238748801</v>
      </c>
      <c r="K2890">
        <v>0.21879784206140299</v>
      </c>
      <c r="L2890">
        <v>1077.3976299917299</v>
      </c>
      <c r="M2890">
        <v>21.784278163466801</v>
      </c>
      <c r="N2890">
        <v>50.533794765642902</v>
      </c>
      <c r="O2890">
        <v>49.046441827053101</v>
      </c>
      <c r="P2890">
        <v>-9.0432076899076203E-2</v>
      </c>
      <c r="Q2890">
        <v>0.185601517575503</v>
      </c>
      <c r="R2890">
        <v>0.99038041983512504</v>
      </c>
      <c r="S2890" t="s">
        <v>6722</v>
      </c>
      <c r="T2890" t="s">
        <v>7662</v>
      </c>
      <c r="U2890" t="s">
        <v>7662</v>
      </c>
      <c r="V2890" t="s">
        <v>7662</v>
      </c>
      <c r="W2890">
        <v>7</v>
      </c>
      <c r="X2890" t="s">
        <v>10552</v>
      </c>
      <c r="Y2890">
        <v>0.45191865126491171</v>
      </c>
      <c r="Z2890" t="str">
        <f>HYPERLINK("Melting_Curves/meltCurve_sp_Q9NZN5_2_ARHGC_HUMAN_.pdf", "Melting_Curves/meltCurve_sp_Q9NZN5_2_ARHGC_HUMAN_.pdf")</f>
        <v>Melting_Curves/meltCurve_sp_Q9NZN5_2_ARHGC_HUMAN_.pdf</v>
      </c>
      <c r="AA2890" t="s">
        <v>14347</v>
      </c>
      <c r="AB2890" t="s">
        <v>18129</v>
      </c>
    </row>
    <row r="2891" spans="1:28" x14ac:dyDescent="0.25">
      <c r="A2891" t="s">
        <v>2895</v>
      </c>
      <c r="B2891">
        <v>0.98876768158843997</v>
      </c>
      <c r="C2891">
        <v>0.92895932244030999</v>
      </c>
      <c r="D2891">
        <v>1.0043854334633</v>
      </c>
      <c r="E2891">
        <v>0.60998334531688203</v>
      </c>
      <c r="F2891">
        <v>0.47100227177145498</v>
      </c>
      <c r="G2891">
        <v>0.31901823653755701</v>
      </c>
      <c r="H2891">
        <v>0.193324452757557</v>
      </c>
      <c r="I2891">
        <v>0.23921721302217699</v>
      </c>
      <c r="J2891">
        <v>0.41843045572014598</v>
      </c>
      <c r="K2891">
        <v>0.44449772383376202</v>
      </c>
      <c r="L2891">
        <v>1549.1100889095501</v>
      </c>
      <c r="M2891">
        <v>31.0978707888464</v>
      </c>
      <c r="N2891">
        <v>51.567710532271001</v>
      </c>
      <c r="O2891">
        <v>49.609393998129498</v>
      </c>
      <c r="P2891">
        <v>-0.105570607116328</v>
      </c>
      <c r="Q2891">
        <v>0.326350758258519</v>
      </c>
      <c r="R2891">
        <v>0.92975953765100505</v>
      </c>
      <c r="S2891" t="s">
        <v>6723</v>
      </c>
      <c r="T2891" t="s">
        <v>7662</v>
      </c>
      <c r="U2891" t="s">
        <v>7662</v>
      </c>
      <c r="V2891" t="s">
        <v>7662</v>
      </c>
      <c r="W2891">
        <v>2</v>
      </c>
      <c r="X2891" t="s">
        <v>10553</v>
      </c>
      <c r="Y2891">
        <v>0.5505866097551112</v>
      </c>
      <c r="Z2891" t="str">
        <f>HYPERLINK("Melting_Curves/meltCurve_sp_Q9NZN8_4_CNOT2_HUMAN_.pdf", "Melting_Curves/meltCurve_sp_Q9NZN8_4_CNOT2_HUMAN_.pdf")</f>
        <v>Melting_Curves/meltCurve_sp_Q9NZN8_4_CNOT2_HUMAN_.pdf</v>
      </c>
      <c r="AA2891" t="s">
        <v>14348</v>
      </c>
      <c r="AB2891" t="s">
        <v>18130</v>
      </c>
    </row>
    <row r="2892" spans="1:28" x14ac:dyDescent="0.25">
      <c r="A2892" t="s">
        <v>2896</v>
      </c>
      <c r="B2892">
        <v>0.98876768158843997</v>
      </c>
      <c r="C2892">
        <v>0.97613605029627803</v>
      </c>
      <c r="D2892">
        <v>1.13676175713163</v>
      </c>
      <c r="E2892">
        <v>1.1772149011061099</v>
      </c>
      <c r="F2892">
        <v>0.94057312908718504</v>
      </c>
      <c r="G2892">
        <v>0.389732514667954</v>
      </c>
      <c r="H2892">
        <v>4.6985274832397603E-2</v>
      </c>
      <c r="I2892">
        <v>2.6692742093966201E-2</v>
      </c>
      <c r="J2892">
        <v>1.7217438259884501E-2</v>
      </c>
      <c r="K2892">
        <v>1.74531308842325E-2</v>
      </c>
      <c r="L2892">
        <v>2702.5318776558802</v>
      </c>
      <c r="M2892">
        <v>47.917736431437703</v>
      </c>
      <c r="N2892">
        <v>56.446886440310102</v>
      </c>
      <c r="O2892">
        <v>56.301438548081698</v>
      </c>
      <c r="P2892">
        <v>-0.20857060640063299</v>
      </c>
      <c r="Q2892">
        <v>1.97522522768817E-2</v>
      </c>
      <c r="R2892">
        <v>0.97820804577503395</v>
      </c>
      <c r="S2892" t="s">
        <v>6724</v>
      </c>
      <c r="T2892" t="s">
        <v>7662</v>
      </c>
      <c r="U2892" t="s">
        <v>7662</v>
      </c>
      <c r="V2892" t="s">
        <v>7662</v>
      </c>
      <c r="W2892">
        <v>1</v>
      </c>
      <c r="X2892" t="s">
        <v>10554</v>
      </c>
      <c r="Y2892">
        <v>0.55825249636516538</v>
      </c>
      <c r="Z2892" t="str">
        <f>HYPERLINK("Melting_Curves/meltCurve_sp_Q9NZN9_3_AIPL1_HUMAN_.pdf", "Melting_Curves/meltCurve_sp_Q9NZN9_3_AIPL1_HUMAN_.pdf")</f>
        <v>Melting_Curves/meltCurve_sp_Q9NZN9_3_AIPL1_HUMAN_.pdf</v>
      </c>
      <c r="AA2892" t="s">
        <v>14349</v>
      </c>
      <c r="AB2892" t="s">
        <v>18131</v>
      </c>
    </row>
    <row r="2893" spans="1:28" x14ac:dyDescent="0.25">
      <c r="A2893" t="s">
        <v>2897</v>
      </c>
      <c r="B2893">
        <v>0.98876768158843997</v>
      </c>
      <c r="C2893">
        <v>0.96663867394089797</v>
      </c>
      <c r="D2893">
        <v>0.79019297112271403</v>
      </c>
      <c r="E2893">
        <v>0.64787613563454405</v>
      </c>
      <c r="F2893">
        <v>0.44671103199829798</v>
      </c>
      <c r="G2893">
        <v>0.27310018646439699</v>
      </c>
      <c r="H2893">
        <v>0.18053338805451399</v>
      </c>
      <c r="I2893">
        <v>0.18559559961883201</v>
      </c>
      <c r="J2893">
        <v>0.20177802359064201</v>
      </c>
      <c r="K2893">
        <v>0.203152141569685</v>
      </c>
      <c r="L2893">
        <v>760.44304070473095</v>
      </c>
      <c r="M2893">
        <v>15.062161651226001</v>
      </c>
      <c r="N2893">
        <v>51.8390903576909</v>
      </c>
      <c r="O2893">
        <v>49.6221289937059</v>
      </c>
      <c r="P2893">
        <v>-6.3564062653145903E-2</v>
      </c>
      <c r="Q2893">
        <v>0.16243878501092901</v>
      </c>
      <c r="R2893">
        <v>0.99212457922753206</v>
      </c>
      <c r="S2893" t="s">
        <v>6725</v>
      </c>
      <c r="T2893" t="s">
        <v>7662</v>
      </c>
      <c r="U2893" t="s">
        <v>7662</v>
      </c>
      <c r="V2893" t="s">
        <v>7662</v>
      </c>
      <c r="W2893">
        <v>4</v>
      </c>
      <c r="X2893" t="s">
        <v>10555</v>
      </c>
      <c r="Y2893">
        <v>0.47474873402984358</v>
      </c>
      <c r="Z2893" t="str">
        <f>HYPERLINK("Melting_Curves/meltCurve_sp_Q9NZP8_C1RL_HUMAN_.pdf", "Melting_Curves/meltCurve_sp_Q9NZP8_C1RL_HUMAN_.pdf")</f>
        <v>Melting_Curves/meltCurve_sp_Q9NZP8_C1RL_HUMAN_.pdf</v>
      </c>
      <c r="AA2893" t="s">
        <v>14350</v>
      </c>
      <c r="AB2893" t="s">
        <v>18132</v>
      </c>
    </row>
    <row r="2894" spans="1:28" x14ac:dyDescent="0.25">
      <c r="A2894" t="s">
        <v>2898</v>
      </c>
      <c r="B2894">
        <v>0.98876768158843997</v>
      </c>
      <c r="C2894">
        <v>0.94778681030371104</v>
      </c>
      <c r="D2894">
        <v>0.74708364235929803</v>
      </c>
      <c r="E2894">
        <v>0.38029308489618202</v>
      </c>
      <c r="F2894">
        <v>0.283806171600542</v>
      </c>
      <c r="G2894">
        <v>0.15071962911296799</v>
      </c>
      <c r="H2894">
        <v>0.11094603618299299</v>
      </c>
      <c r="I2894">
        <v>0.113534932615712</v>
      </c>
      <c r="J2894">
        <v>0.15021973301474301</v>
      </c>
      <c r="K2894">
        <v>0.122293570957327</v>
      </c>
      <c r="L2894">
        <v>963.47406969255303</v>
      </c>
      <c r="M2894">
        <v>20.0210190124623</v>
      </c>
      <c r="N2894">
        <v>48.803476379147902</v>
      </c>
      <c r="O2894">
        <v>47.650744198614497</v>
      </c>
      <c r="P2894">
        <v>-9.2252493720138704E-2</v>
      </c>
      <c r="Q2894">
        <v>0.121771480964459</v>
      </c>
      <c r="R2894">
        <v>0.99642014458477801</v>
      </c>
      <c r="S2894" t="s">
        <v>6726</v>
      </c>
      <c r="T2894" t="s">
        <v>7662</v>
      </c>
      <c r="U2894" t="s">
        <v>7662</v>
      </c>
      <c r="V2894" t="s">
        <v>7662</v>
      </c>
      <c r="W2894">
        <v>6</v>
      </c>
      <c r="X2894" t="s">
        <v>10556</v>
      </c>
      <c r="Y2894">
        <v>0.37199315413142597</v>
      </c>
      <c r="Z2894" t="str">
        <f>HYPERLINK("Melting_Curves/meltCurve_sp_Q9NZT2_2_OGFR_HUMAN_.pdf", "Melting_Curves/meltCurve_sp_Q9NZT2_2_OGFR_HUMAN_.pdf")</f>
        <v>Melting_Curves/meltCurve_sp_Q9NZT2_2_OGFR_HUMAN_.pdf</v>
      </c>
      <c r="AA2894" t="s">
        <v>14351</v>
      </c>
      <c r="AB2894" t="s">
        <v>18133</v>
      </c>
    </row>
    <row r="2895" spans="1:28" x14ac:dyDescent="0.25">
      <c r="A2895" t="s">
        <v>2899</v>
      </c>
      <c r="B2895">
        <v>0.98876768158843997</v>
      </c>
      <c r="C2895">
        <v>1.08324389673026</v>
      </c>
      <c r="D2895">
        <v>0.86800164227823096</v>
      </c>
      <c r="E2895">
        <v>0.76947168267343402</v>
      </c>
      <c r="F2895">
        <v>0.51676740530299003</v>
      </c>
      <c r="G2895">
        <v>0.16165224718589799</v>
      </c>
      <c r="H2895">
        <v>0.113291106532026</v>
      </c>
      <c r="I2895">
        <v>0.14515494664429399</v>
      </c>
      <c r="J2895">
        <v>0.157475870879529</v>
      </c>
      <c r="K2895">
        <v>0.226080202214933</v>
      </c>
      <c r="L2895">
        <v>1342.2180130855199</v>
      </c>
      <c r="M2895">
        <v>25.806994629691602</v>
      </c>
      <c r="N2895">
        <v>52.7081632839135</v>
      </c>
      <c r="O2895">
        <v>51.700590930604697</v>
      </c>
      <c r="P2895">
        <v>-0.106723135523658</v>
      </c>
      <c r="Q2895">
        <v>0.14479279382497501</v>
      </c>
      <c r="R2895">
        <v>0.97540795308955797</v>
      </c>
      <c r="S2895" t="s">
        <v>6727</v>
      </c>
      <c r="T2895" t="s">
        <v>7662</v>
      </c>
      <c r="U2895" t="s">
        <v>7662</v>
      </c>
      <c r="V2895" t="s">
        <v>7662</v>
      </c>
      <c r="W2895">
        <v>5</v>
      </c>
      <c r="X2895" t="s">
        <v>10557</v>
      </c>
      <c r="Y2895">
        <v>0.49449991422423722</v>
      </c>
      <c r="Z2895" t="str">
        <f>HYPERLINK("Melting_Curves/meltCurve_sp_Q9NZU5_LMCD1_HUMAN_.pdf", "Melting_Curves/meltCurve_sp_Q9NZU5_LMCD1_HUMAN_.pdf")</f>
        <v>Melting_Curves/meltCurve_sp_Q9NZU5_LMCD1_HUMAN_.pdf</v>
      </c>
      <c r="AA2895" t="s">
        <v>14352</v>
      </c>
      <c r="AB2895" t="s">
        <v>18134</v>
      </c>
    </row>
    <row r="2896" spans="1:28" x14ac:dyDescent="0.25">
      <c r="A2896" t="s">
        <v>2900</v>
      </c>
      <c r="B2896">
        <v>0.98876768158843997</v>
      </c>
      <c r="C2896">
        <v>1.1936918304266599</v>
      </c>
      <c r="D2896">
        <v>0.90629808074705298</v>
      </c>
      <c r="E2896">
        <v>0.79914814289143998</v>
      </c>
      <c r="F2896">
        <v>0.95564904642653203</v>
      </c>
      <c r="G2896">
        <v>0.69239135233174498</v>
      </c>
      <c r="H2896">
        <v>0.51722180119880901</v>
      </c>
      <c r="I2896">
        <v>0.63972215509650898</v>
      </c>
      <c r="J2896">
        <v>0.797285167957965</v>
      </c>
      <c r="K2896">
        <v>0.95209122993195305</v>
      </c>
      <c r="L2896">
        <v>1060.9585728213699</v>
      </c>
      <c r="M2896">
        <v>21.099409603966201</v>
      </c>
      <c r="O2896">
        <v>49.8386531902946</v>
      </c>
      <c r="P2896">
        <v>-2.8449734034160502E-2</v>
      </c>
      <c r="Q2896">
        <v>0.73120402555251796</v>
      </c>
      <c r="R2896">
        <v>0.45894210991773099</v>
      </c>
      <c r="S2896" t="s">
        <v>6728</v>
      </c>
      <c r="T2896" t="s">
        <v>7662</v>
      </c>
      <c r="U2896" t="s">
        <v>7662</v>
      </c>
      <c r="V2896" t="s">
        <v>7662</v>
      </c>
      <c r="W2896">
        <v>4</v>
      </c>
      <c r="X2896" t="s">
        <v>10558</v>
      </c>
      <c r="Y2896">
        <v>0.82671528398811833</v>
      </c>
      <c r="Z2896" t="str">
        <f>HYPERLINK("Melting_Curves/meltCurve_sp_Q9NZZ3_CHMP5_HUMAN_.pdf", "Melting_Curves/meltCurve_sp_Q9NZZ3_CHMP5_HUMAN_.pdf")</f>
        <v>Melting_Curves/meltCurve_sp_Q9NZZ3_CHMP5_HUMAN_.pdf</v>
      </c>
      <c r="AA2896" t="s">
        <v>14353</v>
      </c>
      <c r="AB2896" t="s">
        <v>18135</v>
      </c>
    </row>
    <row r="2897" spans="1:28" x14ac:dyDescent="0.25">
      <c r="A2897" t="s">
        <v>2901</v>
      </c>
      <c r="B2897">
        <v>0.98876768158843997</v>
      </c>
      <c r="C2897">
        <v>0.98021168518909296</v>
      </c>
      <c r="D2897">
        <v>1.06452840344493</v>
      </c>
      <c r="E2897">
        <v>0.88343327128521598</v>
      </c>
      <c r="F2897">
        <v>0.82238419192413004</v>
      </c>
      <c r="G2897">
        <v>0.48703528328190898</v>
      </c>
      <c r="H2897">
        <v>0.25523313409949</v>
      </c>
      <c r="I2897">
        <v>0.18297832383517801</v>
      </c>
      <c r="J2897">
        <v>0.18275460422073</v>
      </c>
      <c r="K2897">
        <v>0.16321572100340201</v>
      </c>
      <c r="L2897">
        <v>1227.5986359558699</v>
      </c>
      <c r="M2897">
        <v>21.969358531333199</v>
      </c>
      <c r="N2897">
        <v>56.785417069397397</v>
      </c>
      <c r="O2897">
        <v>55.420975611743401</v>
      </c>
      <c r="P2897">
        <v>-8.4430821796073099E-2</v>
      </c>
      <c r="Q2897">
        <v>0.148061942329654</v>
      </c>
      <c r="R2897">
        <v>0.99251926684444403</v>
      </c>
      <c r="S2897" t="s">
        <v>6729</v>
      </c>
      <c r="T2897" t="s">
        <v>7662</v>
      </c>
      <c r="U2897" t="s">
        <v>7662</v>
      </c>
      <c r="V2897" t="s">
        <v>7662</v>
      </c>
      <c r="W2897">
        <v>5</v>
      </c>
      <c r="X2897" t="s">
        <v>10559</v>
      </c>
      <c r="Y2897">
        <v>0.6085842822893105</v>
      </c>
      <c r="Z2897" t="str">
        <f>HYPERLINK("Melting_Curves/meltCurve_sp_Q9P000_COMD9_HUMAN_.pdf", "Melting_Curves/meltCurve_sp_Q9P000_COMD9_HUMAN_.pdf")</f>
        <v>Melting_Curves/meltCurve_sp_Q9P000_COMD9_HUMAN_.pdf</v>
      </c>
      <c r="AA2897" t="s">
        <v>14354</v>
      </c>
      <c r="AB2897" t="s">
        <v>18136</v>
      </c>
    </row>
    <row r="2898" spans="1:28" x14ac:dyDescent="0.25">
      <c r="A2898" t="s">
        <v>2902</v>
      </c>
      <c r="B2898">
        <v>0.98876768158843997</v>
      </c>
      <c r="C2898">
        <v>1.07246190181769</v>
      </c>
      <c r="D2898">
        <v>0.91997664231701404</v>
      </c>
      <c r="E2898">
        <v>0.67643118992010998</v>
      </c>
      <c r="F2898">
        <v>0.89538057638808799</v>
      </c>
      <c r="G2898">
        <v>0.62414398496538104</v>
      </c>
      <c r="H2898">
        <v>0.48806692956548497</v>
      </c>
      <c r="I2898">
        <v>0.58485636803730601</v>
      </c>
      <c r="J2898">
        <v>0.90524866191418396</v>
      </c>
      <c r="K2898">
        <v>0.81501533229036205</v>
      </c>
      <c r="L2898">
        <v>11543.7721405631</v>
      </c>
      <c r="M2898">
        <v>250</v>
      </c>
      <c r="O2898">
        <v>46.172137728611098</v>
      </c>
      <c r="P2898">
        <v>-0.38885099248958799</v>
      </c>
      <c r="Q2898">
        <v>0.71273472029943596</v>
      </c>
      <c r="R2898">
        <v>0.51473089931078897</v>
      </c>
      <c r="S2898" t="s">
        <v>6730</v>
      </c>
      <c r="T2898" t="s">
        <v>7662</v>
      </c>
      <c r="U2898" t="s">
        <v>7662</v>
      </c>
      <c r="V2898" t="s">
        <v>7662</v>
      </c>
      <c r="W2898">
        <v>4</v>
      </c>
      <c r="X2898" t="s">
        <v>10560</v>
      </c>
      <c r="Y2898">
        <v>0.7718876173903958</v>
      </c>
      <c r="Z2898" t="str">
        <f>HYPERLINK("Melting_Curves/meltCurve_sp_Q9P013_CWC15_HUMAN_.pdf", "Melting_Curves/meltCurve_sp_Q9P013_CWC15_HUMAN_.pdf")</f>
        <v>Melting_Curves/meltCurve_sp_Q9P013_CWC15_HUMAN_.pdf</v>
      </c>
      <c r="AA2898" t="s">
        <v>14355</v>
      </c>
      <c r="AB2898" t="s">
        <v>18137</v>
      </c>
    </row>
    <row r="2899" spans="1:28" x14ac:dyDescent="0.25">
      <c r="A2899" t="s">
        <v>2903</v>
      </c>
      <c r="B2899">
        <v>0.98876768158843997</v>
      </c>
      <c r="C2899">
        <v>1.12303845878384</v>
      </c>
      <c r="D2899">
        <v>0.73431990295414196</v>
      </c>
      <c r="E2899">
        <v>0.268185273003614</v>
      </c>
      <c r="F2899">
        <v>0.126231502096394</v>
      </c>
      <c r="G2899">
        <v>6.7440802625531995E-2</v>
      </c>
      <c r="H2899">
        <v>5.1658273714956598E-2</v>
      </c>
      <c r="I2899">
        <v>4.6346085321390798E-2</v>
      </c>
      <c r="J2899">
        <v>7.70923050077639E-2</v>
      </c>
      <c r="K2899">
        <v>5.3857188832045898E-2</v>
      </c>
      <c r="L2899">
        <v>1462.9463449286</v>
      </c>
      <c r="M2899">
        <v>30.6341402849994</v>
      </c>
      <c r="N2899">
        <v>47.965959721036398</v>
      </c>
      <c r="O2899">
        <v>47.553295917666901</v>
      </c>
      <c r="P2899">
        <v>-0.15092012998750301</v>
      </c>
      <c r="Q2899">
        <v>6.2913690532621899E-2</v>
      </c>
      <c r="R2899">
        <v>0.983901477690591</v>
      </c>
      <c r="S2899" t="s">
        <v>6731</v>
      </c>
      <c r="T2899" t="s">
        <v>7662</v>
      </c>
      <c r="U2899" t="s">
        <v>7662</v>
      </c>
      <c r="V2899" t="s">
        <v>7662</v>
      </c>
      <c r="W2899">
        <v>7</v>
      </c>
      <c r="X2899" t="s">
        <v>10561</v>
      </c>
      <c r="Y2899">
        <v>0.310551215275846</v>
      </c>
      <c r="Z2899" t="str">
        <f>HYPERLINK("Melting_Curves/meltCurve_sp_Q9P016_THYN1_HUMAN_.pdf", "Melting_Curves/meltCurve_sp_Q9P016_THYN1_HUMAN_.pdf")</f>
        <v>Melting_Curves/meltCurve_sp_Q9P016_THYN1_HUMAN_.pdf</v>
      </c>
      <c r="AA2899" t="s">
        <v>14356</v>
      </c>
      <c r="AB2899" t="s">
        <v>18138</v>
      </c>
    </row>
    <row r="2900" spans="1:28" x14ac:dyDescent="0.25">
      <c r="A2900" t="s">
        <v>2904</v>
      </c>
      <c r="B2900">
        <v>0.98876768158843997</v>
      </c>
      <c r="C2900">
        <v>1.12356219264179</v>
      </c>
      <c r="D2900">
        <v>0.94616757809570795</v>
      </c>
      <c r="E2900">
        <v>0.57744847545950895</v>
      </c>
      <c r="F2900">
        <v>0.53514121560561201</v>
      </c>
      <c r="G2900">
        <v>0.44367866059965799</v>
      </c>
      <c r="H2900">
        <v>0.27801190744424498</v>
      </c>
      <c r="I2900">
        <v>0.29033807961315899</v>
      </c>
      <c r="J2900">
        <v>0.266123070719824</v>
      </c>
      <c r="K2900">
        <v>0.53747695759650305</v>
      </c>
      <c r="L2900">
        <v>1292.7780854473201</v>
      </c>
      <c r="M2900">
        <v>26.12282645765</v>
      </c>
      <c r="N2900">
        <v>52.088619278491102</v>
      </c>
      <c r="O2900">
        <v>49.201164716504003</v>
      </c>
      <c r="P2900">
        <v>-8.4383254341562797E-2</v>
      </c>
      <c r="Q2900">
        <v>0.36427897599596198</v>
      </c>
      <c r="R2900">
        <v>0.90375246699284795</v>
      </c>
      <c r="S2900" t="s">
        <v>6732</v>
      </c>
      <c r="T2900" t="s">
        <v>7662</v>
      </c>
      <c r="U2900" t="s">
        <v>7662</v>
      </c>
      <c r="V2900" t="s">
        <v>7662</v>
      </c>
      <c r="W2900">
        <v>1</v>
      </c>
      <c r="X2900" t="s">
        <v>10562</v>
      </c>
      <c r="Y2900">
        <v>0.57051634530448725</v>
      </c>
      <c r="Z2900" t="str">
        <f>HYPERLINK("Melting_Curves/meltCurve_sp_Q9P0J1_PDP1_HUMAN_.pdf", "Melting_Curves/meltCurve_sp_Q9P0J1_PDP1_HUMAN_.pdf")</f>
        <v>Melting_Curves/meltCurve_sp_Q9P0J1_PDP1_HUMAN_.pdf</v>
      </c>
      <c r="AA2900" t="s">
        <v>14357</v>
      </c>
      <c r="AB2900" t="s">
        <v>18139</v>
      </c>
    </row>
    <row r="2901" spans="1:28" x14ac:dyDescent="0.25">
      <c r="A2901" t="s">
        <v>2905</v>
      </c>
      <c r="B2901">
        <v>0.98876768158843997</v>
      </c>
      <c r="C2901">
        <v>0.95426068920877705</v>
      </c>
      <c r="D2901">
        <v>0.91978275110683205</v>
      </c>
      <c r="E2901">
        <v>0.68395353210356802</v>
      </c>
      <c r="F2901">
        <v>0.50426259926646799</v>
      </c>
      <c r="G2901">
        <v>0.33501052373948598</v>
      </c>
      <c r="H2901">
        <v>0.227138055172069</v>
      </c>
      <c r="I2901">
        <v>0.210560869743908</v>
      </c>
      <c r="J2901">
        <v>0.22094085884197501</v>
      </c>
      <c r="K2901">
        <v>0.28976665768450399</v>
      </c>
      <c r="L2901">
        <v>942.12116236168799</v>
      </c>
      <c r="M2901">
        <v>18.4176371231449</v>
      </c>
      <c r="N2901">
        <v>52.849213025134397</v>
      </c>
      <c r="O2901">
        <v>50.561592740586697</v>
      </c>
      <c r="P2901">
        <v>-7.07494141856395E-2</v>
      </c>
      <c r="Q2901">
        <v>0.22312687419160501</v>
      </c>
      <c r="R2901">
        <v>0.99260254901084</v>
      </c>
      <c r="S2901" t="s">
        <v>6733</v>
      </c>
      <c r="T2901" t="s">
        <v>7662</v>
      </c>
      <c r="U2901" t="s">
        <v>7662</v>
      </c>
      <c r="V2901" t="s">
        <v>7662</v>
      </c>
      <c r="W2901">
        <v>9</v>
      </c>
      <c r="X2901" t="s">
        <v>10563</v>
      </c>
      <c r="Y2901">
        <v>0.52448636599642151</v>
      </c>
      <c r="Z2901" t="str">
        <f>HYPERLINK("Melting_Curves/meltCurve_sp_Q9P0K7_3_RAI14_HUMAN_.pdf", "Melting_Curves/meltCurve_sp_Q9P0K7_3_RAI14_HUMAN_.pdf")</f>
        <v>Melting_Curves/meltCurve_sp_Q9P0K7_3_RAI14_HUMAN_.pdf</v>
      </c>
      <c r="AA2901" t="s">
        <v>14358</v>
      </c>
      <c r="AB2901" t="s">
        <v>18140</v>
      </c>
    </row>
    <row r="2902" spans="1:28" x14ac:dyDescent="0.25">
      <c r="A2902" t="s">
        <v>2906</v>
      </c>
      <c r="B2902">
        <v>0.98876768158843997</v>
      </c>
      <c r="C2902">
        <v>1.0658696024507099</v>
      </c>
      <c r="D2902">
        <v>0.74729110102098895</v>
      </c>
      <c r="E2902">
        <v>0.729592544984492</v>
      </c>
      <c r="F2902">
        <v>0.98106247843350103</v>
      </c>
      <c r="G2902">
        <v>0.70287582942134597</v>
      </c>
      <c r="H2902">
        <v>0.48304021659420199</v>
      </c>
      <c r="I2902">
        <v>0.62222610824612201</v>
      </c>
      <c r="J2902">
        <v>0.60583621391217901</v>
      </c>
      <c r="K2902">
        <v>0.74822128305481295</v>
      </c>
      <c r="L2902">
        <v>526.48490425642296</v>
      </c>
      <c r="M2902">
        <v>10.431659357137899</v>
      </c>
      <c r="O2902">
        <v>48.720926376204702</v>
      </c>
      <c r="P2902">
        <v>-2.1116011918212101E-2</v>
      </c>
      <c r="Q2902">
        <v>0.60567492690994296</v>
      </c>
      <c r="R2902">
        <v>0.55186880552306405</v>
      </c>
      <c r="S2902" t="s">
        <v>6734</v>
      </c>
      <c r="T2902" t="s">
        <v>7662</v>
      </c>
      <c r="U2902" t="s">
        <v>7662</v>
      </c>
      <c r="V2902" t="s">
        <v>7662</v>
      </c>
      <c r="W2902">
        <v>5</v>
      </c>
      <c r="X2902" t="s">
        <v>10564</v>
      </c>
      <c r="Y2902">
        <v>0.75950906386578754</v>
      </c>
      <c r="Z2902" t="str">
        <f>HYPERLINK("Melting_Curves/meltCurve_sp_Q9P0L0_VAPA_HUMAN_.pdf", "Melting_Curves/meltCurve_sp_Q9P0L0_VAPA_HUMAN_.pdf")</f>
        <v>Melting_Curves/meltCurve_sp_Q9P0L0_VAPA_HUMAN_.pdf</v>
      </c>
      <c r="AA2902" t="s">
        <v>14359</v>
      </c>
      <c r="AB2902" t="s">
        <v>18141</v>
      </c>
    </row>
    <row r="2903" spans="1:28" x14ac:dyDescent="0.25">
      <c r="A2903" t="s">
        <v>2907</v>
      </c>
      <c r="B2903">
        <v>0.98876768158843997</v>
      </c>
      <c r="C2903">
        <v>1.1601909106538599</v>
      </c>
      <c r="D2903">
        <v>0.90726145957378601</v>
      </c>
      <c r="E2903">
        <v>0.80224295484422004</v>
      </c>
      <c r="F2903">
        <v>0.89532733856584501</v>
      </c>
      <c r="G2903">
        <v>0.52269695245533498</v>
      </c>
      <c r="H2903">
        <v>0.29831262617035798</v>
      </c>
      <c r="I2903">
        <v>0.24172571906881701</v>
      </c>
      <c r="J2903">
        <v>0.22983629944399001</v>
      </c>
      <c r="K2903">
        <v>0.255503545022919</v>
      </c>
      <c r="L2903">
        <v>1146.3744643014099</v>
      </c>
      <c r="M2903">
        <v>20.494016676087</v>
      </c>
      <c r="N2903">
        <v>57.4166003463924</v>
      </c>
      <c r="O2903">
        <v>55.412607575539496</v>
      </c>
      <c r="P2903">
        <v>-7.3495631378515794E-2</v>
      </c>
      <c r="Q2903">
        <v>0.205140829098648</v>
      </c>
      <c r="R2903">
        <v>0.946849689180154</v>
      </c>
      <c r="S2903" t="s">
        <v>6735</v>
      </c>
      <c r="T2903" t="s">
        <v>7662</v>
      </c>
      <c r="U2903" t="s">
        <v>7662</v>
      </c>
      <c r="V2903" t="s">
        <v>7662</v>
      </c>
      <c r="W2903">
        <v>3</v>
      </c>
      <c r="X2903" t="s">
        <v>10565</v>
      </c>
      <c r="Y2903">
        <v>0.63732074090824775</v>
      </c>
      <c r="Z2903" t="str">
        <f>HYPERLINK("Melting_Curves/meltCurve_sp_Q9P0P8_CF203_HUMAN_.pdf", "Melting_Curves/meltCurve_sp_Q9P0P8_CF203_HUMAN_.pdf")</f>
        <v>Melting_Curves/meltCurve_sp_Q9P0P8_CF203_HUMAN_.pdf</v>
      </c>
      <c r="AA2903" t="s">
        <v>14360</v>
      </c>
      <c r="AB2903" t="s">
        <v>18142</v>
      </c>
    </row>
    <row r="2904" spans="1:28" x14ac:dyDescent="0.25">
      <c r="A2904" t="s">
        <v>2908</v>
      </c>
      <c r="B2904">
        <v>0.98876768158843997</v>
      </c>
      <c r="C2904">
        <v>1.13111497758865</v>
      </c>
      <c r="D2904">
        <v>0.87408363725139504</v>
      </c>
      <c r="E2904">
        <v>0.72133456178851496</v>
      </c>
      <c r="F2904">
        <v>0.73402043723041399</v>
      </c>
      <c r="G2904">
        <v>0.52015447066428999</v>
      </c>
      <c r="H2904">
        <v>0.39247924495838499</v>
      </c>
      <c r="I2904">
        <v>0.38955693535310698</v>
      </c>
      <c r="J2904">
        <v>0.51763667777685396</v>
      </c>
      <c r="K2904">
        <v>0.420348429128589</v>
      </c>
      <c r="L2904">
        <v>833.19758473965805</v>
      </c>
      <c r="M2904">
        <v>16.121880530234701</v>
      </c>
      <c r="N2904">
        <v>58.028719850177097</v>
      </c>
      <c r="O2904">
        <v>50.905647370626902</v>
      </c>
      <c r="P2904">
        <v>-4.6378168614635597E-2</v>
      </c>
      <c r="Q2904">
        <v>0.414279235999365</v>
      </c>
      <c r="R2904">
        <v>0.91627891811603901</v>
      </c>
      <c r="S2904" t="s">
        <v>6736</v>
      </c>
      <c r="T2904" t="s">
        <v>7662</v>
      </c>
      <c r="U2904" t="s">
        <v>7662</v>
      </c>
      <c r="V2904" t="s">
        <v>7662</v>
      </c>
      <c r="W2904">
        <v>2</v>
      </c>
      <c r="X2904" t="s">
        <v>10566</v>
      </c>
      <c r="Y2904">
        <v>0.65413378245453024</v>
      </c>
      <c r="Z2904" t="str">
        <f>HYPERLINK("Melting_Curves/meltCurve_sp_Q9P0R6_GSKIP_HUMAN_.pdf", "Melting_Curves/meltCurve_sp_Q9P0R6_GSKIP_HUMAN_.pdf")</f>
        <v>Melting_Curves/meltCurve_sp_Q9P0R6_GSKIP_HUMAN_.pdf</v>
      </c>
      <c r="AA2904" t="s">
        <v>14361</v>
      </c>
      <c r="AB2904" t="s">
        <v>18143</v>
      </c>
    </row>
    <row r="2905" spans="1:28" x14ac:dyDescent="0.25">
      <c r="A2905" t="s">
        <v>2909</v>
      </c>
      <c r="B2905">
        <v>0.98876768158843997</v>
      </c>
      <c r="C2905">
        <v>1.10001859484904</v>
      </c>
      <c r="D2905">
        <v>0.93789899728628801</v>
      </c>
      <c r="E2905">
        <v>0.90444419277154797</v>
      </c>
      <c r="F2905">
        <v>0.80428752090682698</v>
      </c>
      <c r="G2905">
        <v>0.53766198749761196</v>
      </c>
      <c r="H2905">
        <v>0.337647322516754</v>
      </c>
      <c r="I2905">
        <v>0.22606923522877401</v>
      </c>
      <c r="J2905">
        <v>0.106511396254345</v>
      </c>
      <c r="K2905">
        <v>8.9578590643360101E-2</v>
      </c>
      <c r="L2905">
        <v>831.36226534064497</v>
      </c>
      <c r="M2905">
        <v>14.3681243465482</v>
      </c>
      <c r="N2905">
        <v>57.922903660107998</v>
      </c>
      <c r="O2905">
        <v>56.775366283285997</v>
      </c>
      <c r="P2905">
        <v>-6.2797309943688095E-2</v>
      </c>
      <c r="Q2905">
        <v>7.5492258901671896E-3</v>
      </c>
      <c r="R2905">
        <v>0.98935928860655098</v>
      </c>
      <c r="S2905" t="s">
        <v>6737</v>
      </c>
      <c r="T2905" t="s">
        <v>7662</v>
      </c>
      <c r="U2905" t="s">
        <v>7662</v>
      </c>
      <c r="V2905" t="s">
        <v>7662</v>
      </c>
      <c r="W2905">
        <v>29</v>
      </c>
      <c r="X2905" t="s">
        <v>10567</v>
      </c>
      <c r="Y2905">
        <v>0.61223094319553695</v>
      </c>
      <c r="Z2905" t="str">
        <f>HYPERLINK("Melting_Curves/meltCurve_sp_Q9P0Z9_SOX_HUMAN_.pdf", "Melting_Curves/meltCurve_sp_Q9P0Z9_SOX_HUMAN_.pdf")</f>
        <v>Melting_Curves/meltCurve_sp_Q9P0Z9_SOX_HUMAN_.pdf</v>
      </c>
      <c r="AA2905" t="s">
        <v>14362</v>
      </c>
      <c r="AB2905" t="s">
        <v>18144</v>
      </c>
    </row>
    <row r="2906" spans="1:28" x14ac:dyDescent="0.25">
      <c r="A2906" t="s">
        <v>2910</v>
      </c>
      <c r="B2906">
        <v>0.98876768158843997</v>
      </c>
      <c r="C2906">
        <v>1.31528257311353</v>
      </c>
      <c r="D2906">
        <v>0.94964686308206803</v>
      </c>
      <c r="E2906">
        <v>0.89676761626592005</v>
      </c>
      <c r="F2906">
        <v>1.02933857733845</v>
      </c>
      <c r="G2906">
        <v>0.64746345363246705</v>
      </c>
      <c r="H2906">
        <v>0.440466816232914</v>
      </c>
      <c r="I2906">
        <v>0.50823244208416896</v>
      </c>
      <c r="J2906">
        <v>0.58524038836719505</v>
      </c>
      <c r="K2906">
        <v>0.61956395085651705</v>
      </c>
      <c r="L2906">
        <v>14183.1387954618</v>
      </c>
      <c r="M2906">
        <v>250</v>
      </c>
      <c r="O2906">
        <v>56.7289247050753</v>
      </c>
      <c r="P2906">
        <v>-0.50858546164086704</v>
      </c>
      <c r="Q2906">
        <v>0.53837589903662797</v>
      </c>
      <c r="R2906">
        <v>0.81068116540214996</v>
      </c>
      <c r="S2906" t="s">
        <v>6738</v>
      </c>
      <c r="T2906" t="s">
        <v>7662</v>
      </c>
      <c r="U2906" t="s">
        <v>7662</v>
      </c>
      <c r="V2906" t="s">
        <v>7662</v>
      </c>
      <c r="W2906">
        <v>5</v>
      </c>
      <c r="X2906" t="s">
        <v>10568</v>
      </c>
      <c r="Y2906">
        <v>0.79589355194681721</v>
      </c>
      <c r="Z2906" t="str">
        <f>HYPERLINK("Melting_Curves/meltCurve_sp_Q9P1F3_ABRAL_HUMAN_.pdf", "Melting_Curves/meltCurve_sp_Q9P1F3_ABRAL_HUMAN_.pdf")</f>
        <v>Melting_Curves/meltCurve_sp_Q9P1F3_ABRAL_HUMAN_.pdf</v>
      </c>
      <c r="AA2906" t="s">
        <v>14363</v>
      </c>
      <c r="AB2906" t="s">
        <v>18145</v>
      </c>
    </row>
    <row r="2907" spans="1:28" x14ac:dyDescent="0.25">
      <c r="A2907" t="s">
        <v>2911</v>
      </c>
      <c r="B2907">
        <v>0.98876768158843997</v>
      </c>
      <c r="C2907">
        <v>0.92170216788949799</v>
      </c>
      <c r="D2907">
        <v>0.99487457236381205</v>
      </c>
      <c r="E2907">
        <v>0.75023715304020899</v>
      </c>
      <c r="F2907">
        <v>0.43086250069604698</v>
      </c>
      <c r="G2907">
        <v>0.38546424260449502</v>
      </c>
      <c r="H2907">
        <v>0.16841073378198901</v>
      </c>
      <c r="I2907">
        <v>0.13756242639055299</v>
      </c>
      <c r="J2907">
        <v>0.135266572611526</v>
      </c>
      <c r="K2907">
        <v>0.12518719823489799</v>
      </c>
      <c r="L2907">
        <v>909.16082790044902</v>
      </c>
      <c r="M2907">
        <v>17.358325323247701</v>
      </c>
      <c r="N2907">
        <v>53.2013365922842</v>
      </c>
      <c r="O2907">
        <v>51.695762225756702</v>
      </c>
      <c r="P2907">
        <v>-7.40409464812532E-2</v>
      </c>
      <c r="Q2907">
        <v>0.118028907389491</v>
      </c>
      <c r="R2907">
        <v>0.98008639395489505</v>
      </c>
      <c r="S2907" t="s">
        <v>6739</v>
      </c>
      <c r="T2907" t="s">
        <v>7662</v>
      </c>
      <c r="U2907" t="s">
        <v>7662</v>
      </c>
      <c r="V2907" t="s">
        <v>7662</v>
      </c>
      <c r="W2907">
        <v>3</v>
      </c>
      <c r="X2907" t="s">
        <v>10569</v>
      </c>
      <c r="Y2907">
        <v>0.49737094027648587</v>
      </c>
      <c r="Z2907" t="str">
        <f>HYPERLINK("Melting_Curves/meltCurve_sp_Q9P1U1_ARP3B_HUMAN_.pdf", "Melting_Curves/meltCurve_sp_Q9P1U1_ARP3B_HUMAN_.pdf")</f>
        <v>Melting_Curves/meltCurve_sp_Q9P1U1_ARP3B_HUMAN_.pdf</v>
      </c>
      <c r="AA2907" t="s">
        <v>14364</v>
      </c>
      <c r="AB2907" t="s">
        <v>18146</v>
      </c>
    </row>
    <row r="2908" spans="1:28" x14ac:dyDescent="0.25">
      <c r="A2908" t="s">
        <v>2912</v>
      </c>
      <c r="B2908">
        <v>0.98876768158843997</v>
      </c>
      <c r="C2908">
        <v>1.09936287028083</v>
      </c>
      <c r="D2908">
        <v>0.88616682569744598</v>
      </c>
      <c r="E2908">
        <v>0.69764028646422904</v>
      </c>
      <c r="F2908">
        <v>0.78355222389690504</v>
      </c>
      <c r="G2908">
        <v>0.48801494908860099</v>
      </c>
      <c r="H2908">
        <v>0.32212701682739298</v>
      </c>
      <c r="I2908">
        <v>0.29261144774405201</v>
      </c>
      <c r="J2908">
        <v>0.419359689381892</v>
      </c>
      <c r="K2908">
        <v>0.46138454793733402</v>
      </c>
      <c r="L2908">
        <v>842.26302447554997</v>
      </c>
      <c r="M2908">
        <v>16.068002419335102</v>
      </c>
      <c r="N2908">
        <v>56.777772112524502</v>
      </c>
      <c r="O2908">
        <v>51.626894163435303</v>
      </c>
      <c r="P2908">
        <v>-5.0238294802929399E-2</v>
      </c>
      <c r="Q2908">
        <v>0.35438220346323801</v>
      </c>
      <c r="R2908">
        <v>0.90100928731018504</v>
      </c>
      <c r="S2908" t="s">
        <v>6740</v>
      </c>
      <c r="T2908" t="s">
        <v>7662</v>
      </c>
      <c r="U2908" t="s">
        <v>7662</v>
      </c>
      <c r="V2908" t="s">
        <v>7662</v>
      </c>
      <c r="W2908">
        <v>9</v>
      </c>
      <c r="X2908" t="s">
        <v>10570</v>
      </c>
      <c r="Y2908">
        <v>0.63445334430483025</v>
      </c>
      <c r="Z2908" t="str">
        <f>HYPERLINK("Melting_Curves/meltCurve_sp_Q9P1Y5_CAMP3_HUMAN_.pdf", "Melting_Curves/meltCurve_sp_Q9P1Y5_CAMP3_HUMAN_.pdf")</f>
        <v>Melting_Curves/meltCurve_sp_Q9P1Y5_CAMP3_HUMAN_.pdf</v>
      </c>
      <c r="AA2908" t="s">
        <v>14365</v>
      </c>
      <c r="AB2908" t="s">
        <v>18147</v>
      </c>
    </row>
    <row r="2909" spans="1:28" x14ac:dyDescent="0.25">
      <c r="A2909" t="s">
        <v>2913</v>
      </c>
      <c r="B2909">
        <v>0.98876768158843997</v>
      </c>
      <c r="C2909">
        <v>1.1524450603559999</v>
      </c>
      <c r="D2909">
        <v>0.87878330303709495</v>
      </c>
      <c r="E2909">
        <v>0.69593835192119002</v>
      </c>
      <c r="F2909">
        <v>0.54648503732496401</v>
      </c>
      <c r="G2909">
        <v>0.30409698971923999</v>
      </c>
      <c r="H2909">
        <v>4.8170198691845002E-2</v>
      </c>
      <c r="I2909">
        <v>0.151448645144486</v>
      </c>
      <c r="J2909">
        <v>0.243228661974288</v>
      </c>
      <c r="K2909">
        <v>0.17400835819054</v>
      </c>
      <c r="L2909">
        <v>1015.06487840374</v>
      </c>
      <c r="M2909">
        <v>19.512330308770199</v>
      </c>
      <c r="N2909">
        <v>52.950042381680603</v>
      </c>
      <c r="O2909">
        <v>51.484537731304997</v>
      </c>
      <c r="P2909">
        <v>-8.1026219827257995E-2</v>
      </c>
      <c r="Q2909">
        <v>0.144858924730635</v>
      </c>
      <c r="R2909">
        <v>0.95331579254318699</v>
      </c>
      <c r="S2909" t="s">
        <v>6741</v>
      </c>
      <c r="T2909" t="s">
        <v>7662</v>
      </c>
      <c r="U2909" t="s">
        <v>7662</v>
      </c>
      <c r="V2909" t="s">
        <v>7662</v>
      </c>
      <c r="W2909">
        <v>4</v>
      </c>
      <c r="X2909" t="s">
        <v>10571</v>
      </c>
      <c r="Y2909">
        <v>0.49989912471626002</v>
      </c>
      <c r="Z2909" t="str">
        <f>HYPERLINK("Melting_Curves/meltCurve_sp_Q9P1Z2_2_CACO1_HUMAN_.pdf", "Melting_Curves/meltCurve_sp_Q9P1Z2_2_CACO1_HUMAN_.pdf")</f>
        <v>Melting_Curves/meltCurve_sp_Q9P1Z2_2_CACO1_HUMAN_.pdf</v>
      </c>
      <c r="AA2909" t="s">
        <v>14366</v>
      </c>
      <c r="AB2909" t="s">
        <v>18148</v>
      </c>
    </row>
    <row r="2910" spans="1:28" x14ac:dyDescent="0.25">
      <c r="A2910" t="s">
        <v>2914</v>
      </c>
      <c r="B2910">
        <v>0.98876768158843997</v>
      </c>
      <c r="C2910">
        <v>1.1228040198643201</v>
      </c>
      <c r="D2910">
        <v>0.88586512918203997</v>
      </c>
      <c r="E2910">
        <v>0.70851963908720605</v>
      </c>
      <c r="F2910">
        <v>0.83823474215318305</v>
      </c>
      <c r="G2910">
        <v>0.59158269185170498</v>
      </c>
      <c r="H2910">
        <v>0.482850341449996</v>
      </c>
      <c r="I2910">
        <v>0.564256330265832</v>
      </c>
      <c r="J2910">
        <v>0.73683164039195803</v>
      </c>
      <c r="K2910">
        <v>0.84243241270760905</v>
      </c>
      <c r="L2910">
        <v>1289.86325787178</v>
      </c>
      <c r="M2910">
        <v>26.891245520182299</v>
      </c>
      <c r="O2910">
        <v>47.703028283181197</v>
      </c>
      <c r="P2910">
        <v>-4.7351624741956998E-2</v>
      </c>
      <c r="Q2910">
        <v>0.66401070944207596</v>
      </c>
      <c r="R2910">
        <v>0.63527868460372705</v>
      </c>
      <c r="S2910" t="s">
        <v>6742</v>
      </c>
      <c r="T2910" t="s">
        <v>7662</v>
      </c>
      <c r="U2910" t="s">
        <v>7662</v>
      </c>
      <c r="V2910" t="s">
        <v>7662</v>
      </c>
      <c r="W2910">
        <v>7</v>
      </c>
      <c r="X2910" t="s">
        <v>10572</v>
      </c>
      <c r="Y2910">
        <v>0.75577057594493913</v>
      </c>
      <c r="Z2910" t="str">
        <f>HYPERLINK("Melting_Curves/meltCurve_sp_Q9P206_2_K1522_HUMAN_.pdf", "Melting_Curves/meltCurve_sp_Q9P206_2_K1522_HUMAN_.pdf")</f>
        <v>Melting_Curves/meltCurve_sp_Q9P206_2_K1522_HUMAN_.pdf</v>
      </c>
      <c r="AA2910" t="s">
        <v>14367</v>
      </c>
      <c r="AB2910" t="s">
        <v>18149</v>
      </c>
    </row>
    <row r="2911" spans="1:28" x14ac:dyDescent="0.25">
      <c r="A2911" t="s">
        <v>2915</v>
      </c>
      <c r="B2911">
        <v>0.98876768158843997</v>
      </c>
      <c r="C2911">
        <v>0.97906065544562104</v>
      </c>
      <c r="D2911">
        <v>0.84515340630206703</v>
      </c>
      <c r="E2911">
        <v>0.62338911579260003</v>
      </c>
      <c r="F2911">
        <v>0.31113556332603598</v>
      </c>
      <c r="G2911">
        <v>0.15674096189227699</v>
      </c>
      <c r="H2911">
        <v>0.116767381299615</v>
      </c>
      <c r="I2911">
        <v>9.7063467399587794E-2</v>
      </c>
      <c r="J2911">
        <v>0.108791776747085</v>
      </c>
      <c r="K2911">
        <v>9.4198444467589307E-2</v>
      </c>
      <c r="L2911">
        <v>1019.23111151488</v>
      </c>
      <c r="M2911">
        <v>20.2159370639895</v>
      </c>
      <c r="N2911">
        <v>50.906433341165801</v>
      </c>
      <c r="O2911">
        <v>49.931650539635797</v>
      </c>
      <c r="P2911">
        <v>-9.2284744211880002E-2</v>
      </c>
      <c r="Q2911">
        <v>8.8286465441043696E-2</v>
      </c>
      <c r="R2911">
        <v>0.99672932154517901</v>
      </c>
      <c r="S2911" t="s">
        <v>6743</v>
      </c>
      <c r="T2911" t="s">
        <v>7662</v>
      </c>
      <c r="U2911" t="s">
        <v>7662</v>
      </c>
      <c r="V2911" t="s">
        <v>7662</v>
      </c>
      <c r="W2911">
        <v>4</v>
      </c>
      <c r="X2911" t="s">
        <v>10573</v>
      </c>
      <c r="Y2911">
        <v>0.41728631313316988</v>
      </c>
      <c r="Z2911" t="str">
        <f>HYPERLINK("Melting_Curves/meltCurve_sp_Q9P258_RCC2_HUMAN_.pdf", "Melting_Curves/meltCurve_sp_Q9P258_RCC2_HUMAN_.pdf")</f>
        <v>Melting_Curves/meltCurve_sp_Q9P258_RCC2_HUMAN_.pdf</v>
      </c>
      <c r="AA2911" t="s">
        <v>14368</v>
      </c>
      <c r="AB2911" t="s">
        <v>18150</v>
      </c>
    </row>
    <row r="2912" spans="1:28" x14ac:dyDescent="0.25">
      <c r="A2912" t="s">
        <v>2916</v>
      </c>
      <c r="B2912">
        <v>0.98876768158843997</v>
      </c>
      <c r="C2912">
        <v>0.99365150130298596</v>
      </c>
      <c r="D2912">
        <v>0.88134417834650003</v>
      </c>
      <c r="E2912">
        <v>0.68340185273124399</v>
      </c>
      <c r="F2912">
        <v>0.40764575607729198</v>
      </c>
      <c r="G2912">
        <v>0.250825683745801</v>
      </c>
      <c r="H2912">
        <v>0.229638974639545</v>
      </c>
      <c r="I2912">
        <v>0.227923017028518</v>
      </c>
      <c r="J2912">
        <v>0.242464542522281</v>
      </c>
      <c r="K2912">
        <v>0.33760371777887999</v>
      </c>
      <c r="L2912">
        <v>1244.9629780195601</v>
      </c>
      <c r="M2912">
        <v>24.744960201729501</v>
      </c>
      <c r="N2912">
        <v>51.744289993082702</v>
      </c>
      <c r="O2912">
        <v>49.986648586490702</v>
      </c>
      <c r="P2912">
        <v>-9.3071319268505995E-2</v>
      </c>
      <c r="Q2912">
        <v>0.247966787923104</v>
      </c>
      <c r="R2912">
        <v>0.98514474233865801</v>
      </c>
      <c r="S2912" t="s">
        <v>6744</v>
      </c>
      <c r="T2912" t="s">
        <v>7662</v>
      </c>
      <c r="U2912" t="s">
        <v>7662</v>
      </c>
      <c r="V2912" t="s">
        <v>7662</v>
      </c>
      <c r="W2912">
        <v>2</v>
      </c>
      <c r="X2912" t="s">
        <v>10574</v>
      </c>
      <c r="Y2912">
        <v>0.51334287589093974</v>
      </c>
      <c r="Z2912" t="str">
        <f>HYPERLINK("Melting_Curves/meltCurve_sp_Q9P260_K1468_HUMAN_.pdf", "Melting_Curves/meltCurve_sp_Q9P260_K1468_HUMAN_.pdf")</f>
        <v>Melting_Curves/meltCurve_sp_Q9P260_K1468_HUMAN_.pdf</v>
      </c>
      <c r="AA2912" t="s">
        <v>14369</v>
      </c>
      <c r="AB2912" t="s">
        <v>18151</v>
      </c>
    </row>
    <row r="2913" spans="1:28" x14ac:dyDescent="0.25">
      <c r="A2913" t="s">
        <v>2917</v>
      </c>
      <c r="B2913">
        <v>0.98876768158843997</v>
      </c>
      <c r="C2913">
        <v>0.90156448747763995</v>
      </c>
      <c r="D2913">
        <v>0.959935854287437</v>
      </c>
      <c r="E2913">
        <v>0.77378300636710096</v>
      </c>
      <c r="F2913">
        <v>0.48257915031479398</v>
      </c>
      <c r="G2913">
        <v>0.25035839110899499</v>
      </c>
      <c r="H2913">
        <v>0.11316559384571</v>
      </c>
      <c r="I2913">
        <v>0.101931363427525</v>
      </c>
      <c r="J2913">
        <v>0.13138722298188399</v>
      </c>
      <c r="K2913">
        <v>8.93905957083969E-2</v>
      </c>
      <c r="L2913">
        <v>1096.018141537</v>
      </c>
      <c r="M2913">
        <v>20.900444282154002</v>
      </c>
      <c r="N2913">
        <v>52.9509358812644</v>
      </c>
      <c r="O2913">
        <v>51.966954485361498</v>
      </c>
      <c r="P2913">
        <v>-9.1366597518438897E-2</v>
      </c>
      <c r="Q2913">
        <v>9.1327573238162194E-2</v>
      </c>
      <c r="R2913">
        <v>0.99228600858771598</v>
      </c>
      <c r="S2913" t="s">
        <v>6745</v>
      </c>
      <c r="T2913" t="s">
        <v>7662</v>
      </c>
      <c r="U2913" t="s">
        <v>7662</v>
      </c>
      <c r="V2913" t="s">
        <v>7662</v>
      </c>
      <c r="W2913">
        <v>14</v>
      </c>
      <c r="X2913" t="s">
        <v>10575</v>
      </c>
      <c r="Y2913">
        <v>0.47972701679240282</v>
      </c>
      <c r="Z2913" t="str">
        <f>HYPERLINK("Melting_Curves/meltCurve_sp_Q9P265_DIP2B_HUMAN_.pdf", "Melting_Curves/meltCurve_sp_Q9P265_DIP2B_HUMAN_.pdf")</f>
        <v>Melting_Curves/meltCurve_sp_Q9P265_DIP2B_HUMAN_.pdf</v>
      </c>
      <c r="AA2913" t="s">
        <v>14370</v>
      </c>
      <c r="AB2913" t="s">
        <v>18152</v>
      </c>
    </row>
    <row r="2914" spans="1:28" x14ac:dyDescent="0.25">
      <c r="A2914" t="s">
        <v>2918</v>
      </c>
      <c r="B2914">
        <v>0.98876768158843997</v>
      </c>
      <c r="C2914">
        <v>1.04692375322827</v>
      </c>
      <c r="D2914">
        <v>0.90069317478661604</v>
      </c>
      <c r="E2914">
        <v>0.63505105169507703</v>
      </c>
      <c r="F2914">
        <v>0.74754521240773097</v>
      </c>
      <c r="G2914">
        <v>0.49483881484574399</v>
      </c>
      <c r="H2914">
        <v>0.40108708441086099</v>
      </c>
      <c r="I2914">
        <v>0.47692998681084398</v>
      </c>
      <c r="J2914">
        <v>0.75612905312632295</v>
      </c>
      <c r="K2914">
        <v>0.73087056388526705</v>
      </c>
      <c r="L2914">
        <v>1496.2370108344101</v>
      </c>
      <c r="M2914">
        <v>31.344417150708999</v>
      </c>
      <c r="O2914">
        <v>47.542305285138198</v>
      </c>
      <c r="P2914">
        <v>-6.7215117681064501E-2</v>
      </c>
      <c r="Q2914">
        <v>0.59220232137447704</v>
      </c>
      <c r="R2914">
        <v>0.69953194566360699</v>
      </c>
      <c r="S2914" t="s">
        <v>6746</v>
      </c>
      <c r="T2914" t="s">
        <v>7662</v>
      </c>
      <c r="U2914" t="s">
        <v>7662</v>
      </c>
      <c r="V2914" t="s">
        <v>7662</v>
      </c>
      <c r="W2914">
        <v>8</v>
      </c>
      <c r="X2914" t="s">
        <v>10576</v>
      </c>
      <c r="Y2914">
        <v>0.6995852906521729</v>
      </c>
      <c r="Z2914" t="str">
        <f>HYPERLINK("Melting_Curves/meltCurve_sp_Q9P270_SLAI2_HUMAN_.pdf", "Melting_Curves/meltCurve_sp_Q9P270_SLAI2_HUMAN_.pdf")</f>
        <v>Melting_Curves/meltCurve_sp_Q9P270_SLAI2_HUMAN_.pdf</v>
      </c>
      <c r="AA2914" t="s">
        <v>14371</v>
      </c>
      <c r="AB2914" t="s">
        <v>18153</v>
      </c>
    </row>
    <row r="2915" spans="1:28" x14ac:dyDescent="0.25">
      <c r="A2915" t="s">
        <v>2919</v>
      </c>
      <c r="B2915">
        <v>0.98876768158843997</v>
      </c>
      <c r="C2915">
        <v>0.96060389079629904</v>
      </c>
      <c r="D2915">
        <v>0.84484595192791401</v>
      </c>
      <c r="E2915">
        <v>0.61417034977322305</v>
      </c>
      <c r="F2915">
        <v>0.47544100597086802</v>
      </c>
      <c r="G2915">
        <v>0.26279767676398003</v>
      </c>
      <c r="H2915">
        <v>0.138136665608977</v>
      </c>
      <c r="I2915">
        <v>8.8091407345255598E-2</v>
      </c>
      <c r="J2915">
        <v>9.1585833359000501E-2</v>
      </c>
      <c r="K2915">
        <v>8.5067045198192803E-2</v>
      </c>
      <c r="L2915">
        <v>697.74592403903296</v>
      </c>
      <c r="M2915">
        <v>13.4653040628688</v>
      </c>
      <c r="N2915">
        <v>52.148444292268202</v>
      </c>
      <c r="O2915">
        <v>50.715223486916798</v>
      </c>
      <c r="P2915">
        <v>-6.3672963849330397E-2</v>
      </c>
      <c r="Q2915">
        <v>4.0885757912731302E-2</v>
      </c>
      <c r="R2915">
        <v>0.99802247156946999</v>
      </c>
      <c r="S2915" t="s">
        <v>6747</v>
      </c>
      <c r="T2915" t="s">
        <v>7662</v>
      </c>
      <c r="U2915" t="s">
        <v>7662</v>
      </c>
      <c r="V2915" t="s">
        <v>7662</v>
      </c>
      <c r="W2915">
        <v>3</v>
      </c>
      <c r="X2915" t="s">
        <v>10577</v>
      </c>
      <c r="Y2915">
        <v>0.44407108437791132</v>
      </c>
      <c r="Z2915" t="str">
        <f>HYPERLINK("Melting_Curves/meltCurve_sp_Q9P287_BCCIP_HUMAN_.pdf", "Melting_Curves/meltCurve_sp_Q9P287_BCCIP_HUMAN_.pdf")</f>
        <v>Melting_Curves/meltCurve_sp_Q9P287_BCCIP_HUMAN_.pdf</v>
      </c>
      <c r="AA2915" t="s">
        <v>14372</v>
      </c>
      <c r="AB2915" t="s">
        <v>18154</v>
      </c>
    </row>
    <row r="2916" spans="1:28" x14ac:dyDescent="0.25">
      <c r="A2916" t="s">
        <v>2920</v>
      </c>
      <c r="B2916">
        <v>0.98876768158843997</v>
      </c>
      <c r="C2916">
        <v>1.03574797086992</v>
      </c>
      <c r="D2916">
        <v>1.02480813396013</v>
      </c>
      <c r="E2916">
        <v>0.73190471775213295</v>
      </c>
      <c r="F2916">
        <v>0.75169527389046098</v>
      </c>
      <c r="G2916">
        <v>0.62604946124707395</v>
      </c>
      <c r="H2916">
        <v>0.28308724386258599</v>
      </c>
      <c r="I2916">
        <v>0.13929449057877999</v>
      </c>
      <c r="J2916">
        <v>0.12684630384342699</v>
      </c>
      <c r="K2916">
        <v>9.1471021515028603E-2</v>
      </c>
      <c r="L2916">
        <v>756.57523282018599</v>
      </c>
      <c r="M2916">
        <v>13.2017387239174</v>
      </c>
      <c r="N2916">
        <v>57.308773258519302</v>
      </c>
      <c r="O2916">
        <v>56.041669900088003</v>
      </c>
      <c r="P2916">
        <v>-5.8902311114153103E-2</v>
      </c>
      <c r="Q2916">
        <v>0</v>
      </c>
      <c r="R2916">
        <v>0.96858898477300803</v>
      </c>
      <c r="S2916" t="s">
        <v>6748</v>
      </c>
      <c r="T2916" t="s">
        <v>7662</v>
      </c>
      <c r="U2916" t="s">
        <v>7662</v>
      </c>
      <c r="V2916" t="s">
        <v>7662</v>
      </c>
      <c r="W2916">
        <v>3</v>
      </c>
      <c r="X2916" t="s">
        <v>10578</v>
      </c>
      <c r="Y2916">
        <v>0.59266006213659161</v>
      </c>
      <c r="Z2916" t="str">
        <f>HYPERLINK("Melting_Curves/meltCurve_sp_Q9P299_COPZ2_HUMAN_.pdf", "Melting_Curves/meltCurve_sp_Q9P299_COPZ2_HUMAN_.pdf")</f>
        <v>Melting_Curves/meltCurve_sp_Q9P299_COPZ2_HUMAN_.pdf</v>
      </c>
      <c r="AA2916" t="s">
        <v>14373</v>
      </c>
      <c r="AB2916" t="s">
        <v>18155</v>
      </c>
    </row>
    <row r="2917" spans="1:28" x14ac:dyDescent="0.25">
      <c r="A2917" t="s">
        <v>2921</v>
      </c>
      <c r="B2917">
        <v>0.98876768158843997</v>
      </c>
      <c r="C2917">
        <v>0.84524127090471002</v>
      </c>
      <c r="D2917">
        <v>0.97705346080969702</v>
      </c>
      <c r="E2917">
        <v>0.64555406563634499</v>
      </c>
      <c r="F2917">
        <v>0.158866027455972</v>
      </c>
      <c r="G2917">
        <v>0.11732679068314</v>
      </c>
      <c r="H2917">
        <v>5.2423605279690401E-2</v>
      </c>
      <c r="I2917">
        <v>5.54757497747859E-2</v>
      </c>
      <c r="J2917">
        <v>7.1298034939813501E-2</v>
      </c>
      <c r="K2917">
        <v>3.6861361235541998E-2</v>
      </c>
      <c r="L2917">
        <v>2247.0972746940101</v>
      </c>
      <c r="M2917">
        <v>44.463901352650403</v>
      </c>
      <c r="N2917">
        <v>50.693071641526402</v>
      </c>
      <c r="O2917">
        <v>50.435663790508201</v>
      </c>
      <c r="P2917">
        <v>-0.20634839474017699</v>
      </c>
      <c r="Q2917">
        <v>6.3752592701058694E-2</v>
      </c>
      <c r="R2917">
        <v>0.982338368567644</v>
      </c>
      <c r="S2917" t="s">
        <v>6749</v>
      </c>
      <c r="T2917" t="s">
        <v>7662</v>
      </c>
      <c r="U2917" t="s">
        <v>7662</v>
      </c>
      <c r="V2917" t="s">
        <v>7662</v>
      </c>
      <c r="W2917">
        <v>1</v>
      </c>
      <c r="X2917" t="s">
        <v>10579</v>
      </c>
      <c r="Y2917">
        <v>0.39525451025180802</v>
      </c>
      <c r="Z2917" t="str">
        <f>HYPERLINK("Melting_Curves/meltCurve_sp_Q9P2D3_3_HTR5B_HUMAN_.pdf", "Melting_Curves/meltCurve_sp_Q9P2D3_3_HTR5B_HUMAN_.pdf")</f>
        <v>Melting_Curves/meltCurve_sp_Q9P2D3_3_HTR5B_HUMAN_.pdf</v>
      </c>
      <c r="AA2917" t="s">
        <v>14374</v>
      </c>
      <c r="AB2917" t="s">
        <v>18156</v>
      </c>
    </row>
    <row r="2918" spans="1:28" x14ac:dyDescent="0.25">
      <c r="A2918" t="s">
        <v>2922</v>
      </c>
      <c r="B2918">
        <v>0.98876768158843997</v>
      </c>
      <c r="C2918">
        <v>0.87441589211482895</v>
      </c>
      <c r="D2918">
        <v>0.83220505357041097</v>
      </c>
      <c r="E2918">
        <v>0.698683022303354</v>
      </c>
      <c r="F2918">
        <v>0.67493065197666802</v>
      </c>
      <c r="G2918">
        <v>0.507226024140079</v>
      </c>
      <c r="H2918">
        <v>0.43871082216190499</v>
      </c>
      <c r="I2918">
        <v>0.49067343368648803</v>
      </c>
      <c r="J2918">
        <v>0.46085021534081999</v>
      </c>
      <c r="K2918">
        <v>0.77417184817926399</v>
      </c>
      <c r="L2918">
        <v>705.713123493995</v>
      </c>
      <c r="M2918">
        <v>14.849512510546401</v>
      </c>
      <c r="O2918">
        <v>46.687441453641199</v>
      </c>
      <c r="P2918">
        <v>-3.7176630005557397E-2</v>
      </c>
      <c r="Q2918">
        <v>0.53251020045386799</v>
      </c>
      <c r="R2918">
        <v>0.74001389528030104</v>
      </c>
      <c r="S2918" t="s">
        <v>6750</v>
      </c>
      <c r="T2918" t="s">
        <v>7662</v>
      </c>
      <c r="U2918" t="s">
        <v>7662</v>
      </c>
      <c r="V2918" t="s">
        <v>7662</v>
      </c>
      <c r="W2918">
        <v>92</v>
      </c>
      <c r="X2918" t="s">
        <v>10580</v>
      </c>
      <c r="Y2918">
        <v>0.66233631791723613</v>
      </c>
      <c r="Z2918" t="str">
        <f>HYPERLINK("Melting_Curves/meltCurve_sp_Q9P2E9_2_RRBP1_HUMAN_.pdf", "Melting_Curves/meltCurve_sp_Q9P2E9_2_RRBP1_HUMAN_.pdf")</f>
        <v>Melting_Curves/meltCurve_sp_Q9P2E9_2_RRBP1_HUMAN_.pdf</v>
      </c>
      <c r="AA2918" t="s">
        <v>14375</v>
      </c>
      <c r="AB2918" t="s">
        <v>18157</v>
      </c>
    </row>
    <row r="2919" spans="1:28" x14ac:dyDescent="0.25">
      <c r="A2919" t="s">
        <v>2923</v>
      </c>
      <c r="B2919">
        <v>0.98876768158843997</v>
      </c>
      <c r="C2919">
        <v>1.04146635235706</v>
      </c>
      <c r="D2919">
        <v>0.95407138802130798</v>
      </c>
      <c r="E2919">
        <v>0.86253443847701605</v>
      </c>
      <c r="F2919">
        <v>0.91684979154814505</v>
      </c>
      <c r="G2919">
        <v>0.68999759601223398</v>
      </c>
      <c r="H2919">
        <v>0.64347192070383097</v>
      </c>
      <c r="I2919">
        <v>0.77372328327946904</v>
      </c>
      <c r="J2919">
        <v>0.94847757019337098</v>
      </c>
      <c r="K2919">
        <v>1.08705801030927</v>
      </c>
      <c r="L2919">
        <v>1583.5337590470599</v>
      </c>
      <c r="M2919">
        <v>33.213012698959503</v>
      </c>
      <c r="O2919">
        <v>47.506263801844803</v>
      </c>
      <c r="P2919">
        <v>-2.7811371089610699E-2</v>
      </c>
      <c r="Q2919">
        <v>0.84088061086288401</v>
      </c>
      <c r="R2919">
        <v>0.250839670518957</v>
      </c>
      <c r="S2919" t="s">
        <v>6751</v>
      </c>
      <c r="T2919" t="s">
        <v>7662</v>
      </c>
      <c r="U2919" t="s">
        <v>7662</v>
      </c>
      <c r="V2919" t="s">
        <v>7662</v>
      </c>
      <c r="W2919">
        <v>93</v>
      </c>
      <c r="X2919" t="s">
        <v>10581</v>
      </c>
      <c r="Y2919">
        <v>0.88237732173526762</v>
      </c>
      <c r="Z2919" t="str">
        <f>HYPERLINK("Melting_Curves/meltCurve_sp_Q9P2E9_RRBP1_HUMAN_.pdf", "Melting_Curves/meltCurve_sp_Q9P2E9_RRBP1_HUMAN_.pdf")</f>
        <v>Melting_Curves/meltCurve_sp_Q9P2E9_RRBP1_HUMAN_.pdf</v>
      </c>
      <c r="AA2919" t="s">
        <v>14375</v>
      </c>
      <c r="AB2919" t="s">
        <v>18158</v>
      </c>
    </row>
    <row r="2920" spans="1:28" x14ac:dyDescent="0.25">
      <c r="A2920" t="s">
        <v>2924</v>
      </c>
      <c r="B2920">
        <v>0.98876768158843997</v>
      </c>
      <c r="C2920">
        <v>0.98962893459554402</v>
      </c>
      <c r="D2920">
        <v>0.89668264818124799</v>
      </c>
      <c r="E2920">
        <v>0.70052706594658998</v>
      </c>
      <c r="F2920">
        <v>0.59299654270897195</v>
      </c>
      <c r="G2920">
        <v>0.42060100774257703</v>
      </c>
      <c r="H2920">
        <v>0.33484063439230299</v>
      </c>
      <c r="I2920">
        <v>0.25666326415649099</v>
      </c>
      <c r="J2920">
        <v>0.43145962558024298</v>
      </c>
      <c r="K2920">
        <v>0.40763310463796498</v>
      </c>
      <c r="L2920">
        <v>917.48718119174305</v>
      </c>
      <c r="M2920">
        <v>18.0904819196797</v>
      </c>
      <c r="N2920">
        <v>54.286211499620002</v>
      </c>
      <c r="O2920">
        <v>50.1090249920438</v>
      </c>
      <c r="P2920">
        <v>-5.8865570890749799E-2</v>
      </c>
      <c r="Q2920">
        <v>0.34782197802741499</v>
      </c>
      <c r="R2920">
        <v>0.96482654912486199</v>
      </c>
      <c r="S2920" t="s">
        <v>6752</v>
      </c>
      <c r="T2920" t="s">
        <v>7662</v>
      </c>
      <c r="U2920" t="s">
        <v>7662</v>
      </c>
      <c r="V2920" t="s">
        <v>7662</v>
      </c>
      <c r="W2920">
        <v>4</v>
      </c>
      <c r="X2920" t="s">
        <v>10582</v>
      </c>
      <c r="Y2920">
        <v>0.59171662600925967</v>
      </c>
      <c r="Z2920" t="str">
        <f>HYPERLINK("Melting_Curves/meltCurve_sp_Q9P2K8_2_E2AK4_HUMAN_.pdf", "Melting_Curves/meltCurve_sp_Q9P2K8_2_E2AK4_HUMAN_.pdf")</f>
        <v>Melting_Curves/meltCurve_sp_Q9P2K8_2_E2AK4_HUMAN_.pdf</v>
      </c>
      <c r="AA2920" t="s">
        <v>14376</v>
      </c>
      <c r="AB2920" t="s">
        <v>18159</v>
      </c>
    </row>
    <row r="2921" spans="1:28" x14ac:dyDescent="0.25">
      <c r="A2921" t="s">
        <v>2925</v>
      </c>
      <c r="B2921">
        <v>0.98876768158843997</v>
      </c>
      <c r="C2921">
        <v>1.0022769002820999</v>
      </c>
      <c r="D2921">
        <v>0.92257972654181197</v>
      </c>
      <c r="E2921">
        <v>0.743101358240017</v>
      </c>
      <c r="F2921">
        <v>0.72621408888982997</v>
      </c>
      <c r="G2921">
        <v>0.535773688200188</v>
      </c>
      <c r="H2921">
        <v>0.47165293424365701</v>
      </c>
      <c r="I2921">
        <v>0.54914867884654595</v>
      </c>
      <c r="J2921">
        <v>0.68426743610190999</v>
      </c>
      <c r="K2921">
        <v>0.75980359233033901</v>
      </c>
      <c r="L2921">
        <v>1191.3944161182999</v>
      </c>
      <c r="M2921">
        <v>24.320599265863802</v>
      </c>
      <c r="O2921">
        <v>48.659458504153399</v>
      </c>
      <c r="P2921">
        <v>-4.9134802211894903E-2</v>
      </c>
      <c r="Q2921">
        <v>0.60677992225783095</v>
      </c>
      <c r="R2921">
        <v>0.799540293524998</v>
      </c>
      <c r="S2921" t="s">
        <v>6753</v>
      </c>
      <c r="T2921" t="s">
        <v>7662</v>
      </c>
      <c r="U2921" t="s">
        <v>7662</v>
      </c>
      <c r="V2921" t="s">
        <v>7662</v>
      </c>
      <c r="W2921">
        <v>56</v>
      </c>
      <c r="X2921" t="s">
        <v>10583</v>
      </c>
      <c r="Y2921">
        <v>0.72826401011593511</v>
      </c>
      <c r="Z2921" t="str">
        <f>HYPERLINK("Melting_Curves/meltCurve_sp_Q9P2M7_CING_HUMAN_.pdf", "Melting_Curves/meltCurve_sp_Q9P2M7_CING_HUMAN_.pdf")</f>
        <v>Melting_Curves/meltCurve_sp_Q9P2M7_CING_HUMAN_.pdf</v>
      </c>
      <c r="AA2921" t="s">
        <v>14377</v>
      </c>
      <c r="AB2921" t="s">
        <v>18160</v>
      </c>
    </row>
    <row r="2922" spans="1:28" x14ac:dyDescent="0.25">
      <c r="A2922" t="s">
        <v>2926</v>
      </c>
      <c r="B2922">
        <v>0.98876768158843997</v>
      </c>
      <c r="C2922">
        <v>1.0543397864940101</v>
      </c>
      <c r="D2922">
        <v>0.99903974395949502</v>
      </c>
      <c r="E2922">
        <v>0.63489449372731599</v>
      </c>
      <c r="F2922">
        <v>0.63142065371184797</v>
      </c>
      <c r="G2922">
        <v>0.44388888008711302</v>
      </c>
      <c r="H2922">
        <v>0.31334092881992198</v>
      </c>
      <c r="I2922">
        <v>0.37485922731406801</v>
      </c>
      <c r="J2922">
        <v>0.51863255353097704</v>
      </c>
      <c r="K2922">
        <v>0.53329238178621796</v>
      </c>
      <c r="L2922">
        <v>1353.0423063837</v>
      </c>
      <c r="M2922">
        <v>27.1831788297469</v>
      </c>
      <c r="N2922">
        <v>54.093828538592099</v>
      </c>
      <c r="O2922">
        <v>49.507960763427299</v>
      </c>
      <c r="P2922">
        <v>-7.6468163493386407E-2</v>
      </c>
      <c r="Q2922">
        <v>0.44292826549124897</v>
      </c>
      <c r="R2922">
        <v>0.91256057174139105</v>
      </c>
      <c r="S2922" t="s">
        <v>6754</v>
      </c>
      <c r="T2922" t="s">
        <v>7662</v>
      </c>
      <c r="U2922" t="s">
        <v>7662</v>
      </c>
      <c r="V2922" t="s">
        <v>7662</v>
      </c>
      <c r="W2922">
        <v>4</v>
      </c>
      <c r="X2922" t="s">
        <v>10584</v>
      </c>
      <c r="Y2922">
        <v>0.62863379463818936</v>
      </c>
      <c r="Z2922" t="str">
        <f>HYPERLINK("Melting_Curves/meltCurve_sp_Q9P2N5_RBM27_HUMAN_.pdf", "Melting_Curves/meltCurve_sp_Q9P2N5_RBM27_HUMAN_.pdf")</f>
        <v>Melting_Curves/meltCurve_sp_Q9P2N5_RBM27_HUMAN_.pdf</v>
      </c>
      <c r="AA2922" t="s">
        <v>14378</v>
      </c>
      <c r="AB2922" t="s">
        <v>18161</v>
      </c>
    </row>
    <row r="2923" spans="1:28" x14ac:dyDescent="0.25">
      <c r="A2923" t="s">
        <v>2927</v>
      </c>
      <c r="B2923">
        <v>0.98876768158843997</v>
      </c>
      <c r="C2923">
        <v>0.80783177394720396</v>
      </c>
      <c r="D2923">
        <v>0.86345177209750701</v>
      </c>
      <c r="E2923">
        <v>0.28894631592922998</v>
      </c>
      <c r="F2923">
        <v>0.13596272264494799</v>
      </c>
      <c r="G2923">
        <v>7.9794188343393302E-2</v>
      </c>
      <c r="H2923">
        <v>5.7400368659214503E-2</v>
      </c>
      <c r="I2923">
        <v>4.6999122367035101E-2</v>
      </c>
      <c r="J2923">
        <v>3.86445856413428E-2</v>
      </c>
      <c r="K2923">
        <v>4.3636376553274001E-2</v>
      </c>
      <c r="L2923">
        <v>1276.3685900645501</v>
      </c>
      <c r="M2923">
        <v>26.437915805534999</v>
      </c>
      <c r="N2923">
        <v>48.459239694939299</v>
      </c>
      <c r="O2923">
        <v>48.004273583956</v>
      </c>
      <c r="P2923">
        <v>-0.13120381479753401</v>
      </c>
      <c r="Q2923">
        <v>4.7084184636233303E-2</v>
      </c>
      <c r="R2923">
        <v>0.97733134365670205</v>
      </c>
      <c r="S2923" t="s">
        <v>6755</v>
      </c>
      <c r="T2923" t="s">
        <v>7662</v>
      </c>
      <c r="U2923" t="s">
        <v>7662</v>
      </c>
      <c r="V2923" t="s">
        <v>7662</v>
      </c>
      <c r="W2923">
        <v>13</v>
      </c>
      <c r="X2923" t="s">
        <v>10585</v>
      </c>
      <c r="Y2923">
        <v>0.31751127824776831</v>
      </c>
      <c r="Z2923" t="str">
        <f>HYPERLINK("Melting_Curves/meltCurve_sp_Q9P2R3_ANFY1_HUMAN_.pdf", "Melting_Curves/meltCurve_sp_Q9P2R3_ANFY1_HUMAN_.pdf")</f>
        <v>Melting_Curves/meltCurve_sp_Q9P2R3_ANFY1_HUMAN_.pdf</v>
      </c>
      <c r="AA2923" t="s">
        <v>14379</v>
      </c>
      <c r="AB2923" t="s">
        <v>18162</v>
      </c>
    </row>
    <row r="2924" spans="1:28" x14ac:dyDescent="0.25">
      <c r="A2924" t="s">
        <v>2928</v>
      </c>
      <c r="B2924">
        <v>0.98876768158843997</v>
      </c>
      <c r="C2924">
        <v>0.95080112819467999</v>
      </c>
      <c r="D2924">
        <v>0.80172248832736104</v>
      </c>
      <c r="E2924">
        <v>0.66483066144436298</v>
      </c>
      <c r="F2924">
        <v>0.28322973148153502</v>
      </c>
      <c r="G2924">
        <v>0.23145767482263199</v>
      </c>
      <c r="H2924">
        <v>0.118329276372558</v>
      </c>
      <c r="I2924">
        <v>6.0381144320571602E-2</v>
      </c>
      <c r="J2924">
        <v>9.3320515122947006E-2</v>
      </c>
      <c r="K2924">
        <v>9.3961851439240796E-2</v>
      </c>
      <c r="L2924">
        <v>839.98854466458499</v>
      </c>
      <c r="M2924">
        <v>16.601155747939401</v>
      </c>
      <c r="N2924">
        <v>51.043136526330599</v>
      </c>
      <c r="O2924">
        <v>49.8811062344692</v>
      </c>
      <c r="P2924">
        <v>-7.7603972183985903E-2</v>
      </c>
      <c r="Q2924">
        <v>6.7363914923090601E-2</v>
      </c>
      <c r="R2924">
        <v>0.98483952628250804</v>
      </c>
      <c r="S2924" t="s">
        <v>6756</v>
      </c>
      <c r="T2924" t="s">
        <v>7662</v>
      </c>
      <c r="U2924" t="s">
        <v>7662</v>
      </c>
      <c r="V2924" t="s">
        <v>7662</v>
      </c>
      <c r="W2924">
        <v>2</v>
      </c>
      <c r="X2924" t="s">
        <v>10586</v>
      </c>
      <c r="Y2924">
        <v>0.41512317952696998</v>
      </c>
      <c r="Z2924" t="str">
        <f>HYPERLINK("Melting_Curves/meltCurve_sp_Q9P2X3_IMPCT_HUMAN_.pdf", "Melting_Curves/meltCurve_sp_Q9P2X3_IMPCT_HUMAN_.pdf")</f>
        <v>Melting_Curves/meltCurve_sp_Q9P2X3_IMPCT_HUMAN_.pdf</v>
      </c>
      <c r="AA2924" t="s">
        <v>14380</v>
      </c>
      <c r="AB2924" t="s">
        <v>18163</v>
      </c>
    </row>
    <row r="2925" spans="1:28" x14ac:dyDescent="0.25">
      <c r="A2925" t="s">
        <v>2929</v>
      </c>
      <c r="B2925">
        <v>0.98876768158843997</v>
      </c>
      <c r="C2925">
        <v>1.04113548063911</v>
      </c>
      <c r="D2925">
        <v>0.87578652736724005</v>
      </c>
      <c r="E2925">
        <v>0.68620332315854404</v>
      </c>
      <c r="F2925">
        <v>0.39231562341290599</v>
      </c>
      <c r="G2925">
        <v>0.118444878028812</v>
      </c>
      <c r="H2925">
        <v>6.0516088613190001E-2</v>
      </c>
      <c r="I2925">
        <v>5.1747234208793902E-2</v>
      </c>
      <c r="J2925">
        <v>6.8539806980564402E-2</v>
      </c>
      <c r="K2925">
        <v>4.7354764992082597E-2</v>
      </c>
      <c r="L2925">
        <v>1109.1452844696501</v>
      </c>
      <c r="M2925">
        <v>21.5259931271544</v>
      </c>
      <c r="N2925">
        <v>51.720814918691303</v>
      </c>
      <c r="O2925">
        <v>51.087362736719697</v>
      </c>
      <c r="P2925">
        <v>-0.101236800833852</v>
      </c>
      <c r="Q2925">
        <v>3.8967443139658803E-2</v>
      </c>
      <c r="R2925">
        <v>0.99498172642744698</v>
      </c>
      <c r="S2925" t="s">
        <v>6757</v>
      </c>
      <c r="T2925" t="s">
        <v>7662</v>
      </c>
      <c r="U2925" t="s">
        <v>7662</v>
      </c>
      <c r="V2925" t="s">
        <v>7662</v>
      </c>
      <c r="W2925">
        <v>12</v>
      </c>
      <c r="X2925" t="s">
        <v>10587</v>
      </c>
      <c r="Y2925">
        <v>0.41981610620206972</v>
      </c>
      <c r="Z2925" t="str">
        <f>HYPERLINK("Melting_Curves/meltCurve_sp_Q9UBB4_ATX10_HUMAN_.pdf", "Melting_Curves/meltCurve_sp_Q9UBB4_ATX10_HUMAN_.pdf")</f>
        <v>Melting_Curves/meltCurve_sp_Q9UBB4_ATX10_HUMAN_.pdf</v>
      </c>
      <c r="AA2925" t="s">
        <v>14381</v>
      </c>
      <c r="AB2925" t="s">
        <v>18164</v>
      </c>
    </row>
    <row r="2926" spans="1:28" x14ac:dyDescent="0.25">
      <c r="A2926" t="s">
        <v>2930</v>
      </c>
      <c r="B2926">
        <v>0.98876768158843997</v>
      </c>
      <c r="C2926">
        <v>0.93210291040618298</v>
      </c>
      <c r="D2926">
        <v>0.91685315103420495</v>
      </c>
      <c r="E2926">
        <v>0.69451440556709498</v>
      </c>
      <c r="F2926">
        <v>0.72409147908419103</v>
      </c>
      <c r="G2926">
        <v>0.55877322723429901</v>
      </c>
      <c r="H2926">
        <v>0.42101433318980702</v>
      </c>
      <c r="I2926">
        <v>0.33599154289090499</v>
      </c>
      <c r="J2926">
        <v>0.30416309762254901</v>
      </c>
      <c r="K2926">
        <v>0.21556773854446301</v>
      </c>
      <c r="L2926">
        <v>429.73887006788198</v>
      </c>
      <c r="M2926">
        <v>7.3460273096392701</v>
      </c>
      <c r="N2926">
        <v>58.499496497944001</v>
      </c>
      <c r="O2926">
        <v>54.6327851746886</v>
      </c>
      <c r="P2926">
        <v>-3.3667656828300002E-2</v>
      </c>
      <c r="Q2926">
        <v>0</v>
      </c>
      <c r="R2926">
        <v>0.98435195364455597</v>
      </c>
      <c r="S2926" t="s">
        <v>6758</v>
      </c>
      <c r="T2926" t="s">
        <v>7662</v>
      </c>
      <c r="U2926" t="s">
        <v>7662</v>
      </c>
      <c r="V2926" t="s">
        <v>7662</v>
      </c>
      <c r="W2926">
        <v>8</v>
      </c>
      <c r="X2926" t="s">
        <v>10588</v>
      </c>
      <c r="Y2926">
        <v>0.61212369411169121</v>
      </c>
      <c r="Z2926" t="str">
        <f>HYPERLINK("Melting_Curves/meltCurve_sp_Q9UBC2_3_EP15R_HUMAN_.pdf", "Melting_Curves/meltCurve_sp_Q9UBC2_3_EP15R_HUMAN_.pdf")</f>
        <v>Melting_Curves/meltCurve_sp_Q9UBC2_3_EP15R_HUMAN_.pdf</v>
      </c>
      <c r="AA2926" t="s">
        <v>14382</v>
      </c>
      <c r="AB2926" t="s">
        <v>18165</v>
      </c>
    </row>
    <row r="2927" spans="1:28" x14ac:dyDescent="0.25">
      <c r="A2927" t="s">
        <v>2931</v>
      </c>
      <c r="B2927">
        <v>0.98876768158843997</v>
      </c>
      <c r="C2927">
        <v>1.0222673109368401</v>
      </c>
      <c r="D2927">
        <v>0.95948070360151405</v>
      </c>
      <c r="E2927">
        <v>0.84525727955214502</v>
      </c>
      <c r="F2927">
        <v>0.47772060452593501</v>
      </c>
      <c r="G2927">
        <v>0.226069507857911</v>
      </c>
      <c r="H2927">
        <v>0.103866217406305</v>
      </c>
      <c r="I2927">
        <v>6.9791653555229996E-2</v>
      </c>
      <c r="J2927">
        <v>8.2840949222244303E-2</v>
      </c>
      <c r="K2927">
        <v>5.8673097117799403E-2</v>
      </c>
      <c r="L2927">
        <v>1327.76775386186</v>
      </c>
      <c r="M2927">
        <v>25.162556450464098</v>
      </c>
      <c r="N2927">
        <v>53.0898082167027</v>
      </c>
      <c r="O2927">
        <v>52.437709486207098</v>
      </c>
      <c r="P2927">
        <v>-0.111470577678421</v>
      </c>
      <c r="Q2927">
        <v>7.0812248319020901E-2</v>
      </c>
      <c r="R2927">
        <v>0.99730125413317094</v>
      </c>
      <c r="S2927" t="s">
        <v>6759</v>
      </c>
      <c r="T2927" t="s">
        <v>7662</v>
      </c>
      <c r="U2927" t="s">
        <v>7662</v>
      </c>
      <c r="V2927" t="s">
        <v>7662</v>
      </c>
      <c r="W2927">
        <v>12</v>
      </c>
      <c r="X2927" t="s">
        <v>10589</v>
      </c>
      <c r="Y2927">
        <v>0.47469862627530968</v>
      </c>
      <c r="Z2927" t="str">
        <f>HYPERLINK("Melting_Curves/meltCurve_sp_Q9UBE0_SAE1_HUMAN_.pdf", "Melting_Curves/meltCurve_sp_Q9UBE0_SAE1_HUMAN_.pdf")</f>
        <v>Melting_Curves/meltCurve_sp_Q9UBE0_SAE1_HUMAN_.pdf</v>
      </c>
      <c r="AA2927" t="s">
        <v>14383</v>
      </c>
      <c r="AB2927" t="s">
        <v>18166</v>
      </c>
    </row>
    <row r="2928" spans="1:28" x14ac:dyDescent="0.25">
      <c r="A2928" t="s">
        <v>2932</v>
      </c>
      <c r="B2928">
        <v>0.98876768158843997</v>
      </c>
      <c r="C2928">
        <v>0.95222922343604099</v>
      </c>
      <c r="D2928">
        <v>1.0585601192137</v>
      </c>
      <c r="E2928">
        <v>0.72344456409080704</v>
      </c>
      <c r="F2928">
        <v>0.30442117942643898</v>
      </c>
      <c r="G2928">
        <v>0.14997302191029999</v>
      </c>
      <c r="H2928">
        <v>6.3279686454128098E-2</v>
      </c>
      <c r="I2928">
        <v>5.7946830699302898E-2</v>
      </c>
      <c r="J2928">
        <v>5.0672502125428301E-2</v>
      </c>
      <c r="K2928">
        <v>3.2257284178568602E-2</v>
      </c>
      <c r="L2928">
        <v>1684.67340964103</v>
      </c>
      <c r="M2928">
        <v>32.7793781307251</v>
      </c>
      <c r="N2928">
        <v>51.596180907567003</v>
      </c>
      <c r="O2928">
        <v>51.204159342228699</v>
      </c>
      <c r="P2928">
        <v>-0.150411216116667</v>
      </c>
      <c r="Q2928">
        <v>6.0184168484122301E-2</v>
      </c>
      <c r="R2928">
        <v>0.992878760860882</v>
      </c>
      <c r="S2928" t="s">
        <v>6760</v>
      </c>
      <c r="T2928" t="s">
        <v>7662</v>
      </c>
      <c r="U2928" t="s">
        <v>7662</v>
      </c>
      <c r="V2928" t="s">
        <v>7662</v>
      </c>
      <c r="W2928">
        <v>4</v>
      </c>
      <c r="X2928" t="s">
        <v>10590</v>
      </c>
      <c r="Y2928">
        <v>0.42211687120235453</v>
      </c>
      <c r="Z2928" t="str">
        <f>HYPERLINK("Melting_Curves/meltCurve_sp_Q9UBF2_COPG2_HUMAN_.pdf", "Melting_Curves/meltCurve_sp_Q9UBF2_COPG2_HUMAN_.pdf")</f>
        <v>Melting_Curves/meltCurve_sp_Q9UBF2_COPG2_HUMAN_.pdf</v>
      </c>
      <c r="AA2928" t="s">
        <v>14384</v>
      </c>
      <c r="AB2928" t="s">
        <v>18167</v>
      </c>
    </row>
    <row r="2929" spans="1:28" x14ac:dyDescent="0.25">
      <c r="A2929" t="s">
        <v>2933</v>
      </c>
      <c r="B2929">
        <v>0.98876768158843997</v>
      </c>
      <c r="C2929">
        <v>0.97076781062728901</v>
      </c>
      <c r="D2929">
        <v>1.07174312143182</v>
      </c>
      <c r="E2929">
        <v>0.955407129776498</v>
      </c>
      <c r="F2929">
        <v>0.72892620734180102</v>
      </c>
      <c r="G2929">
        <v>0.71051683603464599</v>
      </c>
      <c r="H2929">
        <v>0.60398523502385704</v>
      </c>
      <c r="I2929">
        <v>0.64188500871637499</v>
      </c>
      <c r="J2929">
        <v>1.04707455546645</v>
      </c>
      <c r="K2929">
        <v>0.95975116176296305</v>
      </c>
      <c r="L2929">
        <v>12567.8956248713</v>
      </c>
      <c r="M2929">
        <v>250</v>
      </c>
      <c r="O2929">
        <v>50.268365586700099</v>
      </c>
      <c r="P2929">
        <v>-0.271016466630354</v>
      </c>
      <c r="Q2929">
        <v>0.78202312364764903</v>
      </c>
      <c r="R2929">
        <v>0.40221082249915302</v>
      </c>
      <c r="S2929" t="s">
        <v>6761</v>
      </c>
      <c r="T2929" t="s">
        <v>7662</v>
      </c>
      <c r="U2929" t="s">
        <v>7662</v>
      </c>
      <c r="V2929" t="s">
        <v>7662</v>
      </c>
      <c r="W2929">
        <v>2</v>
      </c>
      <c r="X2929" t="s">
        <v>10591</v>
      </c>
      <c r="Y2929">
        <v>0.85667460378950655</v>
      </c>
      <c r="Z2929" t="str">
        <f>HYPERLINK("Melting_Curves/meltCurve_sp_Q9UBF6_RBX2_HUMAN_.pdf", "Melting_Curves/meltCurve_sp_Q9UBF6_RBX2_HUMAN_.pdf")</f>
        <v>Melting_Curves/meltCurve_sp_Q9UBF6_RBX2_HUMAN_.pdf</v>
      </c>
      <c r="AA2929" t="s">
        <v>14385</v>
      </c>
      <c r="AB2929" t="s">
        <v>18168</v>
      </c>
    </row>
    <row r="2930" spans="1:28" x14ac:dyDescent="0.25">
      <c r="A2930" t="s">
        <v>2934</v>
      </c>
      <c r="B2930">
        <v>0.98876768158843997</v>
      </c>
      <c r="C2930">
        <v>0.97184509038926703</v>
      </c>
      <c r="D2930">
        <v>0.85998691676141603</v>
      </c>
      <c r="E2930">
        <v>0.54565979872653303</v>
      </c>
      <c r="F2930">
        <v>0.22477507980935399</v>
      </c>
      <c r="G2930">
        <v>0.14685340624524101</v>
      </c>
      <c r="H2930">
        <v>8.2043696829276799E-2</v>
      </c>
      <c r="I2930">
        <v>7.8152632996285207E-2</v>
      </c>
      <c r="J2930">
        <v>5.0881872185327102E-2</v>
      </c>
      <c r="K2930">
        <v>4.8281490709935503E-2</v>
      </c>
      <c r="L2930">
        <v>1092.4352492185401</v>
      </c>
      <c r="M2930">
        <v>21.891380535588201</v>
      </c>
      <c r="N2930">
        <v>50.1925995795199</v>
      </c>
      <c r="O2930">
        <v>49.491711539219303</v>
      </c>
      <c r="P2930">
        <v>-0.104012812888558</v>
      </c>
      <c r="Q2930">
        <v>5.94188563443592E-2</v>
      </c>
      <c r="R2930">
        <v>0.99738601191808296</v>
      </c>
      <c r="S2930" t="s">
        <v>6762</v>
      </c>
      <c r="T2930" t="s">
        <v>7662</v>
      </c>
      <c r="U2930" t="s">
        <v>7662</v>
      </c>
      <c r="V2930" t="s">
        <v>7662</v>
      </c>
      <c r="W2930">
        <v>5</v>
      </c>
      <c r="X2930" t="s">
        <v>10592</v>
      </c>
      <c r="Y2930">
        <v>0.38084846378558551</v>
      </c>
      <c r="Z2930" t="str">
        <f>HYPERLINK("Melting_Curves/meltCurve_sp_Q9UBK8_2_MTRR_HUMAN_.pdf", "Melting_Curves/meltCurve_sp_Q9UBK8_2_MTRR_HUMAN_.pdf")</f>
        <v>Melting_Curves/meltCurve_sp_Q9UBK8_2_MTRR_HUMAN_.pdf</v>
      </c>
      <c r="AA2930" t="s">
        <v>14386</v>
      </c>
      <c r="AB2930" t="s">
        <v>18169</v>
      </c>
    </row>
    <row r="2931" spans="1:28" x14ac:dyDescent="0.25">
      <c r="A2931" t="s">
        <v>2935</v>
      </c>
      <c r="B2931">
        <v>0.98876768158843997</v>
      </c>
      <c r="C2931">
        <v>0.885385222832203</v>
      </c>
      <c r="D2931">
        <v>0.95011967284855603</v>
      </c>
      <c r="E2931">
        <v>0.72608651020343995</v>
      </c>
      <c r="F2931">
        <v>0.42143473504449003</v>
      </c>
      <c r="G2931">
        <v>0.151437189584745</v>
      </c>
      <c r="H2931">
        <v>0.112865366576306</v>
      </c>
      <c r="I2931">
        <v>0</v>
      </c>
      <c r="J2931">
        <v>0.100694480707866</v>
      </c>
      <c r="K2931">
        <v>9.2001180663529802E-2</v>
      </c>
      <c r="L2931">
        <v>1184.4541536563499</v>
      </c>
      <c r="M2931">
        <v>22.8413512564352</v>
      </c>
      <c r="N2931">
        <v>52.154953375171601</v>
      </c>
      <c r="O2931">
        <v>51.463148494668197</v>
      </c>
      <c r="P2931">
        <v>-0.104146945550271</v>
      </c>
      <c r="Q2931">
        <v>6.1417181868174797E-2</v>
      </c>
      <c r="R2931">
        <v>0.98656013764066997</v>
      </c>
      <c r="S2931" t="s">
        <v>6763</v>
      </c>
      <c r="T2931" t="s">
        <v>7662</v>
      </c>
      <c r="U2931" t="s">
        <v>7662</v>
      </c>
      <c r="V2931" t="s">
        <v>7662</v>
      </c>
      <c r="W2931">
        <v>1</v>
      </c>
      <c r="X2931" t="s">
        <v>10593</v>
      </c>
      <c r="Y2931">
        <v>0.44250283566075299</v>
      </c>
      <c r="Z2931" t="str">
        <f>HYPERLINK("Melting_Curves/meltCurve_sp_Q9UBK9_UXT_HUMAN_.pdf", "Melting_Curves/meltCurve_sp_Q9UBK9_UXT_HUMAN_.pdf")</f>
        <v>Melting_Curves/meltCurve_sp_Q9UBK9_UXT_HUMAN_.pdf</v>
      </c>
      <c r="AA2931" t="s">
        <v>14387</v>
      </c>
      <c r="AB2931" t="s">
        <v>18170</v>
      </c>
    </row>
    <row r="2932" spans="1:28" x14ac:dyDescent="0.25">
      <c r="A2932" t="s">
        <v>2936</v>
      </c>
      <c r="B2932">
        <v>0.98876768158843997</v>
      </c>
      <c r="C2932">
        <v>0.99791186767981799</v>
      </c>
      <c r="D2932">
        <v>0.90010646200435596</v>
      </c>
      <c r="E2932">
        <v>0.78393225196774297</v>
      </c>
      <c r="F2932">
        <v>0.520859698135265</v>
      </c>
      <c r="G2932">
        <v>0.334378760630826</v>
      </c>
      <c r="H2932">
        <v>0.26249863596920398</v>
      </c>
      <c r="I2932">
        <v>0.29119481505664502</v>
      </c>
      <c r="J2932">
        <v>0.43892638360648201</v>
      </c>
      <c r="K2932">
        <v>0.397724910106595</v>
      </c>
      <c r="L2932">
        <v>1460.45218874079</v>
      </c>
      <c r="M2932">
        <v>28.593991796072</v>
      </c>
      <c r="N2932">
        <v>53.1833007842881</v>
      </c>
      <c r="O2932">
        <v>50.827635030297202</v>
      </c>
      <c r="P2932">
        <v>-9.2963670559781997E-2</v>
      </c>
      <c r="Q2932">
        <v>0.33900991628121102</v>
      </c>
      <c r="R2932">
        <v>0.96218934270907597</v>
      </c>
      <c r="S2932" t="s">
        <v>6764</v>
      </c>
      <c r="T2932" t="s">
        <v>7662</v>
      </c>
      <c r="U2932" t="s">
        <v>7662</v>
      </c>
      <c r="V2932" t="s">
        <v>7662</v>
      </c>
      <c r="W2932">
        <v>2</v>
      </c>
      <c r="X2932" t="s">
        <v>10594</v>
      </c>
      <c r="Y2932">
        <v>0.58761622678814474</v>
      </c>
      <c r="Z2932" t="str">
        <f>HYPERLINK("Melting_Curves/meltCurve_sp_Q9UBL3_2_ASH2L_HUMAN_.pdf", "Melting_Curves/meltCurve_sp_Q9UBL3_2_ASH2L_HUMAN_.pdf")</f>
        <v>Melting_Curves/meltCurve_sp_Q9UBL3_2_ASH2L_HUMAN_.pdf</v>
      </c>
      <c r="AA2932" t="s">
        <v>14388</v>
      </c>
      <c r="AB2932" t="s">
        <v>18171</v>
      </c>
    </row>
    <row r="2933" spans="1:28" x14ac:dyDescent="0.25">
      <c r="A2933" t="s">
        <v>2937</v>
      </c>
      <c r="B2933">
        <v>0.98876768158843997</v>
      </c>
      <c r="C2933">
        <v>0.85855547291550904</v>
      </c>
      <c r="D2933">
        <v>0.78463494586054905</v>
      </c>
      <c r="E2933">
        <v>0.40242395411832699</v>
      </c>
      <c r="F2933">
        <v>0.25874911074428197</v>
      </c>
      <c r="G2933">
        <v>0.15400958882402899</v>
      </c>
      <c r="H2933">
        <v>0.10399451599538</v>
      </c>
      <c r="I2933">
        <v>9.83602053984583E-2</v>
      </c>
      <c r="J2933">
        <v>0.15148151861350501</v>
      </c>
      <c r="K2933">
        <v>0.10704341700766599</v>
      </c>
      <c r="L2933">
        <v>879.11947604768898</v>
      </c>
      <c r="M2933">
        <v>18.198153620225</v>
      </c>
      <c r="N2933">
        <v>48.940899149076103</v>
      </c>
      <c r="O2933">
        <v>47.736168796393002</v>
      </c>
      <c r="P2933">
        <v>-8.53196891118881E-2</v>
      </c>
      <c r="Q2933">
        <v>0.10482289457992799</v>
      </c>
      <c r="R2933">
        <v>0.99280745782678104</v>
      </c>
      <c r="S2933" t="s">
        <v>6765</v>
      </c>
      <c r="T2933" t="s">
        <v>7662</v>
      </c>
      <c r="U2933" t="s">
        <v>7662</v>
      </c>
      <c r="V2933" t="s">
        <v>7662</v>
      </c>
      <c r="W2933">
        <v>13</v>
      </c>
      <c r="X2933" t="s">
        <v>10595</v>
      </c>
      <c r="Y2933">
        <v>0.36812632112296301</v>
      </c>
      <c r="Z2933" t="str">
        <f>HYPERLINK("Melting_Curves/meltCurve_sp_Q9UBN7_HDAC6_HUMAN_.pdf", "Melting_Curves/meltCurve_sp_Q9UBN7_HDAC6_HUMAN_.pdf")</f>
        <v>Melting_Curves/meltCurve_sp_Q9UBN7_HDAC6_HUMAN_.pdf</v>
      </c>
      <c r="AA2933" t="s">
        <v>14389</v>
      </c>
      <c r="AB2933" t="s">
        <v>18172</v>
      </c>
    </row>
    <row r="2934" spans="1:28" x14ac:dyDescent="0.25">
      <c r="A2934" t="s">
        <v>2938</v>
      </c>
      <c r="B2934">
        <v>0.98876768158843997</v>
      </c>
      <c r="C2934">
        <v>1.17519772029626</v>
      </c>
      <c r="D2934">
        <v>0.84583032838285699</v>
      </c>
      <c r="E2934">
        <v>0.68694599895005604</v>
      </c>
      <c r="F2934">
        <v>0.68521747772108699</v>
      </c>
      <c r="G2934">
        <v>0.38774970266227099</v>
      </c>
      <c r="H2934">
        <v>0.24288279366892401</v>
      </c>
      <c r="I2934">
        <v>0.228509547586731</v>
      </c>
      <c r="J2934">
        <v>0.24087623161622601</v>
      </c>
      <c r="K2934">
        <v>0.27719822138017097</v>
      </c>
      <c r="L2934">
        <v>821.68337507890305</v>
      </c>
      <c r="M2934">
        <v>15.5905336795328</v>
      </c>
      <c r="N2934">
        <v>54.609757606911401</v>
      </c>
      <c r="O2934">
        <v>51.8597302153334</v>
      </c>
      <c r="P2934">
        <v>-5.93935499126809E-2</v>
      </c>
      <c r="Q2934">
        <v>0.209811266108197</v>
      </c>
      <c r="R2934">
        <v>0.93915957128069105</v>
      </c>
      <c r="S2934" t="s">
        <v>6766</v>
      </c>
      <c r="T2934" t="s">
        <v>7662</v>
      </c>
      <c r="U2934" t="s">
        <v>7662</v>
      </c>
      <c r="V2934" t="s">
        <v>7662</v>
      </c>
      <c r="W2934">
        <v>3</v>
      </c>
      <c r="X2934" t="s">
        <v>10596</v>
      </c>
      <c r="Y2934">
        <v>0.5606996126117697</v>
      </c>
      <c r="Z2934" t="str">
        <f>HYPERLINK("Melting_Curves/meltCurve_sp_Q9UBP0_3_SPAST_HUMAN_.pdf", "Melting_Curves/meltCurve_sp_Q9UBP0_3_SPAST_HUMAN_.pdf")</f>
        <v>Melting_Curves/meltCurve_sp_Q9UBP0_3_SPAST_HUMAN_.pdf</v>
      </c>
      <c r="AA2934" t="s">
        <v>14390</v>
      </c>
      <c r="AB2934" t="s">
        <v>18173</v>
      </c>
    </row>
    <row r="2935" spans="1:28" x14ac:dyDescent="0.25">
      <c r="A2935" t="s">
        <v>2939</v>
      </c>
      <c r="B2935">
        <v>0.98876768158843997</v>
      </c>
      <c r="C2935">
        <v>0.903139700655336</v>
      </c>
      <c r="D2935">
        <v>0.89332782118090204</v>
      </c>
      <c r="E2935">
        <v>0.65172227726629794</v>
      </c>
      <c r="F2935">
        <v>0.181781069082594</v>
      </c>
      <c r="G2935">
        <v>6.0446385111152003E-2</v>
      </c>
      <c r="H2935">
        <v>2.6401059209882199E-2</v>
      </c>
      <c r="I2935">
        <v>1.68265638049464E-2</v>
      </c>
      <c r="J2935">
        <v>1.66991807360557E-2</v>
      </c>
      <c r="K2935">
        <v>0</v>
      </c>
      <c r="L2935">
        <v>1573.4714304874201</v>
      </c>
      <c r="M2935">
        <v>31.0175180873856</v>
      </c>
      <c r="N2935">
        <v>50.769657973863602</v>
      </c>
      <c r="O2935">
        <v>50.519009503866499</v>
      </c>
      <c r="P2935">
        <v>-0.15158841774721901</v>
      </c>
      <c r="Q2935">
        <v>1.2422079818161701E-2</v>
      </c>
      <c r="R2935">
        <v>0.98996511322429204</v>
      </c>
      <c r="S2935" t="s">
        <v>6767</v>
      </c>
      <c r="T2935" t="s">
        <v>7662</v>
      </c>
      <c r="U2935" t="s">
        <v>7662</v>
      </c>
      <c r="V2935" t="s">
        <v>7662</v>
      </c>
      <c r="W2935">
        <v>4</v>
      </c>
      <c r="X2935" t="s">
        <v>10597</v>
      </c>
      <c r="Y2935">
        <v>0.37137651142593242</v>
      </c>
      <c r="Z2935" t="str">
        <f>HYPERLINK("Melting_Curves/meltCurve_sp_Q9UBP6_TRMB_HUMAN_.pdf", "Melting_Curves/meltCurve_sp_Q9UBP6_TRMB_HUMAN_.pdf")</f>
        <v>Melting_Curves/meltCurve_sp_Q9UBP6_TRMB_HUMAN_.pdf</v>
      </c>
      <c r="AA2935" t="s">
        <v>14391</v>
      </c>
      <c r="AB2935" t="s">
        <v>18174</v>
      </c>
    </row>
    <row r="2936" spans="1:28" x14ac:dyDescent="0.25">
      <c r="A2936" t="s">
        <v>2940</v>
      </c>
      <c r="B2936">
        <v>0.98876768158843997</v>
      </c>
      <c r="C2936">
        <v>0.99135805869539395</v>
      </c>
      <c r="D2936">
        <v>0.98288371868736302</v>
      </c>
      <c r="E2936">
        <v>0.91634554907888199</v>
      </c>
      <c r="F2936">
        <v>0.90162085250996604</v>
      </c>
      <c r="G2936">
        <v>0.447724550593326</v>
      </c>
      <c r="H2936">
        <v>0.13417529237315401</v>
      </c>
      <c r="I2936">
        <v>6.0906740556030903E-2</v>
      </c>
      <c r="J2936">
        <v>5.5868014943924897E-2</v>
      </c>
      <c r="K2936">
        <v>4.3444596163401801E-2</v>
      </c>
      <c r="L2936">
        <v>1687.5039486138901</v>
      </c>
      <c r="M2936">
        <v>29.892925969207699</v>
      </c>
      <c r="N2936">
        <v>56.610905796245099</v>
      </c>
      <c r="O2936">
        <v>56.200787642779403</v>
      </c>
      <c r="P2936">
        <v>-0.127610953255616</v>
      </c>
      <c r="Q2936">
        <v>4.0336340548618399E-2</v>
      </c>
      <c r="R2936">
        <v>0.99709561663512103</v>
      </c>
      <c r="S2936" t="s">
        <v>6768</v>
      </c>
      <c r="T2936" t="s">
        <v>7662</v>
      </c>
      <c r="U2936" t="s">
        <v>7662</v>
      </c>
      <c r="V2936" t="s">
        <v>7662</v>
      </c>
      <c r="W2936">
        <v>6</v>
      </c>
      <c r="X2936" t="s">
        <v>10598</v>
      </c>
      <c r="Y2936">
        <v>0.5730466978615204</v>
      </c>
      <c r="Z2936" t="str">
        <f>HYPERLINK("Melting_Curves/meltCurve_sp_Q9UBQ0_VPS29_HUMAN_.pdf", "Melting_Curves/meltCurve_sp_Q9UBQ0_VPS29_HUMAN_.pdf")</f>
        <v>Melting_Curves/meltCurve_sp_Q9UBQ0_VPS29_HUMAN_.pdf</v>
      </c>
      <c r="AA2936" t="s">
        <v>14392</v>
      </c>
      <c r="AB2936" t="s">
        <v>18175</v>
      </c>
    </row>
    <row r="2937" spans="1:28" x14ac:dyDescent="0.25">
      <c r="A2937" t="s">
        <v>2941</v>
      </c>
      <c r="B2937">
        <v>0.98876768158843997</v>
      </c>
      <c r="C2937">
        <v>1.02084188397856</v>
      </c>
      <c r="D2937">
        <v>0.84193373707821595</v>
      </c>
      <c r="E2937">
        <v>0.56160061895286795</v>
      </c>
      <c r="F2937">
        <v>0.12521544487029099</v>
      </c>
      <c r="G2937">
        <v>6.4276858752934998E-2</v>
      </c>
      <c r="H2937">
        <v>3.4368449743836897E-2</v>
      </c>
      <c r="I2937">
        <v>2.75746112886661E-2</v>
      </c>
      <c r="J2937">
        <v>2.8449413946717701E-2</v>
      </c>
      <c r="K2937">
        <v>2.41464556096995E-2</v>
      </c>
      <c r="L2937">
        <v>1374.9786174997801</v>
      </c>
      <c r="M2937">
        <v>27.521372092889301</v>
      </c>
      <c r="N2937">
        <v>50.039405579022002</v>
      </c>
      <c r="O2937">
        <v>49.698862135273401</v>
      </c>
      <c r="P2937">
        <v>-0.135498376259054</v>
      </c>
      <c r="Q2937">
        <v>2.12622039867853E-2</v>
      </c>
      <c r="R2937">
        <v>0.99167095615012402</v>
      </c>
      <c r="S2937" t="s">
        <v>6769</v>
      </c>
      <c r="T2937" t="s">
        <v>7662</v>
      </c>
      <c r="U2937" t="s">
        <v>7662</v>
      </c>
      <c r="V2937" t="s">
        <v>7662</v>
      </c>
      <c r="W2937">
        <v>17</v>
      </c>
      <c r="X2937" t="s">
        <v>10599</v>
      </c>
      <c r="Y2937">
        <v>0.35341912310018841</v>
      </c>
      <c r="Z2937" t="str">
        <f>HYPERLINK("Melting_Curves/meltCurve_sp_Q9UBQ7_GRHPR_HUMAN_.pdf", "Melting_Curves/meltCurve_sp_Q9UBQ7_GRHPR_HUMAN_.pdf")</f>
        <v>Melting_Curves/meltCurve_sp_Q9UBQ7_GRHPR_HUMAN_.pdf</v>
      </c>
      <c r="AA2937" t="s">
        <v>14393</v>
      </c>
      <c r="AB2937" t="s">
        <v>18176</v>
      </c>
    </row>
    <row r="2938" spans="1:28" x14ac:dyDescent="0.25">
      <c r="A2938" t="s">
        <v>2942</v>
      </c>
      <c r="B2938">
        <v>0.98876768158843997</v>
      </c>
      <c r="C2938">
        <v>0.91723710161829997</v>
      </c>
      <c r="D2938">
        <v>1.08220214974455</v>
      </c>
      <c r="E2938">
        <v>0.84422966197414295</v>
      </c>
      <c r="F2938">
        <v>0.23541124792916601</v>
      </c>
      <c r="G2938">
        <v>0.134654783961313</v>
      </c>
      <c r="H2938">
        <v>6.9555348138174503E-2</v>
      </c>
      <c r="I2938">
        <v>5.0656586074694303E-2</v>
      </c>
      <c r="J2938">
        <v>5.1613555806540701E-2</v>
      </c>
      <c r="K2938">
        <v>4.7805529932869698E-2</v>
      </c>
      <c r="L2938">
        <v>2738.6382186608198</v>
      </c>
      <c r="M2938">
        <v>53.1710648171589</v>
      </c>
      <c r="N2938">
        <v>51.650593630298303</v>
      </c>
      <c r="O2938">
        <v>51.433474068379603</v>
      </c>
      <c r="P2938">
        <v>-0.24059458975883599</v>
      </c>
      <c r="Q2938">
        <v>6.9072068817804505E-2</v>
      </c>
      <c r="R2938">
        <v>0.98979098925125797</v>
      </c>
      <c r="S2938" t="s">
        <v>6770</v>
      </c>
      <c r="T2938" t="s">
        <v>7662</v>
      </c>
      <c r="U2938" t="s">
        <v>7662</v>
      </c>
      <c r="V2938" t="s">
        <v>7662</v>
      </c>
      <c r="W2938">
        <v>19</v>
      </c>
      <c r="X2938" t="s">
        <v>10600</v>
      </c>
      <c r="Y2938">
        <v>0.42798843741786752</v>
      </c>
      <c r="Z2938" t="str">
        <f>HYPERLINK("Melting_Curves/meltCurve_sp_Q9UBR1_BUP1_HUMAN_.pdf", "Melting_Curves/meltCurve_sp_Q9UBR1_BUP1_HUMAN_.pdf")</f>
        <v>Melting_Curves/meltCurve_sp_Q9UBR1_BUP1_HUMAN_.pdf</v>
      </c>
      <c r="AA2938" t="s">
        <v>14394</v>
      </c>
      <c r="AB2938" t="s">
        <v>18177</v>
      </c>
    </row>
    <row r="2939" spans="1:28" x14ac:dyDescent="0.25">
      <c r="A2939" t="s">
        <v>2943</v>
      </c>
      <c r="B2939">
        <v>0.98876768158843997</v>
      </c>
      <c r="C2939">
        <v>1.00893478377749</v>
      </c>
      <c r="D2939">
        <v>0.82619370450358398</v>
      </c>
      <c r="E2939">
        <v>0.75401951005450796</v>
      </c>
      <c r="F2939">
        <v>0.84995868418030596</v>
      </c>
      <c r="G2939">
        <v>0.578622297359069</v>
      </c>
      <c r="H2939">
        <v>0.40380312004455399</v>
      </c>
      <c r="I2939">
        <v>0.33279005576476101</v>
      </c>
      <c r="J2939">
        <v>0.148442676157793</v>
      </c>
      <c r="K2939">
        <v>8.2043910048670093E-2</v>
      </c>
      <c r="L2939">
        <v>620.52700521640702</v>
      </c>
      <c r="M2939">
        <v>10.6200356330734</v>
      </c>
      <c r="N2939">
        <v>58.429834242575097</v>
      </c>
      <c r="O2939">
        <v>56.4723026315881</v>
      </c>
      <c r="P2939">
        <v>-4.7032514004314102E-2</v>
      </c>
      <c r="Q2939">
        <v>0</v>
      </c>
      <c r="R2939">
        <v>0.95524592671502495</v>
      </c>
      <c r="S2939" t="s">
        <v>6771</v>
      </c>
      <c r="T2939" t="s">
        <v>7662</v>
      </c>
      <c r="U2939" t="s">
        <v>7662</v>
      </c>
      <c r="V2939" t="s">
        <v>7662</v>
      </c>
      <c r="W2939">
        <v>9</v>
      </c>
      <c r="X2939" t="s">
        <v>10601</v>
      </c>
      <c r="Y2939">
        <v>0.62292452364558315</v>
      </c>
      <c r="Z2939" t="str">
        <f>HYPERLINK("Melting_Curves/meltCurve_sp_Q9UBR2_CATZ_HUMAN_.pdf", "Melting_Curves/meltCurve_sp_Q9UBR2_CATZ_HUMAN_.pdf")</f>
        <v>Melting_Curves/meltCurve_sp_Q9UBR2_CATZ_HUMAN_.pdf</v>
      </c>
      <c r="AA2939" t="s">
        <v>14395</v>
      </c>
      <c r="AB2939" t="s">
        <v>18178</v>
      </c>
    </row>
    <row r="2940" spans="1:28" x14ac:dyDescent="0.25">
      <c r="A2940" t="s">
        <v>2944</v>
      </c>
      <c r="B2940">
        <v>0.98876768158843997</v>
      </c>
      <c r="C2940">
        <v>0.92603569069801295</v>
      </c>
      <c r="D2940">
        <v>0.96687342569345103</v>
      </c>
      <c r="E2940">
        <v>0.67239028454928396</v>
      </c>
      <c r="F2940">
        <v>0.45656102966141598</v>
      </c>
      <c r="G2940">
        <v>0.22895155547161</v>
      </c>
      <c r="H2940">
        <v>0.102538977981892</v>
      </c>
      <c r="I2940">
        <v>7.5183696419741194E-2</v>
      </c>
      <c r="J2940">
        <v>7.4006219346918006E-2</v>
      </c>
      <c r="K2940">
        <v>8.2986452476514094E-2</v>
      </c>
      <c r="L2940">
        <v>952.58382245349196</v>
      </c>
      <c r="M2940">
        <v>18.3174157958981</v>
      </c>
      <c r="N2940">
        <v>52.360224756436097</v>
      </c>
      <c r="O2940">
        <v>51.396326757932897</v>
      </c>
      <c r="P2940">
        <v>-8.3886663638821302E-2</v>
      </c>
      <c r="Q2940">
        <v>5.8542059674720301E-2</v>
      </c>
      <c r="R2940">
        <v>0.99537634789819096</v>
      </c>
      <c r="S2940" t="s">
        <v>6772</v>
      </c>
      <c r="T2940" t="s">
        <v>7662</v>
      </c>
      <c r="U2940" t="s">
        <v>7662</v>
      </c>
      <c r="V2940" t="s">
        <v>7662</v>
      </c>
      <c r="W2940">
        <v>1</v>
      </c>
      <c r="X2940" t="s">
        <v>10602</v>
      </c>
      <c r="Y2940">
        <v>0.45046283274228061</v>
      </c>
      <c r="Z2940" t="str">
        <f>HYPERLINK("Melting_Curves/meltCurve_sp_Q9UBS4_DJB11_HUMAN_.pdf", "Melting_Curves/meltCurve_sp_Q9UBS4_DJB11_HUMAN_.pdf")</f>
        <v>Melting_Curves/meltCurve_sp_Q9UBS4_DJB11_HUMAN_.pdf</v>
      </c>
      <c r="AA2940" t="s">
        <v>14396</v>
      </c>
      <c r="AB2940" t="s">
        <v>18179</v>
      </c>
    </row>
    <row r="2941" spans="1:28" x14ac:dyDescent="0.25">
      <c r="A2941" t="s">
        <v>2945</v>
      </c>
      <c r="B2941">
        <v>0.98876768158843997</v>
      </c>
      <c r="C2941">
        <v>0.98702956966965205</v>
      </c>
      <c r="D2941">
        <v>0.87764723821938095</v>
      </c>
      <c r="E2941">
        <v>0.71020441351325403</v>
      </c>
      <c r="F2941">
        <v>0.410759732803615</v>
      </c>
      <c r="G2941">
        <v>0.15915045931746499</v>
      </c>
      <c r="H2941">
        <v>7.09639890167406E-2</v>
      </c>
      <c r="I2941">
        <v>5.9754514441814101E-2</v>
      </c>
      <c r="J2941">
        <v>7.9106675533388293E-2</v>
      </c>
      <c r="K2941">
        <v>6.6165655215304306E-2</v>
      </c>
      <c r="L2941">
        <v>1050.4607084148099</v>
      </c>
      <c r="M2941">
        <v>20.310539833973301</v>
      </c>
      <c r="N2941">
        <v>51.981933584643102</v>
      </c>
      <c r="O2941">
        <v>51.226431320361797</v>
      </c>
      <c r="P2941">
        <v>-9.4302645251131606E-2</v>
      </c>
      <c r="Q2941">
        <v>4.86436938097735E-2</v>
      </c>
      <c r="R2941">
        <v>0.99683634150329004</v>
      </c>
      <c r="S2941" t="s">
        <v>6773</v>
      </c>
      <c r="T2941" t="s">
        <v>7662</v>
      </c>
      <c r="U2941" t="s">
        <v>7662</v>
      </c>
      <c r="V2941" t="s">
        <v>7662</v>
      </c>
      <c r="W2941">
        <v>8</v>
      </c>
      <c r="X2941" t="s">
        <v>10603</v>
      </c>
      <c r="Y2941">
        <v>0.43312130958766659</v>
      </c>
      <c r="Z2941" t="str">
        <f>HYPERLINK("Melting_Curves/meltCurve_sp_Q9UBS8_RNF14_HUMAN_.pdf", "Melting_Curves/meltCurve_sp_Q9UBS8_RNF14_HUMAN_.pdf")</f>
        <v>Melting_Curves/meltCurve_sp_Q9UBS8_RNF14_HUMAN_.pdf</v>
      </c>
      <c r="AA2941" t="s">
        <v>14397</v>
      </c>
      <c r="AB2941" t="s">
        <v>18180</v>
      </c>
    </row>
    <row r="2942" spans="1:28" x14ac:dyDescent="0.25">
      <c r="A2942" t="s">
        <v>2946</v>
      </c>
      <c r="B2942">
        <v>0.98876768158843997</v>
      </c>
      <c r="C2942">
        <v>0.94045639039832496</v>
      </c>
      <c r="D2942">
        <v>0.89392094889046203</v>
      </c>
      <c r="E2942">
        <v>0.77810144179357998</v>
      </c>
      <c r="F2942">
        <v>0.44605077163815499</v>
      </c>
      <c r="G2942">
        <v>0.22099726619979199</v>
      </c>
      <c r="H2942">
        <v>9.0370370583596094E-2</v>
      </c>
      <c r="I2942">
        <v>7.4896148148517402E-2</v>
      </c>
      <c r="J2942">
        <v>7.7576424212241799E-2</v>
      </c>
      <c r="K2942">
        <v>6.2510494295700103E-2</v>
      </c>
      <c r="L2942">
        <v>1026.97745538854</v>
      </c>
      <c r="M2942">
        <v>19.606779490173</v>
      </c>
      <c r="N2942">
        <v>52.671835961921197</v>
      </c>
      <c r="O2942">
        <v>51.8429510633894</v>
      </c>
      <c r="P2942">
        <v>-8.9664920290128097E-2</v>
      </c>
      <c r="Q2942">
        <v>5.16891527543763E-2</v>
      </c>
      <c r="R2942">
        <v>0.99455205836901495</v>
      </c>
      <c r="S2942" t="s">
        <v>6774</v>
      </c>
      <c r="T2942" t="s">
        <v>7662</v>
      </c>
      <c r="U2942" t="s">
        <v>7662</v>
      </c>
      <c r="V2942" t="s">
        <v>7662</v>
      </c>
      <c r="W2942">
        <v>13</v>
      </c>
      <c r="X2942" t="s">
        <v>10604</v>
      </c>
      <c r="Y2942">
        <v>0.45654740773443392</v>
      </c>
      <c r="Z2942" t="str">
        <f>HYPERLINK("Melting_Curves/meltCurve_sp_Q9UBT2_SAE2_HUMAN_.pdf", "Melting_Curves/meltCurve_sp_Q9UBT2_SAE2_HUMAN_.pdf")</f>
        <v>Melting_Curves/meltCurve_sp_Q9UBT2_SAE2_HUMAN_.pdf</v>
      </c>
      <c r="AA2942" t="s">
        <v>14398</v>
      </c>
      <c r="AB2942" t="s">
        <v>18181</v>
      </c>
    </row>
    <row r="2943" spans="1:28" x14ac:dyDescent="0.25">
      <c r="A2943" t="s">
        <v>2947</v>
      </c>
      <c r="B2943">
        <v>0.98876768158843997</v>
      </c>
      <c r="C2943">
        <v>1.0319402125607999</v>
      </c>
      <c r="D2943">
        <v>0.90990433852179098</v>
      </c>
      <c r="E2943">
        <v>0.699522151415227</v>
      </c>
      <c r="F2943">
        <v>0.73649572455400603</v>
      </c>
      <c r="G2943">
        <v>0.26346451328749998</v>
      </c>
      <c r="H2943">
        <v>9.5897865898946194E-2</v>
      </c>
      <c r="I2943">
        <v>7.6320480248528694E-2</v>
      </c>
      <c r="J2943">
        <v>8.2264978362750901E-2</v>
      </c>
      <c r="K2943">
        <v>8.7617064052752297E-2</v>
      </c>
      <c r="L2943">
        <v>938.03037144455402</v>
      </c>
      <c r="M2943">
        <v>17.352585703254899</v>
      </c>
      <c r="N2943">
        <v>54.246816344118898</v>
      </c>
      <c r="O2943">
        <v>53.354499573359</v>
      </c>
      <c r="P2943">
        <v>-7.8918641917082699E-2</v>
      </c>
      <c r="Q2943">
        <v>2.9441548876173999E-2</v>
      </c>
      <c r="R2943">
        <v>0.97229369836440305</v>
      </c>
      <c r="S2943" t="s">
        <v>6775</v>
      </c>
      <c r="T2943" t="s">
        <v>7662</v>
      </c>
      <c r="U2943" t="s">
        <v>7662</v>
      </c>
      <c r="V2943" t="s">
        <v>7662</v>
      </c>
      <c r="W2943">
        <v>2</v>
      </c>
      <c r="X2943" t="s">
        <v>10605</v>
      </c>
      <c r="Y2943">
        <v>0.50056782566222713</v>
      </c>
      <c r="Z2943" t="str">
        <f>HYPERLINK("Melting_Curves/meltCurve_sp_Q9UBV8_PEF1_HUMAN_.pdf", "Melting_Curves/meltCurve_sp_Q9UBV8_PEF1_HUMAN_.pdf")</f>
        <v>Melting_Curves/meltCurve_sp_Q9UBV8_PEF1_HUMAN_.pdf</v>
      </c>
      <c r="AA2943" t="s">
        <v>14399</v>
      </c>
      <c r="AB2943" t="s">
        <v>18182</v>
      </c>
    </row>
    <row r="2944" spans="1:28" x14ac:dyDescent="0.25">
      <c r="A2944" t="s">
        <v>2948</v>
      </c>
      <c r="B2944">
        <v>0.98876768158843997</v>
      </c>
      <c r="C2944">
        <v>0.88857967962148698</v>
      </c>
      <c r="D2944">
        <v>1.1302366884292301</v>
      </c>
      <c r="E2944">
        <v>0.94653902241505194</v>
      </c>
      <c r="F2944">
        <v>0.55484146192913197</v>
      </c>
      <c r="G2944">
        <v>0.22574403825599901</v>
      </c>
      <c r="H2944">
        <v>9.8227991764370998E-2</v>
      </c>
      <c r="I2944">
        <v>8.5543699356078903E-2</v>
      </c>
      <c r="J2944">
        <v>0.100936633124212</v>
      </c>
      <c r="K2944">
        <v>7.2102650785358394E-2</v>
      </c>
      <c r="L2944">
        <v>1827.40206867857</v>
      </c>
      <c r="M2944">
        <v>34.311618109710501</v>
      </c>
      <c r="N2944">
        <v>53.581751233705603</v>
      </c>
      <c r="O2944">
        <v>53.079054973639501</v>
      </c>
      <c r="P2944">
        <v>-0.14651888158368001</v>
      </c>
      <c r="Q2944">
        <v>9.3362074313362006E-2</v>
      </c>
      <c r="R2944">
        <v>0.97967753849189598</v>
      </c>
      <c r="S2944" t="s">
        <v>6776</v>
      </c>
      <c r="T2944" t="s">
        <v>7662</v>
      </c>
      <c r="U2944" t="s">
        <v>7662</v>
      </c>
      <c r="V2944" t="s">
        <v>7662</v>
      </c>
      <c r="W2944">
        <v>6</v>
      </c>
      <c r="X2944" t="s">
        <v>10606</v>
      </c>
      <c r="Y2944">
        <v>0.49859378286440459</v>
      </c>
      <c r="Z2944" t="str">
        <f>HYPERLINK("Melting_Curves/meltCurve_sp_Q9UBW8_CSN7A_HUMAN_.pdf", "Melting_Curves/meltCurve_sp_Q9UBW8_CSN7A_HUMAN_.pdf")</f>
        <v>Melting_Curves/meltCurve_sp_Q9UBW8_CSN7A_HUMAN_.pdf</v>
      </c>
      <c r="AA2944" t="s">
        <v>14400</v>
      </c>
      <c r="AB2944" t="s">
        <v>18183</v>
      </c>
    </row>
    <row r="2945" spans="1:28" x14ac:dyDescent="0.25">
      <c r="A2945" t="s">
        <v>2949</v>
      </c>
      <c r="B2945">
        <v>0.98876768158843997</v>
      </c>
      <c r="C2945">
        <v>0.84214984842139695</v>
      </c>
      <c r="D2945">
        <v>1.03323316798723</v>
      </c>
      <c r="E2945">
        <v>0.39346553843500698</v>
      </c>
      <c r="F2945">
        <v>0.1266410243918</v>
      </c>
      <c r="G2945">
        <v>6.7656593748227897E-2</v>
      </c>
      <c r="H2945">
        <v>3.9747965353881101E-2</v>
      </c>
      <c r="I2945">
        <v>3.4778023045390197E-2</v>
      </c>
      <c r="J2945">
        <v>3.8864503709949497E-2</v>
      </c>
      <c r="K2945">
        <v>3.4299086760253103E-2</v>
      </c>
      <c r="L2945">
        <v>2510.9028420981199</v>
      </c>
      <c r="M2945">
        <v>50.739465771229497</v>
      </c>
      <c r="N2945">
        <v>49.589829853593599</v>
      </c>
      <c r="O2945">
        <v>49.409501716687302</v>
      </c>
      <c r="P2945">
        <v>-0.243814289743503</v>
      </c>
      <c r="Q2945">
        <v>5.0306683523821498E-2</v>
      </c>
      <c r="R2945">
        <v>0.98118957321354106</v>
      </c>
      <c r="S2945" t="s">
        <v>6777</v>
      </c>
      <c r="T2945" t="s">
        <v>7662</v>
      </c>
      <c r="U2945" t="s">
        <v>7662</v>
      </c>
      <c r="V2945" t="s">
        <v>7662</v>
      </c>
      <c r="W2945">
        <v>42</v>
      </c>
      <c r="X2945" t="s">
        <v>10607</v>
      </c>
      <c r="Y2945">
        <v>0.35261855078514698</v>
      </c>
      <c r="Z2945" t="str">
        <f>HYPERLINK("Melting_Curves/meltCurve_sp_Q9UDR5_AASS_HUMAN_.pdf", "Melting_Curves/meltCurve_sp_Q9UDR5_AASS_HUMAN_.pdf")</f>
        <v>Melting_Curves/meltCurve_sp_Q9UDR5_AASS_HUMAN_.pdf</v>
      </c>
      <c r="AA2945" t="s">
        <v>14401</v>
      </c>
      <c r="AB2945" t="s">
        <v>18184</v>
      </c>
    </row>
    <row r="2946" spans="1:28" x14ac:dyDescent="0.25">
      <c r="A2946" t="s">
        <v>2950</v>
      </c>
      <c r="B2946">
        <v>0.98876768158843997</v>
      </c>
      <c r="C2946">
        <v>1.0353663773705399</v>
      </c>
      <c r="D2946">
        <v>0.856760311510115</v>
      </c>
      <c r="E2946">
        <v>0.78799866731125601</v>
      </c>
      <c r="F2946">
        <v>0.61919038113107305</v>
      </c>
      <c r="G2946">
        <v>0.15840820312096701</v>
      </c>
      <c r="H2946">
        <v>7.8641650112646205E-2</v>
      </c>
      <c r="I2946">
        <v>6.9900178453282502E-2</v>
      </c>
      <c r="J2946">
        <v>8.1323776760426195E-2</v>
      </c>
      <c r="K2946">
        <v>6.0622802215966498E-2</v>
      </c>
      <c r="L2946">
        <v>1184.31364253019</v>
      </c>
      <c r="M2946">
        <v>22.2408119565387</v>
      </c>
      <c r="N2946">
        <v>53.467918976293902</v>
      </c>
      <c r="O2946">
        <v>52.824682706917997</v>
      </c>
      <c r="P2946">
        <v>-0.100690396565023</v>
      </c>
      <c r="Q2946">
        <v>4.3411809569924097E-2</v>
      </c>
      <c r="R2946">
        <v>0.98326242877126002</v>
      </c>
      <c r="S2946" t="s">
        <v>6778</v>
      </c>
      <c r="T2946" t="s">
        <v>7662</v>
      </c>
      <c r="U2946" t="s">
        <v>7662</v>
      </c>
      <c r="V2946" t="s">
        <v>7662</v>
      </c>
      <c r="W2946">
        <v>5</v>
      </c>
      <c r="X2946" t="s">
        <v>10608</v>
      </c>
      <c r="Y2946">
        <v>0.47681070774859402</v>
      </c>
      <c r="Z2946" t="str">
        <f>HYPERLINK("Melting_Curves/meltCurve_sp_Q9UDX3_2_S14L4_HUMAN_.pdf", "Melting_Curves/meltCurve_sp_Q9UDX3_2_S14L4_HUMAN_.pdf")</f>
        <v>Melting_Curves/meltCurve_sp_Q9UDX3_2_S14L4_HUMAN_.pdf</v>
      </c>
      <c r="AA2946" t="s">
        <v>14402</v>
      </c>
      <c r="AB2946" t="s">
        <v>18185</v>
      </c>
    </row>
    <row r="2947" spans="1:28" x14ac:dyDescent="0.25">
      <c r="A2947" t="s">
        <v>2951</v>
      </c>
      <c r="B2947">
        <v>0.98876768158843997</v>
      </c>
      <c r="C2947">
        <v>1.0269521717490699</v>
      </c>
      <c r="D2947">
        <v>0.87166496010350103</v>
      </c>
      <c r="E2947">
        <v>0.549880636571909</v>
      </c>
      <c r="F2947">
        <v>0.30695083930573602</v>
      </c>
      <c r="G2947">
        <v>0.17361229789409099</v>
      </c>
      <c r="H2947">
        <v>0.119533992195791</v>
      </c>
      <c r="I2947">
        <v>0.14079026433585201</v>
      </c>
      <c r="J2947">
        <v>0.17536010984445699</v>
      </c>
      <c r="K2947">
        <v>0.18298454733227901</v>
      </c>
      <c r="L2947">
        <v>1214.8077389356299</v>
      </c>
      <c r="M2947">
        <v>24.447328327302099</v>
      </c>
      <c r="N2947">
        <v>50.425369320971299</v>
      </c>
      <c r="O2947">
        <v>49.3619190878346</v>
      </c>
      <c r="P2947">
        <v>-0.105269524375616</v>
      </c>
      <c r="Q2947">
        <v>0.14980824277435401</v>
      </c>
      <c r="R2947">
        <v>0.99511782899326295</v>
      </c>
      <c r="S2947" t="s">
        <v>6779</v>
      </c>
      <c r="T2947" t="s">
        <v>7662</v>
      </c>
      <c r="U2947" t="s">
        <v>7662</v>
      </c>
      <c r="V2947" t="s">
        <v>7662</v>
      </c>
      <c r="W2947">
        <v>24</v>
      </c>
      <c r="X2947" t="s">
        <v>10609</v>
      </c>
      <c r="Y2947">
        <v>0.43236990191666108</v>
      </c>
      <c r="Z2947" t="str">
        <f>HYPERLINK("Melting_Curves/meltCurve_sp_Q9UDY2_3_ZO2_HUMAN_.pdf", "Melting_Curves/meltCurve_sp_Q9UDY2_3_ZO2_HUMAN_.pdf")</f>
        <v>Melting_Curves/meltCurve_sp_Q9UDY2_3_ZO2_HUMAN_.pdf</v>
      </c>
      <c r="AA2947" t="s">
        <v>14403</v>
      </c>
      <c r="AB2947" t="s">
        <v>18186</v>
      </c>
    </row>
    <row r="2948" spans="1:28" x14ac:dyDescent="0.25">
      <c r="A2948" t="s">
        <v>2952</v>
      </c>
      <c r="B2948">
        <v>0.98876768158843997</v>
      </c>
      <c r="C2948">
        <v>0.94591254679557102</v>
      </c>
      <c r="D2948">
        <v>0.793763087369313</v>
      </c>
      <c r="E2948">
        <v>0.66484051953907997</v>
      </c>
      <c r="F2948">
        <v>0.53718101882651803</v>
      </c>
      <c r="G2948">
        <v>0.40562323251898502</v>
      </c>
      <c r="H2948">
        <v>0.33030973356849302</v>
      </c>
      <c r="I2948">
        <v>0.37921909754405297</v>
      </c>
      <c r="J2948">
        <v>0.40142389727495598</v>
      </c>
      <c r="K2948">
        <v>0.57751572372710003</v>
      </c>
      <c r="L2948">
        <v>844.85480799196</v>
      </c>
      <c r="M2948">
        <v>17.4702405548347</v>
      </c>
      <c r="N2948">
        <v>53.719872105685297</v>
      </c>
      <c r="O2948">
        <v>47.7393861169014</v>
      </c>
      <c r="P2948">
        <v>-5.3750129717715901E-2</v>
      </c>
      <c r="Q2948">
        <v>0.412519847782437</v>
      </c>
      <c r="R2948">
        <v>0.91605659113974602</v>
      </c>
      <c r="S2948" t="s">
        <v>6780</v>
      </c>
      <c r="T2948" t="s">
        <v>7662</v>
      </c>
      <c r="U2948" t="s">
        <v>7662</v>
      </c>
      <c r="V2948" t="s">
        <v>7662</v>
      </c>
      <c r="W2948">
        <v>2</v>
      </c>
      <c r="X2948" t="s">
        <v>10610</v>
      </c>
      <c r="Y2948">
        <v>0.58719495986565839</v>
      </c>
      <c r="Z2948" t="str">
        <f>HYPERLINK("Melting_Curves/meltCurve_sp_Q9UDY4_DNJB4_HUMAN_.pdf", "Melting_Curves/meltCurve_sp_Q9UDY4_DNJB4_HUMAN_.pdf")</f>
        <v>Melting_Curves/meltCurve_sp_Q9UDY4_DNJB4_HUMAN_.pdf</v>
      </c>
      <c r="AA2948" t="s">
        <v>14404</v>
      </c>
      <c r="AB2948" t="s">
        <v>18187</v>
      </c>
    </row>
    <row r="2949" spans="1:28" x14ac:dyDescent="0.25">
      <c r="A2949" t="s">
        <v>2953</v>
      </c>
      <c r="B2949">
        <v>0.98876768158843997</v>
      </c>
      <c r="C2949">
        <v>1.01817464347097</v>
      </c>
      <c r="D2949">
        <v>0.89659127677294403</v>
      </c>
      <c r="E2949">
        <v>0.74143963966526405</v>
      </c>
      <c r="F2949">
        <v>0.571626524088787</v>
      </c>
      <c r="G2949">
        <v>0.42169080569519002</v>
      </c>
      <c r="H2949">
        <v>0.30516483795135801</v>
      </c>
      <c r="I2949">
        <v>0.31802738324233298</v>
      </c>
      <c r="J2949">
        <v>0.28246365405254398</v>
      </c>
      <c r="K2949">
        <v>0.26800712596218101</v>
      </c>
      <c r="L2949">
        <v>819.33446296478598</v>
      </c>
      <c r="M2949">
        <v>15.7698933598643</v>
      </c>
      <c r="N2949">
        <v>54.5251411368194</v>
      </c>
      <c r="O2949">
        <v>51.141674693112698</v>
      </c>
      <c r="P2949">
        <v>-5.6881297565464603E-2</v>
      </c>
      <c r="Q2949">
        <v>0.26219836159794901</v>
      </c>
      <c r="R2949">
        <v>0.99598770340258902</v>
      </c>
      <c r="S2949" t="s">
        <v>6781</v>
      </c>
      <c r="T2949" t="s">
        <v>7662</v>
      </c>
      <c r="U2949" t="s">
        <v>7662</v>
      </c>
      <c r="V2949" t="s">
        <v>7662</v>
      </c>
      <c r="W2949">
        <v>5</v>
      </c>
      <c r="X2949" t="s">
        <v>10611</v>
      </c>
      <c r="Y2949">
        <v>0.57150696877680862</v>
      </c>
      <c r="Z2949" t="str">
        <f>HYPERLINK("Melting_Curves/meltCurve_sp_Q9UEY8_2_ADDG_HUMAN_.pdf", "Melting_Curves/meltCurve_sp_Q9UEY8_2_ADDG_HUMAN_.pdf")</f>
        <v>Melting_Curves/meltCurve_sp_Q9UEY8_2_ADDG_HUMAN_.pdf</v>
      </c>
      <c r="AA2949" t="s">
        <v>14405</v>
      </c>
      <c r="AB2949" t="s">
        <v>18188</v>
      </c>
    </row>
    <row r="2950" spans="1:28" x14ac:dyDescent="0.25">
      <c r="A2950" t="s">
        <v>2954</v>
      </c>
      <c r="B2950">
        <v>0.98876768158843997</v>
      </c>
      <c r="C2950">
        <v>0.95772626108153303</v>
      </c>
      <c r="D2950">
        <v>0.79881303012129701</v>
      </c>
      <c r="E2950">
        <v>0.57122821279299696</v>
      </c>
      <c r="F2950">
        <v>0.56922264825378899</v>
      </c>
      <c r="G2950">
        <v>0.37375515557639399</v>
      </c>
      <c r="H2950">
        <v>0.31962602546954499</v>
      </c>
      <c r="I2950">
        <v>0.39909588444836203</v>
      </c>
      <c r="J2950">
        <v>0.72404757481550197</v>
      </c>
      <c r="K2950">
        <v>0.52808987134605001</v>
      </c>
      <c r="L2950">
        <v>1153.7192525140299</v>
      </c>
      <c r="M2950">
        <v>24.5695471794455</v>
      </c>
      <c r="N2950">
        <v>53.811123676314999</v>
      </c>
      <c r="O2950">
        <v>46.6495444952333</v>
      </c>
      <c r="P2950">
        <v>-6.8716419012118293E-2</v>
      </c>
      <c r="Q2950">
        <v>0.47812754746893799</v>
      </c>
      <c r="R2950">
        <v>0.78048400445478605</v>
      </c>
      <c r="S2950" t="s">
        <v>6782</v>
      </c>
      <c r="T2950" t="s">
        <v>7662</v>
      </c>
      <c r="U2950" t="s">
        <v>7662</v>
      </c>
      <c r="V2950" t="s">
        <v>7662</v>
      </c>
      <c r="W2950">
        <v>2</v>
      </c>
      <c r="X2950" t="s">
        <v>10612</v>
      </c>
      <c r="Y2950">
        <v>0.60400084648131502</v>
      </c>
      <c r="Z2950" t="str">
        <f>HYPERLINK("Melting_Curves/meltCurve_sp_Q9UFG5_CS025_HUMAN_.pdf", "Melting_Curves/meltCurve_sp_Q9UFG5_CS025_HUMAN_.pdf")</f>
        <v>Melting_Curves/meltCurve_sp_Q9UFG5_CS025_HUMAN_.pdf</v>
      </c>
      <c r="AA2950" t="s">
        <v>14406</v>
      </c>
      <c r="AB2950" t="s">
        <v>18189</v>
      </c>
    </row>
    <row r="2951" spans="1:28" x14ac:dyDescent="0.25">
      <c r="A2951" t="s">
        <v>2955</v>
      </c>
      <c r="B2951">
        <v>0.98876768158843997</v>
      </c>
      <c r="C2951">
        <v>0.62625441589528097</v>
      </c>
      <c r="D2951">
        <v>1.00048022901543</v>
      </c>
      <c r="E2951">
        <v>0.61072087658306395</v>
      </c>
      <c r="F2951">
        <v>0.35328347128776799</v>
      </c>
      <c r="G2951">
        <v>0.193785834162227</v>
      </c>
      <c r="H2951">
        <v>0.14141788696298199</v>
      </c>
      <c r="I2951">
        <v>0.14241825316343601</v>
      </c>
      <c r="J2951">
        <v>0.14933042441585201</v>
      </c>
      <c r="K2951">
        <v>0.21886154189686399</v>
      </c>
      <c r="L2951">
        <v>1005.97693473802</v>
      </c>
      <c r="M2951">
        <v>20.0048811364099</v>
      </c>
      <c r="N2951">
        <v>51.166220106549197</v>
      </c>
      <c r="O2951">
        <v>49.792168802015702</v>
      </c>
      <c r="P2951">
        <v>-8.5829883005071994E-2</v>
      </c>
      <c r="Q2951">
        <v>0.14550513118223601</v>
      </c>
      <c r="R2951">
        <v>0.86668336566021997</v>
      </c>
      <c r="S2951" t="s">
        <v>6783</v>
      </c>
      <c r="T2951" t="s">
        <v>7662</v>
      </c>
      <c r="U2951" t="s">
        <v>7662</v>
      </c>
      <c r="V2951" t="s">
        <v>7662</v>
      </c>
      <c r="W2951">
        <v>8</v>
      </c>
      <c r="X2951" t="s">
        <v>10613</v>
      </c>
      <c r="Y2951">
        <v>0.45037768631209169</v>
      </c>
      <c r="Z2951" t="str">
        <f>HYPERLINK("Melting_Curves/meltCurve_sp_Q9UFN0_NPS3A_HUMAN_.pdf", "Melting_Curves/meltCurve_sp_Q9UFN0_NPS3A_HUMAN_.pdf")</f>
        <v>Melting_Curves/meltCurve_sp_Q9UFN0_NPS3A_HUMAN_.pdf</v>
      </c>
      <c r="AA2951" t="s">
        <v>14407</v>
      </c>
      <c r="AB2951" t="s">
        <v>18190</v>
      </c>
    </row>
    <row r="2952" spans="1:28" x14ac:dyDescent="0.25">
      <c r="A2952" t="s">
        <v>2956</v>
      </c>
      <c r="B2952">
        <v>0.98876768158843997</v>
      </c>
      <c r="C2952">
        <v>0.937782756804724</v>
      </c>
      <c r="D2952">
        <v>0.89001181745224001</v>
      </c>
      <c r="E2952">
        <v>0.74638630478149603</v>
      </c>
      <c r="F2952">
        <v>0.603235080831654</v>
      </c>
      <c r="G2952">
        <v>0.377023883779528</v>
      </c>
      <c r="H2952">
        <v>0.30371329051871399</v>
      </c>
      <c r="I2952">
        <v>0.31408397888004602</v>
      </c>
      <c r="J2952">
        <v>0.38286356442420999</v>
      </c>
      <c r="K2952">
        <v>0.42407745580179201</v>
      </c>
      <c r="L2952">
        <v>958.684442470161</v>
      </c>
      <c r="M2952">
        <v>18.779680187282001</v>
      </c>
      <c r="N2952">
        <v>54.352283875851803</v>
      </c>
      <c r="O2952">
        <v>50.480751106533297</v>
      </c>
      <c r="P2952">
        <v>-6.1357090762121598E-2</v>
      </c>
      <c r="Q2952">
        <v>0.34030341203828801</v>
      </c>
      <c r="R2952">
        <v>0.96881407601918701</v>
      </c>
      <c r="S2952" t="s">
        <v>6784</v>
      </c>
      <c r="T2952" t="s">
        <v>7662</v>
      </c>
      <c r="U2952" t="s">
        <v>7662</v>
      </c>
      <c r="V2952" t="s">
        <v>7662</v>
      </c>
      <c r="W2952">
        <v>3</v>
      </c>
      <c r="X2952" t="s">
        <v>10614</v>
      </c>
      <c r="Y2952">
        <v>0.59355698999168793</v>
      </c>
      <c r="Z2952" t="str">
        <f>HYPERLINK("Melting_Curves/meltCurve_sp_Q9UFW8_CGBP1_HUMAN_.pdf", "Melting_Curves/meltCurve_sp_Q9UFW8_CGBP1_HUMAN_.pdf")</f>
        <v>Melting_Curves/meltCurve_sp_Q9UFW8_CGBP1_HUMAN_.pdf</v>
      </c>
      <c r="AA2952" t="s">
        <v>14408</v>
      </c>
      <c r="AB2952" t="s">
        <v>18191</v>
      </c>
    </row>
    <row r="2953" spans="1:28" x14ac:dyDescent="0.25">
      <c r="A2953" t="s">
        <v>2957</v>
      </c>
      <c r="B2953">
        <v>0.98876768158843997</v>
      </c>
      <c r="C2953">
        <v>1.0665583223259401</v>
      </c>
      <c r="D2953">
        <v>0.83199584070058996</v>
      </c>
      <c r="E2953">
        <v>0.72326403979724896</v>
      </c>
      <c r="F2953">
        <v>0.64362264626361099</v>
      </c>
      <c r="G2953">
        <v>0.281566504698326</v>
      </c>
      <c r="H2953">
        <v>6.4828901646077505E-2</v>
      </c>
      <c r="I2953">
        <v>4.6205438337465599E-2</v>
      </c>
      <c r="J2953">
        <v>4.6002002581815103E-2</v>
      </c>
      <c r="K2953">
        <v>5.3726953305112797E-2</v>
      </c>
      <c r="L2953">
        <v>859.57008610063599</v>
      </c>
      <c r="M2953">
        <v>15.995229638068199</v>
      </c>
      <c r="N2953">
        <v>53.739153563361398</v>
      </c>
      <c r="O2953">
        <v>52.920233208808497</v>
      </c>
      <c r="P2953">
        <v>-7.5568854629429402E-2</v>
      </c>
      <c r="Q2953">
        <v>0</v>
      </c>
      <c r="R2953">
        <v>0.97880836253109604</v>
      </c>
      <c r="S2953" t="s">
        <v>6785</v>
      </c>
      <c r="T2953" t="s">
        <v>7662</v>
      </c>
      <c r="U2953" t="s">
        <v>7662</v>
      </c>
      <c r="V2953" t="s">
        <v>7662</v>
      </c>
      <c r="W2953">
        <v>1</v>
      </c>
      <c r="X2953" t="s">
        <v>10615</v>
      </c>
      <c r="Y2953">
        <v>0.47707402523395243</v>
      </c>
      <c r="Z2953" t="str">
        <f>HYPERLINK("Melting_Curves/meltCurve_sp_Q9UGC7_RF1ML_HUMAN_.pdf", "Melting_Curves/meltCurve_sp_Q9UGC7_RF1ML_HUMAN_.pdf")</f>
        <v>Melting_Curves/meltCurve_sp_Q9UGC7_RF1ML_HUMAN_.pdf</v>
      </c>
      <c r="AA2953" t="s">
        <v>14409</v>
      </c>
      <c r="AB2953" t="s">
        <v>18192</v>
      </c>
    </row>
    <row r="2954" spans="1:28" x14ac:dyDescent="0.25">
      <c r="A2954" t="s">
        <v>2958</v>
      </c>
      <c r="B2954">
        <v>0.98876768158843997</v>
      </c>
      <c r="C2954">
        <v>0.97640082577401399</v>
      </c>
      <c r="D2954">
        <v>0.88163278584354599</v>
      </c>
      <c r="E2954">
        <v>0.71978040037995705</v>
      </c>
      <c r="F2954">
        <v>0.79937434031294996</v>
      </c>
      <c r="G2954">
        <v>0.46017079294850199</v>
      </c>
      <c r="H2954">
        <v>0.120785660929839</v>
      </c>
      <c r="I2954">
        <v>8.7831688693028806E-2</v>
      </c>
      <c r="J2954">
        <v>9.41394486314336E-2</v>
      </c>
      <c r="K2954">
        <v>8.8040229853010799E-2</v>
      </c>
      <c r="L2954">
        <v>817.69208360602897</v>
      </c>
      <c r="M2954">
        <v>14.686380596396001</v>
      </c>
      <c r="N2954">
        <v>55.676902761181204</v>
      </c>
      <c r="O2954">
        <v>54.675178863149199</v>
      </c>
      <c r="P2954">
        <v>-6.7160239138505898E-2</v>
      </c>
      <c r="Q2954">
        <v>0</v>
      </c>
      <c r="R2954">
        <v>0.96387611473037504</v>
      </c>
      <c r="S2954" t="s">
        <v>6786</v>
      </c>
      <c r="T2954" t="s">
        <v>7662</v>
      </c>
      <c r="U2954" t="s">
        <v>7662</v>
      </c>
      <c r="V2954" t="s">
        <v>7662</v>
      </c>
      <c r="W2954">
        <v>12</v>
      </c>
      <c r="X2954" t="s">
        <v>10616</v>
      </c>
      <c r="Y2954">
        <v>0.5411932640484397</v>
      </c>
      <c r="Z2954" t="str">
        <f>HYPERLINK("Melting_Curves/meltCurve_sp_Q9UGI8_TES_HUMAN_.pdf", "Melting_Curves/meltCurve_sp_Q9UGI8_TES_HUMAN_.pdf")</f>
        <v>Melting_Curves/meltCurve_sp_Q9UGI8_TES_HUMAN_.pdf</v>
      </c>
      <c r="AA2954" t="s">
        <v>14410</v>
      </c>
      <c r="AB2954" t="s">
        <v>18193</v>
      </c>
    </row>
    <row r="2955" spans="1:28" x14ac:dyDescent="0.25">
      <c r="A2955" t="s">
        <v>2959</v>
      </c>
      <c r="B2955">
        <v>0.98876768158843997</v>
      </c>
      <c r="C2955">
        <v>1.1445338925944299</v>
      </c>
      <c r="D2955">
        <v>0.90977167071842102</v>
      </c>
      <c r="E2955">
        <v>0.73691142038385704</v>
      </c>
      <c r="F2955">
        <v>0.84177448123879295</v>
      </c>
      <c r="G2955">
        <v>0.61080257084921596</v>
      </c>
      <c r="H2955">
        <v>0.46754759197069101</v>
      </c>
      <c r="I2955">
        <v>0.53621303059416303</v>
      </c>
      <c r="J2955">
        <v>0.77131053795919402</v>
      </c>
      <c r="K2955">
        <v>0.74397836733109401</v>
      </c>
      <c r="L2955">
        <v>1078.37101708213</v>
      </c>
      <c r="M2955">
        <v>21.7290804710914</v>
      </c>
      <c r="O2955">
        <v>49.2134361758796</v>
      </c>
      <c r="P2955">
        <v>-4.0297011163926998E-2</v>
      </c>
      <c r="Q2955">
        <v>0.63493956669555696</v>
      </c>
      <c r="R2955">
        <v>0.68813224998407396</v>
      </c>
      <c r="S2955" t="s">
        <v>6787</v>
      </c>
      <c r="T2955" t="s">
        <v>7662</v>
      </c>
      <c r="U2955" t="s">
        <v>7662</v>
      </c>
      <c r="V2955" t="s">
        <v>7662</v>
      </c>
      <c r="W2955">
        <v>11</v>
      </c>
      <c r="X2955" t="s">
        <v>10617</v>
      </c>
      <c r="Y2955">
        <v>0.75641464681303383</v>
      </c>
      <c r="Z2955" t="str">
        <f>HYPERLINK("Melting_Curves/meltCurve_sp_Q9UGP4_LIMD1_HUMAN_.pdf", "Melting_Curves/meltCurve_sp_Q9UGP4_LIMD1_HUMAN_.pdf")</f>
        <v>Melting_Curves/meltCurve_sp_Q9UGP4_LIMD1_HUMAN_.pdf</v>
      </c>
      <c r="AA2955" t="s">
        <v>14411</v>
      </c>
      <c r="AB2955" t="s">
        <v>18194</v>
      </c>
    </row>
    <row r="2956" spans="1:28" x14ac:dyDescent="0.25">
      <c r="A2956" t="s">
        <v>2960</v>
      </c>
      <c r="B2956">
        <v>0.98876768158843997</v>
      </c>
      <c r="C2956">
        <v>0.957443254199285</v>
      </c>
      <c r="D2956">
        <v>1.03584858640806</v>
      </c>
      <c r="E2956">
        <v>0.64276227512302198</v>
      </c>
      <c r="F2956">
        <v>0.20911852637994799</v>
      </c>
      <c r="G2956">
        <v>4.6429767422996301E-2</v>
      </c>
      <c r="H2956">
        <v>6.37771515119612E-2</v>
      </c>
      <c r="I2956">
        <v>4.8104171508775703E-2</v>
      </c>
      <c r="J2956">
        <v>0.11748813229253</v>
      </c>
      <c r="K2956">
        <v>4.9327556822340399E-2</v>
      </c>
      <c r="L2956">
        <v>2077.1952188414798</v>
      </c>
      <c r="M2956">
        <v>41.019765611799301</v>
      </c>
      <c r="N2956">
        <v>50.811183188135097</v>
      </c>
      <c r="O2956">
        <v>50.518986181547</v>
      </c>
      <c r="P2956">
        <v>-0.18981245160337401</v>
      </c>
      <c r="Q2956">
        <v>6.4927530559070107E-2</v>
      </c>
      <c r="R2956">
        <v>0.99486486673311503</v>
      </c>
      <c r="S2956" t="s">
        <v>6788</v>
      </c>
      <c r="T2956" t="s">
        <v>7662</v>
      </c>
      <c r="U2956" t="s">
        <v>7662</v>
      </c>
      <c r="V2956" t="s">
        <v>7662</v>
      </c>
      <c r="W2956">
        <v>2</v>
      </c>
      <c r="X2956" t="s">
        <v>10618</v>
      </c>
      <c r="Y2956">
        <v>0.39964318018205092</v>
      </c>
      <c r="Z2956" t="str">
        <f>HYPERLINK("Melting_Curves/meltCurve_sp_Q9UH62_ARMX3_HUMAN_.pdf", "Melting_Curves/meltCurve_sp_Q9UH62_ARMX3_HUMAN_.pdf")</f>
        <v>Melting_Curves/meltCurve_sp_Q9UH62_ARMX3_HUMAN_.pdf</v>
      </c>
      <c r="AA2956" t="s">
        <v>14412</v>
      </c>
      <c r="AB2956" t="s">
        <v>18195</v>
      </c>
    </row>
    <row r="2957" spans="1:28" x14ac:dyDescent="0.25">
      <c r="A2957" t="s">
        <v>2961</v>
      </c>
      <c r="B2957">
        <v>0.98876768158843997</v>
      </c>
      <c r="C2957">
        <v>1.1373612266670701</v>
      </c>
      <c r="D2957">
        <v>0.85579568064463996</v>
      </c>
      <c r="E2957">
        <v>0.70551819412207095</v>
      </c>
      <c r="F2957">
        <v>0.53017074625114802</v>
      </c>
      <c r="G2957">
        <v>0.20079898603869001</v>
      </c>
      <c r="H2957">
        <v>0.11508842816374899</v>
      </c>
      <c r="I2957">
        <v>0.10096868701067301</v>
      </c>
      <c r="J2957">
        <v>0.12823292710725701</v>
      </c>
      <c r="K2957">
        <v>0.115041342259878</v>
      </c>
      <c r="L2957">
        <v>1002.5172305487999</v>
      </c>
      <c r="M2957">
        <v>19.2166371843322</v>
      </c>
      <c r="N2957">
        <v>52.703071045942501</v>
      </c>
      <c r="O2957">
        <v>51.614134880239</v>
      </c>
      <c r="P2957">
        <v>-8.4849983104266294E-2</v>
      </c>
      <c r="Q2957">
        <v>8.8437481553091904E-2</v>
      </c>
      <c r="R2957">
        <v>0.97592773609372396</v>
      </c>
      <c r="S2957" t="s">
        <v>6789</v>
      </c>
      <c r="T2957" t="s">
        <v>7662</v>
      </c>
      <c r="U2957" t="s">
        <v>7662</v>
      </c>
      <c r="V2957" t="s">
        <v>7662</v>
      </c>
      <c r="W2957">
        <v>3</v>
      </c>
      <c r="X2957" t="s">
        <v>10619</v>
      </c>
      <c r="Y2957">
        <v>0.47172963654624922</v>
      </c>
      <c r="Z2957" t="str">
        <f>HYPERLINK("Melting_Curves/meltCurve_sp_Q9UH65_SWP70_HUMAN_.pdf", "Melting_Curves/meltCurve_sp_Q9UH65_SWP70_HUMAN_.pdf")</f>
        <v>Melting_Curves/meltCurve_sp_Q9UH65_SWP70_HUMAN_.pdf</v>
      </c>
      <c r="AA2957" t="s">
        <v>14413</v>
      </c>
      <c r="AB2957" t="s">
        <v>18196</v>
      </c>
    </row>
    <row r="2958" spans="1:28" x14ac:dyDescent="0.25">
      <c r="A2958" t="s">
        <v>2962</v>
      </c>
      <c r="B2958">
        <v>0.98876768158843997</v>
      </c>
      <c r="C2958">
        <v>0.99768535477850195</v>
      </c>
      <c r="D2958">
        <v>1.0041616886992699</v>
      </c>
      <c r="E2958">
        <v>0.69147529664882601</v>
      </c>
      <c r="F2958">
        <v>0.45746014500680399</v>
      </c>
      <c r="G2958">
        <v>0.23856525249595201</v>
      </c>
      <c r="H2958">
        <v>0.121410325735943</v>
      </c>
      <c r="I2958">
        <v>0.16960671936532001</v>
      </c>
      <c r="J2958">
        <v>0.127867590827516</v>
      </c>
      <c r="K2958">
        <v>0.24495371154026799</v>
      </c>
      <c r="L2958">
        <v>1288.19106589898</v>
      </c>
      <c r="M2958">
        <v>25.055892689721102</v>
      </c>
      <c r="N2958">
        <v>52.241523907648997</v>
      </c>
      <c r="O2958">
        <v>51.088564863037803</v>
      </c>
      <c r="P2958">
        <v>-0.102502376241346</v>
      </c>
      <c r="Q2958">
        <v>0.16400838343932</v>
      </c>
      <c r="R2958">
        <v>0.98826293171542601</v>
      </c>
      <c r="S2958" t="s">
        <v>6790</v>
      </c>
      <c r="T2958" t="s">
        <v>7662</v>
      </c>
      <c r="U2958" t="s">
        <v>7662</v>
      </c>
      <c r="V2958" t="s">
        <v>7662</v>
      </c>
      <c r="W2958">
        <v>2</v>
      </c>
      <c r="X2958" t="s">
        <v>10620</v>
      </c>
      <c r="Y2958">
        <v>0.48959212565603411</v>
      </c>
      <c r="Z2958" t="str">
        <f>HYPERLINK("Melting_Curves/meltCurve_sp_Q9UH92_2_MLX_HUMAN_.pdf", "Melting_Curves/meltCurve_sp_Q9UH92_2_MLX_HUMAN_.pdf")</f>
        <v>Melting_Curves/meltCurve_sp_Q9UH92_2_MLX_HUMAN_.pdf</v>
      </c>
      <c r="AA2958" t="s">
        <v>14414</v>
      </c>
      <c r="AB2958" t="s">
        <v>18197</v>
      </c>
    </row>
    <row r="2959" spans="1:28" x14ac:dyDescent="0.25">
      <c r="A2959" t="s">
        <v>2963</v>
      </c>
      <c r="B2959">
        <v>0.98876768158843997</v>
      </c>
      <c r="C2959">
        <v>1.0382905998030201</v>
      </c>
      <c r="D2959">
        <v>0.81909292216081797</v>
      </c>
      <c r="E2959">
        <v>0.70294579014530501</v>
      </c>
      <c r="F2959">
        <v>0.66503205570669599</v>
      </c>
      <c r="G2959">
        <v>0.36103415352446699</v>
      </c>
      <c r="H2959">
        <v>0.241366099093138</v>
      </c>
      <c r="I2959">
        <v>0.16231575709360499</v>
      </c>
      <c r="J2959">
        <v>0.15893219370738701</v>
      </c>
      <c r="K2959">
        <v>4.1974717338969597E-2</v>
      </c>
      <c r="L2959">
        <v>603.84065369997597</v>
      </c>
      <c r="M2959">
        <v>11.029661760029899</v>
      </c>
      <c r="N2959">
        <v>54.746978329170801</v>
      </c>
      <c r="O2959">
        <v>53.039693207047002</v>
      </c>
      <c r="P2959">
        <v>-5.2005129960322603E-2</v>
      </c>
      <c r="Q2959">
        <v>0</v>
      </c>
      <c r="R2959">
        <v>0.98065518662573803</v>
      </c>
      <c r="S2959" t="s">
        <v>6791</v>
      </c>
      <c r="T2959" t="s">
        <v>7662</v>
      </c>
      <c r="U2959" t="s">
        <v>7662</v>
      </c>
      <c r="V2959" t="s">
        <v>7662</v>
      </c>
      <c r="W2959">
        <v>1</v>
      </c>
      <c r="X2959" t="s">
        <v>10621</v>
      </c>
      <c r="Y2959">
        <v>0.51716734401599163</v>
      </c>
      <c r="Z2959" t="str">
        <f>HYPERLINK("Melting_Curves/meltCurve_sp_Q9UHA4_LTOR3_HUMAN_.pdf", "Melting_Curves/meltCurve_sp_Q9UHA4_LTOR3_HUMAN_.pdf")</f>
        <v>Melting_Curves/meltCurve_sp_Q9UHA4_LTOR3_HUMAN_.pdf</v>
      </c>
      <c r="AA2959" t="s">
        <v>14415</v>
      </c>
      <c r="AB2959" t="s">
        <v>18198</v>
      </c>
    </row>
    <row r="2960" spans="1:28" x14ac:dyDescent="0.25">
      <c r="A2960" t="s">
        <v>2964</v>
      </c>
      <c r="B2960">
        <v>0.98876768158843997</v>
      </c>
      <c r="C2960">
        <v>1.05864784495683</v>
      </c>
      <c r="D2960">
        <v>0.96826792441476195</v>
      </c>
      <c r="E2960">
        <v>0.87349899005571696</v>
      </c>
      <c r="F2960">
        <v>0.91912642197132899</v>
      </c>
      <c r="G2960">
        <v>0.558635196825359</v>
      </c>
      <c r="H2960">
        <v>0.40399490928738302</v>
      </c>
      <c r="I2960">
        <v>0.41780113890402598</v>
      </c>
      <c r="J2960">
        <v>0.54122303472373301</v>
      </c>
      <c r="K2960">
        <v>0.53846905490479302</v>
      </c>
      <c r="L2960">
        <v>2406.1953418892699</v>
      </c>
      <c r="M2960">
        <v>43.907514603472997</v>
      </c>
      <c r="N2960">
        <v>58.792113767658599</v>
      </c>
      <c r="O2960">
        <v>54.6881409493623</v>
      </c>
      <c r="P2960">
        <v>-0.105454793798549</v>
      </c>
      <c r="Q2960">
        <v>0.47461223110672002</v>
      </c>
      <c r="R2960">
        <v>0.93826703074427897</v>
      </c>
      <c r="S2960" t="s">
        <v>6792</v>
      </c>
      <c r="T2960" t="s">
        <v>7662</v>
      </c>
      <c r="U2960" t="s">
        <v>7662</v>
      </c>
      <c r="V2960" t="s">
        <v>7662</v>
      </c>
      <c r="W2960">
        <v>15</v>
      </c>
      <c r="X2960" t="s">
        <v>10622</v>
      </c>
      <c r="Y2960">
        <v>0.73547582736553008</v>
      </c>
      <c r="Z2960" t="str">
        <f>HYPERLINK("Melting_Curves/meltCurve_sp_Q9UHB6_LIMA1_HUMAN_.pdf", "Melting_Curves/meltCurve_sp_Q9UHB6_LIMA1_HUMAN_.pdf")</f>
        <v>Melting_Curves/meltCurve_sp_Q9UHB6_LIMA1_HUMAN_.pdf</v>
      </c>
      <c r="AA2960" t="s">
        <v>14416</v>
      </c>
      <c r="AB2960" t="s">
        <v>18199</v>
      </c>
    </row>
    <row r="2961" spans="1:28" x14ac:dyDescent="0.25">
      <c r="A2961" t="s">
        <v>2965</v>
      </c>
      <c r="B2961">
        <v>0.98876768158843997</v>
      </c>
      <c r="C2961">
        <v>0.90771557207548503</v>
      </c>
      <c r="D2961">
        <v>0.96672894611000204</v>
      </c>
      <c r="E2961">
        <v>0.389212568213605</v>
      </c>
      <c r="F2961">
        <v>0.22859290550101599</v>
      </c>
      <c r="G2961">
        <v>0.12204888241274001</v>
      </c>
      <c r="H2961">
        <v>7.5941875578655102E-2</v>
      </c>
      <c r="I2961">
        <v>6.8654785754548101E-2</v>
      </c>
      <c r="J2961">
        <v>7.2402281665602003E-2</v>
      </c>
      <c r="K2961">
        <v>7.8165152373404101E-2</v>
      </c>
      <c r="L2961">
        <v>1576.49946799296</v>
      </c>
      <c r="M2961">
        <v>32.045425416504997</v>
      </c>
      <c r="N2961">
        <v>49.491830187890699</v>
      </c>
      <c r="O2961">
        <v>49.005381202450899</v>
      </c>
      <c r="P2961">
        <v>-0.14922225690066701</v>
      </c>
      <c r="Q2961">
        <v>8.7213625798060607E-2</v>
      </c>
      <c r="R2961">
        <v>0.98859506577001299</v>
      </c>
      <c r="S2961" t="s">
        <v>6793</v>
      </c>
      <c r="T2961" t="s">
        <v>7662</v>
      </c>
      <c r="U2961" t="s">
        <v>7662</v>
      </c>
      <c r="V2961" t="s">
        <v>7662</v>
      </c>
      <c r="W2961">
        <v>11</v>
      </c>
      <c r="X2961" t="s">
        <v>10623</v>
      </c>
      <c r="Y2961">
        <v>0.37187909174384692</v>
      </c>
      <c r="Z2961" t="str">
        <f>HYPERLINK("Melting_Curves/meltCurve_sp_Q9UHB9_SRP68_HUMAN_.pdf", "Melting_Curves/meltCurve_sp_Q9UHB9_SRP68_HUMAN_.pdf")</f>
        <v>Melting_Curves/meltCurve_sp_Q9UHB9_SRP68_HUMAN_.pdf</v>
      </c>
      <c r="AA2961" t="s">
        <v>14417</v>
      </c>
      <c r="AB2961" t="s">
        <v>18200</v>
      </c>
    </row>
    <row r="2962" spans="1:28" x14ac:dyDescent="0.25">
      <c r="A2962" t="s">
        <v>2966</v>
      </c>
      <c r="B2962">
        <v>0.98876768158843997</v>
      </c>
      <c r="C2962">
        <v>1.12346526399449</v>
      </c>
      <c r="D2962">
        <v>0.83968697905345702</v>
      </c>
      <c r="E2962">
        <v>0.60507607417495002</v>
      </c>
      <c r="F2962">
        <v>0.50526226867011703</v>
      </c>
      <c r="G2962">
        <v>0.16223708431334899</v>
      </c>
      <c r="H2962">
        <v>0.13617616666612301</v>
      </c>
      <c r="I2962">
        <v>7.06082661917109E-2</v>
      </c>
      <c r="J2962">
        <v>0.50422165570102095</v>
      </c>
      <c r="K2962">
        <v>7.8924029221349903E-2</v>
      </c>
      <c r="L2962">
        <v>1045.9772133674801</v>
      </c>
      <c r="M2962">
        <v>20.6988326888758</v>
      </c>
      <c r="N2962">
        <v>51.651630051750303</v>
      </c>
      <c r="O2962">
        <v>50.068576965878599</v>
      </c>
      <c r="P2962">
        <v>-8.4687558796130005E-2</v>
      </c>
      <c r="Q2962">
        <v>0.18061756086624001</v>
      </c>
      <c r="R2962">
        <v>0.87147950005107899</v>
      </c>
      <c r="S2962" t="s">
        <v>6794</v>
      </c>
      <c r="T2962" t="s">
        <v>7662</v>
      </c>
      <c r="U2962" t="s">
        <v>7662</v>
      </c>
      <c r="V2962" t="s">
        <v>7662</v>
      </c>
      <c r="W2962">
        <v>5</v>
      </c>
      <c r="X2962" t="s">
        <v>10624</v>
      </c>
      <c r="Y2962">
        <v>0.47896892963371113</v>
      </c>
      <c r="Z2962" t="str">
        <f>HYPERLINK("Melting_Curves/meltCurve_sp_Q9UHD1_CHRD1_HUMAN_.pdf", "Melting_Curves/meltCurve_sp_Q9UHD1_CHRD1_HUMAN_.pdf")</f>
        <v>Melting_Curves/meltCurve_sp_Q9UHD1_CHRD1_HUMAN_.pdf</v>
      </c>
      <c r="AA2962" t="s">
        <v>14418</v>
      </c>
      <c r="AB2962" t="s">
        <v>18201</v>
      </c>
    </row>
    <row r="2963" spans="1:28" x14ac:dyDescent="0.25">
      <c r="A2963" t="s">
        <v>2967</v>
      </c>
      <c r="B2963">
        <v>0.98876768158843997</v>
      </c>
      <c r="C2963">
        <v>0.92477534078236201</v>
      </c>
      <c r="D2963">
        <v>1.0551630617157099</v>
      </c>
      <c r="E2963">
        <v>0.86776049764419905</v>
      </c>
      <c r="F2963">
        <v>0.448123988339521</v>
      </c>
      <c r="G2963">
        <v>0.18946523170916199</v>
      </c>
      <c r="H2963">
        <v>0.117310775101961</v>
      </c>
      <c r="I2963">
        <v>0.11929534771870701</v>
      </c>
      <c r="J2963">
        <v>0.15112480759199601</v>
      </c>
      <c r="K2963">
        <v>0.149798620068782</v>
      </c>
      <c r="L2963">
        <v>2012.4772008938301</v>
      </c>
      <c r="M2963">
        <v>38.529667699720598</v>
      </c>
      <c r="N2963">
        <v>52.6711674478925</v>
      </c>
      <c r="O2963">
        <v>52.091778457551101</v>
      </c>
      <c r="P2963">
        <v>-0.15950280012223</v>
      </c>
      <c r="Q2963">
        <v>0.137416432229236</v>
      </c>
      <c r="R2963">
        <v>0.992690951514691</v>
      </c>
      <c r="S2963" t="s">
        <v>6795</v>
      </c>
      <c r="T2963" t="s">
        <v>7662</v>
      </c>
      <c r="U2963" t="s">
        <v>7662</v>
      </c>
      <c r="V2963" t="s">
        <v>7662</v>
      </c>
      <c r="W2963">
        <v>19</v>
      </c>
      <c r="X2963" t="s">
        <v>10625</v>
      </c>
      <c r="Y2963">
        <v>0.49247292930590703</v>
      </c>
      <c r="Z2963" t="str">
        <f>HYPERLINK("Melting_Curves/meltCurve_sp_Q9UHD8_SEPT9_HUMAN_.pdf", "Melting_Curves/meltCurve_sp_Q9UHD8_SEPT9_HUMAN_.pdf")</f>
        <v>Melting_Curves/meltCurve_sp_Q9UHD8_SEPT9_HUMAN_.pdf</v>
      </c>
      <c r="AA2963" t="s">
        <v>14419</v>
      </c>
      <c r="AB2963" t="s">
        <v>18202</v>
      </c>
    </row>
    <row r="2964" spans="1:28" x14ac:dyDescent="0.25">
      <c r="A2964" t="s">
        <v>2968</v>
      </c>
      <c r="B2964">
        <v>0.98876768158843997</v>
      </c>
      <c r="C2964">
        <v>1.00799338623436</v>
      </c>
      <c r="D2964">
        <v>0.96104952557489198</v>
      </c>
      <c r="E2964">
        <v>0.70912409451418501</v>
      </c>
      <c r="F2964">
        <v>0.76628109656246401</v>
      </c>
      <c r="G2964">
        <v>0.63011056946145805</v>
      </c>
      <c r="H2964">
        <v>0.51141893229443203</v>
      </c>
      <c r="I2964">
        <v>0.58093594190777798</v>
      </c>
      <c r="J2964">
        <v>0.64060653809636303</v>
      </c>
      <c r="K2964">
        <v>0.95308977680492202</v>
      </c>
      <c r="L2964">
        <v>2052.79116876532</v>
      </c>
      <c r="M2964">
        <v>42.795293284683702</v>
      </c>
      <c r="O2964">
        <v>47.863300210111497</v>
      </c>
      <c r="P2964">
        <v>-7.2187910173751799E-2</v>
      </c>
      <c r="Q2964">
        <v>0.67705363089917303</v>
      </c>
      <c r="R2964">
        <v>0.608779558337046</v>
      </c>
      <c r="S2964" t="s">
        <v>6796</v>
      </c>
      <c r="T2964" t="s">
        <v>7662</v>
      </c>
      <c r="U2964" t="s">
        <v>7662</v>
      </c>
      <c r="V2964" t="s">
        <v>7662</v>
      </c>
      <c r="W2964">
        <v>4</v>
      </c>
      <c r="X2964" t="s">
        <v>10626</v>
      </c>
      <c r="Y2964">
        <v>0.76376105249146042</v>
      </c>
      <c r="Z2964" t="str">
        <f>HYPERLINK("Melting_Curves/meltCurve_sp_Q9UHD9_UBQL2_HUMAN_.pdf", "Melting_Curves/meltCurve_sp_Q9UHD9_UBQL2_HUMAN_.pdf")</f>
        <v>Melting_Curves/meltCurve_sp_Q9UHD9_UBQL2_HUMAN_.pdf</v>
      </c>
      <c r="AA2964" t="s">
        <v>14420</v>
      </c>
      <c r="AB2964" t="s">
        <v>18203</v>
      </c>
    </row>
    <row r="2965" spans="1:28" x14ac:dyDescent="0.25">
      <c r="A2965" t="s">
        <v>2969</v>
      </c>
      <c r="B2965">
        <v>0.98876768158843997</v>
      </c>
      <c r="C2965">
        <v>0.90491907001624905</v>
      </c>
      <c r="D2965">
        <v>0.87406949046193305</v>
      </c>
      <c r="E2965">
        <v>0.56135452743821102</v>
      </c>
      <c r="F2965">
        <v>0.154817243179485</v>
      </c>
      <c r="G2965">
        <v>0.10442293931475601</v>
      </c>
      <c r="H2965">
        <v>6.04738393784666E-2</v>
      </c>
      <c r="I2965">
        <v>5.3042386655866101E-2</v>
      </c>
      <c r="J2965">
        <v>5.7866518609656803E-2</v>
      </c>
      <c r="K2965">
        <v>4.9937799689970003E-2</v>
      </c>
      <c r="L2965">
        <v>1297.94032714424</v>
      </c>
      <c r="M2965">
        <v>26.015823365049901</v>
      </c>
      <c r="N2965">
        <v>50.089221828274397</v>
      </c>
      <c r="O2965">
        <v>49.598441248698201</v>
      </c>
      <c r="P2965">
        <v>-0.12470139535581</v>
      </c>
      <c r="Q2965">
        <v>4.9052017735935399E-2</v>
      </c>
      <c r="R2965">
        <v>0.98993889306614902</v>
      </c>
      <c r="S2965" t="s">
        <v>6797</v>
      </c>
      <c r="T2965" t="s">
        <v>7662</v>
      </c>
      <c r="U2965" t="s">
        <v>7662</v>
      </c>
      <c r="V2965" t="s">
        <v>7662</v>
      </c>
      <c r="W2965">
        <v>12</v>
      </c>
      <c r="X2965" t="s">
        <v>10627</v>
      </c>
      <c r="Y2965">
        <v>0.37039544875613112</v>
      </c>
      <c r="Z2965" t="str">
        <f>HYPERLINK("Melting_Curves/meltCurve_sp_Q9UHJ6_SHPK_HUMAN_.pdf", "Melting_Curves/meltCurve_sp_Q9UHJ6_SHPK_HUMAN_.pdf")</f>
        <v>Melting_Curves/meltCurve_sp_Q9UHJ6_SHPK_HUMAN_.pdf</v>
      </c>
      <c r="AA2965" t="s">
        <v>14421</v>
      </c>
      <c r="AB2965" t="s">
        <v>18204</v>
      </c>
    </row>
    <row r="2966" spans="1:28" x14ac:dyDescent="0.25">
      <c r="A2966" t="s">
        <v>2970</v>
      </c>
      <c r="B2966">
        <v>0.98876768158843997</v>
      </c>
      <c r="C2966">
        <v>0.97168531506098699</v>
      </c>
      <c r="D2966">
        <v>0.96575312549425196</v>
      </c>
      <c r="E2966">
        <v>0.91734568347098</v>
      </c>
      <c r="F2966">
        <v>0.67453985418063001</v>
      </c>
      <c r="G2966">
        <v>0.453800755038614</v>
      </c>
      <c r="H2966">
        <v>0.21966786975779001</v>
      </c>
      <c r="I2966">
        <v>0.119645086908304</v>
      </c>
      <c r="J2966">
        <v>9.9592777903841495E-2</v>
      </c>
      <c r="K2966">
        <v>7.4184041791439795E-2</v>
      </c>
      <c r="L2966">
        <v>937.33434629468195</v>
      </c>
      <c r="M2966">
        <v>16.823440682914399</v>
      </c>
      <c r="N2966">
        <v>55.991799423204398</v>
      </c>
      <c r="O2966">
        <v>54.946604028971997</v>
      </c>
      <c r="P2966">
        <v>-7.3505260930717298E-2</v>
      </c>
      <c r="Q2966">
        <v>3.9767316790580501E-2</v>
      </c>
      <c r="R2966">
        <v>0.99663290177488695</v>
      </c>
      <c r="S2966" t="s">
        <v>6798</v>
      </c>
      <c r="T2966" t="s">
        <v>7662</v>
      </c>
      <c r="U2966" t="s">
        <v>7662</v>
      </c>
      <c r="V2966" t="s">
        <v>7662</v>
      </c>
      <c r="W2966">
        <v>8</v>
      </c>
      <c r="X2966" t="s">
        <v>10628</v>
      </c>
      <c r="Y2966">
        <v>0.55836237182494408</v>
      </c>
      <c r="Z2966" t="str">
        <f>HYPERLINK("Melting_Curves/meltCurve_sp_Q9UHL4_DPP2_HUMAN_.pdf", "Melting_Curves/meltCurve_sp_Q9UHL4_DPP2_HUMAN_.pdf")</f>
        <v>Melting_Curves/meltCurve_sp_Q9UHL4_DPP2_HUMAN_.pdf</v>
      </c>
      <c r="AA2966" t="s">
        <v>14422</v>
      </c>
      <c r="AB2966" t="s">
        <v>18205</v>
      </c>
    </row>
    <row r="2967" spans="1:28" x14ac:dyDescent="0.25">
      <c r="A2967" t="s">
        <v>2971</v>
      </c>
      <c r="B2967">
        <v>0.98876768158843997</v>
      </c>
      <c r="C2967">
        <v>0.90647530247661701</v>
      </c>
      <c r="D2967">
        <v>0.76999717536146295</v>
      </c>
      <c r="E2967">
        <v>0.60308693410366598</v>
      </c>
      <c r="F2967">
        <v>0.89232715572102395</v>
      </c>
      <c r="G2967">
        <v>0.64452485235884105</v>
      </c>
      <c r="H2967">
        <v>0.49003274724818302</v>
      </c>
      <c r="I2967">
        <v>0.48291858399128601</v>
      </c>
      <c r="J2967">
        <v>0.70412551729297101</v>
      </c>
      <c r="K2967">
        <v>0.76028834116472199</v>
      </c>
      <c r="L2967">
        <v>778.42960710995999</v>
      </c>
      <c r="M2967">
        <v>17.242982172084801</v>
      </c>
      <c r="O2967">
        <v>44.550641968396803</v>
      </c>
      <c r="P2967">
        <v>-3.4971706997896201E-2</v>
      </c>
      <c r="Q2967">
        <v>0.63859593814843796</v>
      </c>
      <c r="R2967">
        <v>0.52286747745865803</v>
      </c>
      <c r="S2967" t="s">
        <v>6799</v>
      </c>
      <c r="T2967" t="s">
        <v>7662</v>
      </c>
      <c r="U2967" t="s">
        <v>7662</v>
      </c>
      <c r="V2967" t="s">
        <v>7662</v>
      </c>
      <c r="W2967">
        <v>4</v>
      </c>
      <c r="X2967" t="s">
        <v>10629</v>
      </c>
      <c r="Y2967">
        <v>0.70902254287765842</v>
      </c>
      <c r="Z2967" t="str">
        <f>HYPERLINK("Melting_Curves/meltCurve_sp_Q9UHR4_BI2L1_HUMAN_.pdf", "Melting_Curves/meltCurve_sp_Q9UHR4_BI2L1_HUMAN_.pdf")</f>
        <v>Melting_Curves/meltCurve_sp_Q9UHR4_BI2L1_HUMAN_.pdf</v>
      </c>
      <c r="AA2967" t="s">
        <v>14423</v>
      </c>
      <c r="AB2967" t="s">
        <v>18206</v>
      </c>
    </row>
    <row r="2968" spans="1:28" x14ac:dyDescent="0.25">
      <c r="A2968" t="s">
        <v>2972</v>
      </c>
      <c r="B2968">
        <v>0.98876768158843997</v>
      </c>
      <c r="C2968">
        <v>1.06930714676461</v>
      </c>
      <c r="D2968">
        <v>0.97186789846546096</v>
      </c>
      <c r="E2968">
        <v>0.64580552483367804</v>
      </c>
      <c r="F2968">
        <v>0.60795727560319701</v>
      </c>
      <c r="G2968">
        <v>0.40687077085918999</v>
      </c>
      <c r="H2968">
        <v>0.30781749220329901</v>
      </c>
      <c r="I2968">
        <v>0.351680902808852</v>
      </c>
      <c r="J2968">
        <v>0.398667887422475</v>
      </c>
      <c r="K2968">
        <v>0.425208306478566</v>
      </c>
      <c r="L2968">
        <v>1143.4545820005001</v>
      </c>
      <c r="M2968">
        <v>22.675920762217501</v>
      </c>
      <c r="N2968">
        <v>53.655515092721501</v>
      </c>
      <c r="O2968">
        <v>50.0386810740873</v>
      </c>
      <c r="P2968">
        <v>-7.1115335530728699E-2</v>
      </c>
      <c r="Q2968">
        <v>0.37229502373122803</v>
      </c>
      <c r="R2968">
        <v>0.96209343315156703</v>
      </c>
      <c r="S2968" t="s">
        <v>6800</v>
      </c>
      <c r="T2968" t="s">
        <v>7662</v>
      </c>
      <c r="U2968" t="s">
        <v>7662</v>
      </c>
      <c r="V2968" t="s">
        <v>7662</v>
      </c>
      <c r="W2968">
        <v>2</v>
      </c>
      <c r="X2968" t="s">
        <v>10630</v>
      </c>
      <c r="Y2968">
        <v>0.59727866641551075</v>
      </c>
      <c r="Z2968" t="str">
        <f>HYPERLINK("Melting_Curves/meltCurve_sp_Q9UHR5_2_S30BP_HUMAN_.pdf", "Melting_Curves/meltCurve_sp_Q9UHR5_2_S30BP_HUMAN_.pdf")</f>
        <v>Melting_Curves/meltCurve_sp_Q9UHR5_2_S30BP_HUMAN_.pdf</v>
      </c>
      <c r="AA2968" t="s">
        <v>14424</v>
      </c>
      <c r="AB2968" t="s">
        <v>18207</v>
      </c>
    </row>
    <row r="2969" spans="1:28" x14ac:dyDescent="0.25">
      <c r="A2969" t="s">
        <v>2973</v>
      </c>
      <c r="B2969">
        <v>0.98876768158843997</v>
      </c>
      <c r="C2969">
        <v>0.96529850756202695</v>
      </c>
      <c r="D2969">
        <v>0.990243888400831</v>
      </c>
      <c r="E2969">
        <v>0.886153207674923</v>
      </c>
      <c r="F2969">
        <v>0.87062347167771104</v>
      </c>
      <c r="G2969">
        <v>0.65699805586258497</v>
      </c>
      <c r="H2969">
        <v>0.59484847941070595</v>
      </c>
      <c r="I2969">
        <v>0.65519575465729096</v>
      </c>
      <c r="J2969">
        <v>0.94616848307329504</v>
      </c>
      <c r="K2969">
        <v>0.89908071580155202</v>
      </c>
      <c r="L2969">
        <v>1582.2175976825999</v>
      </c>
      <c r="M2969">
        <v>31.102882651523501</v>
      </c>
      <c r="O2969">
        <v>50.661548554934498</v>
      </c>
      <c r="P2969">
        <v>-3.7329503225983302E-2</v>
      </c>
      <c r="Q2969">
        <v>0.75678657395678295</v>
      </c>
      <c r="R2969">
        <v>0.46406063685978999</v>
      </c>
      <c r="S2969" t="s">
        <v>6801</v>
      </c>
      <c r="T2969" t="s">
        <v>7662</v>
      </c>
      <c r="U2969" t="s">
        <v>7662</v>
      </c>
      <c r="V2969" t="s">
        <v>7662</v>
      </c>
      <c r="W2969">
        <v>6</v>
      </c>
      <c r="X2969" t="s">
        <v>10631</v>
      </c>
      <c r="Y2969">
        <v>0.84633381580541711</v>
      </c>
      <c r="Z2969" t="str">
        <f>HYPERLINK("Melting_Curves/meltCurve_sp_Q9UHV9_PFD2_HUMAN_.pdf", "Melting_Curves/meltCurve_sp_Q9UHV9_PFD2_HUMAN_.pdf")</f>
        <v>Melting_Curves/meltCurve_sp_Q9UHV9_PFD2_HUMAN_.pdf</v>
      </c>
      <c r="AA2969" t="s">
        <v>14425</v>
      </c>
      <c r="AB2969" t="s">
        <v>18208</v>
      </c>
    </row>
    <row r="2970" spans="1:28" x14ac:dyDescent="0.25">
      <c r="A2970" t="s">
        <v>2974</v>
      </c>
      <c r="B2970">
        <v>0.98876768158843997</v>
      </c>
      <c r="C2970">
        <v>0.99868798568557005</v>
      </c>
      <c r="D2970">
        <v>0.90612551074091796</v>
      </c>
      <c r="E2970">
        <v>0.70973735585737197</v>
      </c>
      <c r="F2970">
        <v>0.59983743560809299</v>
      </c>
      <c r="G2970">
        <v>0.205507052612522</v>
      </c>
      <c r="H2970">
        <v>0.11004126086482301</v>
      </c>
      <c r="I2970">
        <v>9.6203189695075006E-2</v>
      </c>
      <c r="J2970">
        <v>0.105299591535258</v>
      </c>
      <c r="K2970">
        <v>8.2015888369767101E-2</v>
      </c>
      <c r="L2970">
        <v>947.20174262126795</v>
      </c>
      <c r="M2970">
        <v>17.9161264620659</v>
      </c>
      <c r="N2970">
        <v>53.230771643714597</v>
      </c>
      <c r="O2970">
        <v>52.223207062656002</v>
      </c>
      <c r="P2970">
        <v>-8.0850856279733305E-2</v>
      </c>
      <c r="Q2970">
        <v>5.7367936460794001E-2</v>
      </c>
      <c r="R2970">
        <v>0.99005782325857095</v>
      </c>
      <c r="S2970" t="s">
        <v>6802</v>
      </c>
      <c r="T2970" t="s">
        <v>7662</v>
      </c>
      <c r="U2970" t="s">
        <v>7662</v>
      </c>
      <c r="V2970" t="s">
        <v>7662</v>
      </c>
      <c r="W2970">
        <v>11</v>
      </c>
      <c r="X2970" t="s">
        <v>10632</v>
      </c>
      <c r="Y2970">
        <v>0.47730466217058859</v>
      </c>
      <c r="Z2970" t="str">
        <f>HYPERLINK("Melting_Curves/meltCurve_sp_Q9UHX1_4_PUF60_HUMAN_.pdf", "Melting_Curves/meltCurve_sp_Q9UHX1_4_PUF60_HUMAN_.pdf")</f>
        <v>Melting_Curves/meltCurve_sp_Q9UHX1_4_PUF60_HUMAN_.pdf</v>
      </c>
      <c r="AA2970" t="s">
        <v>14426</v>
      </c>
      <c r="AB2970" t="s">
        <v>18209</v>
      </c>
    </row>
    <row r="2971" spans="1:28" x14ac:dyDescent="0.25">
      <c r="A2971" t="s">
        <v>2975</v>
      </c>
      <c r="B2971">
        <v>0.98876768158843997</v>
      </c>
      <c r="C2971">
        <v>1.1192254894740501</v>
      </c>
      <c r="D2971">
        <v>1.10461902185865</v>
      </c>
      <c r="E2971">
        <v>1.05591072864138</v>
      </c>
      <c r="F2971">
        <v>0.46848939254672001</v>
      </c>
      <c r="G2971">
        <v>0.46242479171935202</v>
      </c>
      <c r="H2971">
        <v>0.24694509787409899</v>
      </c>
      <c r="I2971">
        <v>0.143699054029606</v>
      </c>
      <c r="J2971">
        <v>8.2913662867986598E-2</v>
      </c>
      <c r="K2971">
        <v>5.39903204507289E-2</v>
      </c>
      <c r="L2971">
        <v>1067.53933157293</v>
      </c>
      <c r="M2971">
        <v>19.503575590342798</v>
      </c>
      <c r="N2971">
        <v>55.261498221468003</v>
      </c>
      <c r="O2971">
        <v>54.1698986472665</v>
      </c>
      <c r="P2971">
        <v>-8.2389877023354804E-2</v>
      </c>
      <c r="Q2971">
        <v>8.4703285179661206E-2</v>
      </c>
      <c r="R2971">
        <v>0.93163797082331301</v>
      </c>
      <c r="S2971" t="s">
        <v>6803</v>
      </c>
      <c r="T2971" t="s">
        <v>7662</v>
      </c>
      <c r="U2971" t="s">
        <v>7662</v>
      </c>
      <c r="V2971" t="s">
        <v>7662</v>
      </c>
      <c r="W2971">
        <v>5</v>
      </c>
      <c r="X2971" t="s">
        <v>10633</v>
      </c>
      <c r="Y2971">
        <v>0.54702532763645884</v>
      </c>
      <c r="Z2971" t="str">
        <f>HYPERLINK("Melting_Curves/meltCurve_sp_Q9UHY7_ENOPH_HUMAN_.pdf", "Melting_Curves/meltCurve_sp_Q9UHY7_ENOPH_HUMAN_.pdf")</f>
        <v>Melting_Curves/meltCurve_sp_Q9UHY7_ENOPH_HUMAN_.pdf</v>
      </c>
      <c r="AA2971" t="s">
        <v>14427</v>
      </c>
      <c r="AB2971" t="s">
        <v>18210</v>
      </c>
    </row>
    <row r="2972" spans="1:28" x14ac:dyDescent="0.25">
      <c r="A2972" t="s">
        <v>2976</v>
      </c>
      <c r="B2972">
        <v>0.98876768158843997</v>
      </c>
      <c r="C2972">
        <v>1.0067666979457399</v>
      </c>
      <c r="D2972">
        <v>0.88607212436548899</v>
      </c>
      <c r="E2972">
        <v>0.71081219457354605</v>
      </c>
      <c r="F2972">
        <v>0.62552568719248103</v>
      </c>
      <c r="G2972">
        <v>0.39148896655997001</v>
      </c>
      <c r="H2972">
        <v>0.25927988691733</v>
      </c>
      <c r="I2972">
        <v>0.260954402141922</v>
      </c>
      <c r="J2972">
        <v>0.25613312460051402</v>
      </c>
      <c r="K2972">
        <v>0.24464873115095701</v>
      </c>
      <c r="L2972">
        <v>763.90831660695005</v>
      </c>
      <c r="M2972">
        <v>14.560875377838901</v>
      </c>
      <c r="N2972">
        <v>54.4969735383415</v>
      </c>
      <c r="O2972">
        <v>51.503332892967599</v>
      </c>
      <c r="P2972">
        <v>-5.5869569457171399E-2</v>
      </c>
      <c r="Q2972">
        <v>0.20962375223884699</v>
      </c>
      <c r="R2972">
        <v>0.99186174246794701</v>
      </c>
      <c r="S2972" t="s">
        <v>6804</v>
      </c>
      <c r="T2972" t="s">
        <v>7662</v>
      </c>
      <c r="U2972" t="s">
        <v>7662</v>
      </c>
      <c r="V2972" t="s">
        <v>7662</v>
      </c>
      <c r="W2972">
        <v>6</v>
      </c>
      <c r="X2972" t="s">
        <v>10634</v>
      </c>
      <c r="Y2972">
        <v>0.55611519369021445</v>
      </c>
      <c r="Z2972" t="str">
        <f>HYPERLINK("Melting_Curves/meltCurve_sp_Q9UI08_EVL_HUMAN_.pdf", "Melting_Curves/meltCurve_sp_Q9UI08_EVL_HUMAN_.pdf")</f>
        <v>Melting_Curves/meltCurve_sp_Q9UI08_EVL_HUMAN_.pdf</v>
      </c>
      <c r="AA2972" t="s">
        <v>14428</v>
      </c>
      <c r="AB2972" t="s">
        <v>18211</v>
      </c>
    </row>
    <row r="2973" spans="1:28" x14ac:dyDescent="0.25">
      <c r="A2973" t="s">
        <v>2977</v>
      </c>
      <c r="B2973">
        <v>0.98876768158843997</v>
      </c>
      <c r="C2973">
        <v>1.0138957490146401</v>
      </c>
      <c r="D2973">
        <v>0.93922596342187803</v>
      </c>
      <c r="E2973">
        <v>0.60552106266949501</v>
      </c>
      <c r="F2973">
        <v>0.370455600180077</v>
      </c>
      <c r="G2973">
        <v>0.48790670978209699</v>
      </c>
      <c r="H2973">
        <v>0.33785003508181199</v>
      </c>
      <c r="I2973">
        <v>0.36007185809704201</v>
      </c>
      <c r="J2973">
        <v>0.30012628171636002</v>
      </c>
      <c r="K2973">
        <v>0.74508882894081796</v>
      </c>
      <c r="L2973">
        <v>2165.1743840505701</v>
      </c>
      <c r="M2973">
        <v>44.296615030738899</v>
      </c>
      <c r="N2973">
        <v>51.201402072803198</v>
      </c>
      <c r="O2973">
        <v>48.779698750729601</v>
      </c>
      <c r="P2973">
        <v>-0.12873341254846499</v>
      </c>
      <c r="Q2973">
        <v>0.43295275233758002</v>
      </c>
      <c r="R2973">
        <v>0.80993823431642598</v>
      </c>
      <c r="S2973" t="s">
        <v>6805</v>
      </c>
      <c r="T2973" t="s">
        <v>7662</v>
      </c>
      <c r="U2973" t="s">
        <v>7662</v>
      </c>
      <c r="V2973" t="s">
        <v>7662</v>
      </c>
      <c r="W2973">
        <v>6</v>
      </c>
      <c r="X2973" t="s">
        <v>10635</v>
      </c>
      <c r="Y2973">
        <v>0.60234065567777206</v>
      </c>
      <c r="Z2973" t="str">
        <f>HYPERLINK("Melting_Curves/meltCurve_sp_Q9UI10_3_EI2BD_HUMAN_.pdf", "Melting_Curves/meltCurve_sp_Q9UI10_3_EI2BD_HUMAN_.pdf")</f>
        <v>Melting_Curves/meltCurve_sp_Q9UI10_3_EI2BD_HUMAN_.pdf</v>
      </c>
      <c r="AA2973" t="s">
        <v>14429</v>
      </c>
      <c r="AB2973" t="s">
        <v>18212</v>
      </c>
    </row>
    <row r="2974" spans="1:28" x14ac:dyDescent="0.25">
      <c r="A2974" t="s">
        <v>2978</v>
      </c>
      <c r="B2974">
        <v>0.98876768158843997</v>
      </c>
      <c r="C2974">
        <v>0.88612690263916505</v>
      </c>
      <c r="D2974">
        <v>0.85684065578640201</v>
      </c>
      <c r="E2974">
        <v>0.32348509526539398</v>
      </c>
      <c r="F2974">
        <v>0.14413317380705401</v>
      </c>
      <c r="G2974">
        <v>8.2385027801202604E-2</v>
      </c>
      <c r="H2974">
        <v>5.1187227281380601E-2</v>
      </c>
      <c r="I2974">
        <v>5.9968129693062297E-2</v>
      </c>
      <c r="J2974">
        <v>7.6220865623411405E-2</v>
      </c>
      <c r="K2974">
        <v>8.6426957184671693E-2</v>
      </c>
      <c r="L2974">
        <v>1375.6107152173099</v>
      </c>
      <c r="M2974">
        <v>28.421801625761301</v>
      </c>
      <c r="N2974">
        <v>48.648214006770203</v>
      </c>
      <c r="O2974">
        <v>48.1621555826706</v>
      </c>
      <c r="P2974">
        <v>-0.13756942433505401</v>
      </c>
      <c r="Q2974">
        <v>6.7534948567466696E-2</v>
      </c>
      <c r="R2974">
        <v>0.99272824205128996</v>
      </c>
      <c r="S2974" t="s">
        <v>6806</v>
      </c>
      <c r="T2974" t="s">
        <v>7662</v>
      </c>
      <c r="U2974" t="s">
        <v>7662</v>
      </c>
      <c r="V2974" t="s">
        <v>7662</v>
      </c>
      <c r="W2974">
        <v>5</v>
      </c>
      <c r="X2974" t="s">
        <v>10636</v>
      </c>
      <c r="Y2974">
        <v>0.33492431423177088</v>
      </c>
      <c r="Z2974" t="str">
        <f>HYPERLINK("Melting_Curves/meltCurve_sp_Q9UI10_EI2BD_HUMAN_.pdf", "Melting_Curves/meltCurve_sp_Q9UI10_EI2BD_HUMAN_.pdf")</f>
        <v>Melting_Curves/meltCurve_sp_Q9UI10_EI2BD_HUMAN_.pdf</v>
      </c>
      <c r="AA2974" t="s">
        <v>14429</v>
      </c>
      <c r="AB2974" t="s">
        <v>18213</v>
      </c>
    </row>
    <row r="2975" spans="1:28" x14ac:dyDescent="0.25">
      <c r="A2975" t="s">
        <v>2979</v>
      </c>
      <c r="B2975">
        <v>0.98876768158843997</v>
      </c>
      <c r="C2975">
        <v>0.93639062383279004</v>
      </c>
      <c r="D2975">
        <v>0.98328162554605902</v>
      </c>
      <c r="E2975">
        <v>0.87290060972526595</v>
      </c>
      <c r="F2975">
        <v>0.37568996222357398</v>
      </c>
      <c r="G2975">
        <v>0.13804638291986701</v>
      </c>
      <c r="H2975">
        <v>8.2846099970060302E-2</v>
      </c>
      <c r="I2975">
        <v>7.9634116258098894E-2</v>
      </c>
      <c r="J2975">
        <v>0.11193512306190601</v>
      </c>
      <c r="K2975">
        <v>7.5293676673739707E-2</v>
      </c>
      <c r="L2975">
        <v>2226.69799321038</v>
      </c>
      <c r="M2975">
        <v>42.772871944958901</v>
      </c>
      <c r="N2975">
        <v>52.307486406399597</v>
      </c>
      <c r="O2975">
        <v>51.945245767012501</v>
      </c>
      <c r="P2975">
        <v>-0.186905633705434</v>
      </c>
      <c r="Q2975">
        <v>9.2055973105423003E-2</v>
      </c>
      <c r="R2975">
        <v>0.99631835728858698</v>
      </c>
      <c r="S2975" t="s">
        <v>6807</v>
      </c>
      <c r="T2975" t="s">
        <v>7662</v>
      </c>
      <c r="U2975" t="s">
        <v>7662</v>
      </c>
      <c r="V2975" t="s">
        <v>7662</v>
      </c>
      <c r="W2975">
        <v>7</v>
      </c>
      <c r="X2975" t="s">
        <v>10637</v>
      </c>
      <c r="Y2975">
        <v>0.45986239174178839</v>
      </c>
      <c r="Z2975" t="str">
        <f>HYPERLINK("Melting_Curves/meltCurve_sp_Q9UI12_2_VATH_HUMAN_.pdf", "Melting_Curves/meltCurve_sp_Q9UI12_2_VATH_HUMAN_.pdf")</f>
        <v>Melting_Curves/meltCurve_sp_Q9UI12_2_VATH_HUMAN_.pdf</v>
      </c>
      <c r="AA2975" t="s">
        <v>14430</v>
      </c>
      <c r="AB2975" t="s">
        <v>18214</v>
      </c>
    </row>
    <row r="2976" spans="1:28" x14ac:dyDescent="0.25">
      <c r="A2976" t="s">
        <v>2980</v>
      </c>
      <c r="B2976">
        <v>0.98876768158843997</v>
      </c>
      <c r="C2976">
        <v>0.93077143773335502</v>
      </c>
      <c r="D2976">
        <v>0.91532432572993805</v>
      </c>
      <c r="E2976">
        <v>0.84029786537626405</v>
      </c>
      <c r="F2976">
        <v>0.17616700745476199</v>
      </c>
      <c r="G2976">
        <v>9.8416619974167605E-2</v>
      </c>
      <c r="H2976">
        <v>5.2292411829098502E-2</v>
      </c>
      <c r="I2976">
        <v>4.2985044836043103E-2</v>
      </c>
      <c r="J2976">
        <v>5.7477985537521897E-2</v>
      </c>
      <c r="K2976">
        <v>4.0415703922843403E-2</v>
      </c>
      <c r="L2976">
        <v>3074.2993566362402</v>
      </c>
      <c r="M2976">
        <v>59.913325382261199</v>
      </c>
      <c r="N2976">
        <v>51.416989324726998</v>
      </c>
      <c r="O2976">
        <v>51.255382113537003</v>
      </c>
      <c r="P2976">
        <v>-0.27547191846054903</v>
      </c>
      <c r="Q2976">
        <v>5.7344227718453697E-2</v>
      </c>
      <c r="R2976">
        <v>0.99189135614481705</v>
      </c>
      <c r="S2976" t="s">
        <v>6808</v>
      </c>
      <c r="T2976" t="s">
        <v>7662</v>
      </c>
      <c r="U2976" t="s">
        <v>7662</v>
      </c>
      <c r="V2976" t="s">
        <v>7662</v>
      </c>
      <c r="W2976">
        <v>46</v>
      </c>
      <c r="X2976" t="s">
        <v>10638</v>
      </c>
      <c r="Y2976">
        <v>0.4142857884465177</v>
      </c>
      <c r="Z2976" t="str">
        <f>HYPERLINK("Melting_Curves/meltCurve_sp_Q9UI17_M2GD_HUMAN_.pdf", "Melting_Curves/meltCurve_sp_Q9UI17_M2GD_HUMAN_.pdf")</f>
        <v>Melting_Curves/meltCurve_sp_Q9UI17_M2GD_HUMAN_.pdf</v>
      </c>
      <c r="AA2976" t="s">
        <v>14431</v>
      </c>
      <c r="AB2976" t="s">
        <v>18215</v>
      </c>
    </row>
    <row r="2977" spans="1:28" x14ac:dyDescent="0.25">
      <c r="A2977" t="s">
        <v>2981</v>
      </c>
      <c r="B2977">
        <v>0.98876768158843997</v>
      </c>
      <c r="C2977">
        <v>0.90529637784988304</v>
      </c>
      <c r="D2977">
        <v>0.63338197747722402</v>
      </c>
      <c r="E2977">
        <v>0.182807045321319</v>
      </c>
      <c r="F2977">
        <v>9.8956857737156401E-2</v>
      </c>
      <c r="G2977">
        <v>5.9550769804987601E-2</v>
      </c>
      <c r="H2977">
        <v>3.67158986503879E-2</v>
      </c>
      <c r="I2977">
        <v>3.3662023063927203E-2</v>
      </c>
      <c r="J2977">
        <v>4.1117518751965398E-2</v>
      </c>
      <c r="K2977">
        <v>3.4148419367064302E-2</v>
      </c>
      <c r="L2977">
        <v>1194.76214713382</v>
      </c>
      <c r="M2977">
        <v>25.5246649951915</v>
      </c>
      <c r="N2977">
        <v>46.9574095279715</v>
      </c>
      <c r="O2977">
        <v>46.523641079158303</v>
      </c>
      <c r="P2977">
        <v>-0.13181658935740001</v>
      </c>
      <c r="Q2977">
        <v>3.8966431645288603E-2</v>
      </c>
      <c r="R2977">
        <v>0.99945980817362301</v>
      </c>
      <c r="S2977" t="s">
        <v>6809</v>
      </c>
      <c r="T2977" t="s">
        <v>7662</v>
      </c>
      <c r="U2977" t="s">
        <v>7662</v>
      </c>
      <c r="V2977" t="s">
        <v>7662</v>
      </c>
      <c r="W2977">
        <v>18</v>
      </c>
      <c r="X2977" t="s">
        <v>10639</v>
      </c>
      <c r="Y2977">
        <v>0.26528978763811489</v>
      </c>
      <c r="Z2977" t="str">
        <f>HYPERLINK("Melting_Curves/meltCurve_sp_Q9UI32_GLSL_HUMAN_.pdf", "Melting_Curves/meltCurve_sp_Q9UI32_GLSL_HUMAN_.pdf")</f>
        <v>Melting_Curves/meltCurve_sp_Q9UI32_GLSL_HUMAN_.pdf</v>
      </c>
      <c r="AA2977" t="s">
        <v>14432</v>
      </c>
      <c r="AB2977" t="s">
        <v>18216</v>
      </c>
    </row>
    <row r="2978" spans="1:28" x14ac:dyDescent="0.25">
      <c r="A2978" t="s">
        <v>2982</v>
      </c>
      <c r="B2978">
        <v>0.98876768158843997</v>
      </c>
      <c r="C2978">
        <v>0.87847627374653803</v>
      </c>
      <c r="D2978">
        <v>1.0775535762439099</v>
      </c>
      <c r="E2978">
        <v>0.98582943848335403</v>
      </c>
      <c r="F2978">
        <v>0.442080000905898</v>
      </c>
      <c r="G2978">
        <v>0.12783356710013</v>
      </c>
      <c r="H2978">
        <v>7.764690329059E-2</v>
      </c>
      <c r="I2978">
        <v>5.8289946959574103E-2</v>
      </c>
      <c r="J2978">
        <v>7.4420889679416694E-2</v>
      </c>
      <c r="K2978">
        <v>4.70527973929767E-2</v>
      </c>
      <c r="L2978">
        <v>3471.2298914074599</v>
      </c>
      <c r="M2978">
        <v>65.902488807459505</v>
      </c>
      <c r="N2978">
        <v>52.803320831911101</v>
      </c>
      <c r="O2978">
        <v>52.623791484564997</v>
      </c>
      <c r="P2978">
        <v>-0.289453912002124</v>
      </c>
      <c r="Q2978">
        <v>7.5473244266922299E-2</v>
      </c>
      <c r="R2978">
        <v>0.986835510568148</v>
      </c>
      <c r="S2978" t="s">
        <v>6810</v>
      </c>
      <c r="T2978" t="s">
        <v>7662</v>
      </c>
      <c r="U2978" t="s">
        <v>7662</v>
      </c>
      <c r="V2978" t="s">
        <v>7662</v>
      </c>
      <c r="W2978">
        <v>14</v>
      </c>
      <c r="X2978" t="s">
        <v>10640</v>
      </c>
      <c r="Y2978">
        <v>0.4672334035891707</v>
      </c>
      <c r="Z2978" t="str">
        <f>HYPERLINK("Melting_Curves/meltCurve_sp_Q9UIA9_XPO7_HUMAN_.pdf", "Melting_Curves/meltCurve_sp_Q9UIA9_XPO7_HUMAN_.pdf")</f>
        <v>Melting_Curves/meltCurve_sp_Q9UIA9_XPO7_HUMAN_.pdf</v>
      </c>
      <c r="AA2978" t="s">
        <v>14433</v>
      </c>
      <c r="AB2978" t="s">
        <v>18217</v>
      </c>
    </row>
    <row r="2979" spans="1:28" x14ac:dyDescent="0.25">
      <c r="A2979" t="s">
        <v>2983</v>
      </c>
      <c r="B2979">
        <v>0.98876768158843997</v>
      </c>
      <c r="C2979">
        <v>0.92712682339893804</v>
      </c>
      <c r="D2979">
        <v>1.0117673751151</v>
      </c>
      <c r="E2979">
        <v>0.65416140479189799</v>
      </c>
      <c r="F2979">
        <v>0.353679778228699</v>
      </c>
      <c r="G2979">
        <v>0.22142118405108099</v>
      </c>
      <c r="H2979">
        <v>0.15195252329866701</v>
      </c>
      <c r="I2979">
        <v>0.16367374344823701</v>
      </c>
      <c r="J2979">
        <v>0.158394779775031</v>
      </c>
      <c r="K2979">
        <v>0.217645579827176</v>
      </c>
      <c r="L2979">
        <v>1556.31298140078</v>
      </c>
      <c r="M2979">
        <v>30.728987958020198</v>
      </c>
      <c r="N2979">
        <v>51.375492570551998</v>
      </c>
      <c r="O2979">
        <v>50.433375875478397</v>
      </c>
      <c r="P2979">
        <v>-0.12540710529607199</v>
      </c>
      <c r="Q2979">
        <v>0.17671668072612701</v>
      </c>
      <c r="R2979">
        <v>0.991141757519995</v>
      </c>
      <c r="S2979" t="s">
        <v>6811</v>
      </c>
      <c r="T2979" t="s">
        <v>7662</v>
      </c>
      <c r="U2979" t="s">
        <v>7662</v>
      </c>
      <c r="V2979" t="s">
        <v>7662</v>
      </c>
      <c r="W2979">
        <v>6</v>
      </c>
      <c r="X2979" t="s">
        <v>10641</v>
      </c>
      <c r="Y2979">
        <v>0.47378755971232622</v>
      </c>
      <c r="Z2979" t="str">
        <f>HYPERLINK("Melting_Curves/meltCurve_sp_Q9UID3_2_VPS51_HUMAN_.pdf", "Melting_Curves/meltCurve_sp_Q9UID3_2_VPS51_HUMAN_.pdf")</f>
        <v>Melting_Curves/meltCurve_sp_Q9UID3_2_VPS51_HUMAN_.pdf</v>
      </c>
      <c r="AA2979" t="s">
        <v>14434</v>
      </c>
      <c r="AB2979" t="s">
        <v>18218</v>
      </c>
    </row>
    <row r="2980" spans="1:28" x14ac:dyDescent="0.25">
      <c r="A2980" t="s">
        <v>2984</v>
      </c>
      <c r="B2980">
        <v>0.98876768158843997</v>
      </c>
      <c r="C2980">
        <v>1.4607383935035201</v>
      </c>
      <c r="D2980">
        <v>0.90608045958336503</v>
      </c>
      <c r="E2980">
        <v>0.96388922942774002</v>
      </c>
      <c r="F2980">
        <v>1.50130211400342</v>
      </c>
      <c r="G2980">
        <v>1.03198535977487</v>
      </c>
      <c r="H2980">
        <v>0.88667430584556695</v>
      </c>
      <c r="I2980">
        <v>1.20721159983624</v>
      </c>
      <c r="J2980">
        <v>1.6656120896959301</v>
      </c>
      <c r="K2980">
        <v>1.8672404573016601</v>
      </c>
      <c r="L2980">
        <v>15000</v>
      </c>
      <c r="M2980">
        <v>234.02948350769401</v>
      </c>
      <c r="O2980">
        <v>64.089807895652299</v>
      </c>
      <c r="P2980">
        <v>0.45644832544591202</v>
      </c>
      <c r="Q2980">
        <v>1.5</v>
      </c>
      <c r="R2980">
        <v>0.41493548045419598</v>
      </c>
      <c r="S2980" t="s">
        <v>6812</v>
      </c>
      <c r="T2980" t="s">
        <v>7662</v>
      </c>
      <c r="U2980" t="s">
        <v>7662</v>
      </c>
      <c r="V2980" t="s">
        <v>7662</v>
      </c>
      <c r="W2980">
        <v>5</v>
      </c>
      <c r="X2980" t="s">
        <v>10642</v>
      </c>
      <c r="Y2980">
        <v>1.09836101201863</v>
      </c>
      <c r="Z2980" t="str">
        <f>HYPERLINK("Melting_Curves/meltCurve_sp_Q9UII2_ATIF1_HUMAN_.pdf", "Melting_Curves/meltCurve_sp_Q9UII2_ATIF1_HUMAN_.pdf")</f>
        <v>Melting_Curves/meltCurve_sp_Q9UII2_ATIF1_HUMAN_.pdf</v>
      </c>
      <c r="AA2980" t="s">
        <v>14435</v>
      </c>
      <c r="AB2980" t="s">
        <v>18219</v>
      </c>
    </row>
    <row r="2981" spans="1:28" x14ac:dyDescent="0.25">
      <c r="A2981" t="s">
        <v>2985</v>
      </c>
      <c r="B2981">
        <v>0.98876768158843997</v>
      </c>
      <c r="C2981">
        <v>1.15963732404333</v>
      </c>
      <c r="D2981">
        <v>0.83841074806752403</v>
      </c>
      <c r="E2981">
        <v>0.704954109980511</v>
      </c>
      <c r="F2981">
        <v>0.65627422539690605</v>
      </c>
      <c r="G2981">
        <v>0.17464286837808601</v>
      </c>
      <c r="H2981">
        <v>4.1908171644930901E-2</v>
      </c>
      <c r="I2981">
        <v>3.0421634613989501E-2</v>
      </c>
      <c r="J2981">
        <v>3.1810852467590703E-2</v>
      </c>
      <c r="K2981">
        <v>2.7006118811088799E-2</v>
      </c>
      <c r="L2981">
        <v>1006.58327903206</v>
      </c>
      <c r="M2981">
        <v>18.855721228227999</v>
      </c>
      <c r="N2981">
        <v>53.383441196248199</v>
      </c>
      <c r="O2981">
        <v>52.793851134012101</v>
      </c>
      <c r="P2981">
        <v>-8.9293014531867596E-2</v>
      </c>
      <c r="Q2981">
        <v>0</v>
      </c>
      <c r="R2981">
        <v>0.96225713819883096</v>
      </c>
      <c r="S2981" t="s">
        <v>6813</v>
      </c>
      <c r="T2981" t="s">
        <v>7662</v>
      </c>
      <c r="U2981" t="s">
        <v>7662</v>
      </c>
      <c r="V2981" t="s">
        <v>7662</v>
      </c>
      <c r="W2981">
        <v>18</v>
      </c>
      <c r="X2981" t="s">
        <v>10643</v>
      </c>
      <c r="Y2981">
        <v>0.46120815811157823</v>
      </c>
      <c r="Z2981" t="str">
        <f>HYPERLINK("Melting_Curves/meltCurve_sp_Q9UIJ7_KAD3_HUMAN_.pdf", "Melting_Curves/meltCurve_sp_Q9UIJ7_KAD3_HUMAN_.pdf")</f>
        <v>Melting_Curves/meltCurve_sp_Q9UIJ7_KAD3_HUMAN_.pdf</v>
      </c>
      <c r="AA2981" t="s">
        <v>14436</v>
      </c>
      <c r="AB2981" t="s">
        <v>18220</v>
      </c>
    </row>
    <row r="2982" spans="1:28" x14ac:dyDescent="0.25">
      <c r="A2982" t="s">
        <v>2986</v>
      </c>
      <c r="B2982">
        <v>0.98876768158843997</v>
      </c>
      <c r="C2982">
        <v>0.900274730871787</v>
      </c>
      <c r="D2982">
        <v>0.86372329607655896</v>
      </c>
      <c r="E2982">
        <v>0.58003606763194104</v>
      </c>
      <c r="F2982">
        <v>0.30382640160894198</v>
      </c>
      <c r="G2982">
        <v>0.17367783079539401</v>
      </c>
      <c r="H2982">
        <v>0.101846689604507</v>
      </c>
      <c r="I2982">
        <v>4.9987774497493802E-2</v>
      </c>
      <c r="J2982">
        <v>4.5037593414849503E-2</v>
      </c>
      <c r="K2982">
        <v>2.39177319030895E-2</v>
      </c>
      <c r="L2982">
        <v>826.33954916490995</v>
      </c>
      <c r="M2982">
        <v>16.329949089625401</v>
      </c>
      <c r="N2982">
        <v>50.764506998006702</v>
      </c>
      <c r="O2982">
        <v>49.8621118388198</v>
      </c>
      <c r="P2982">
        <v>-7.9805018518611798E-2</v>
      </c>
      <c r="Q2982">
        <v>2.5359240370710402E-2</v>
      </c>
      <c r="R2982">
        <v>0.99598178426861395</v>
      </c>
      <c r="S2982" t="s">
        <v>6814</v>
      </c>
      <c r="T2982" t="s">
        <v>7662</v>
      </c>
      <c r="U2982" t="s">
        <v>7662</v>
      </c>
      <c r="V2982" t="s">
        <v>7662</v>
      </c>
      <c r="W2982">
        <v>2</v>
      </c>
      <c r="X2982" t="s">
        <v>10644</v>
      </c>
      <c r="Y2982">
        <v>0.38949358300315562</v>
      </c>
      <c r="Z2982" t="str">
        <f>HYPERLINK("Melting_Curves/meltCurve_sp_Q9UIX4_KCNG1_HUMAN_.pdf", "Melting_Curves/meltCurve_sp_Q9UIX4_KCNG1_HUMAN_.pdf")</f>
        <v>Melting_Curves/meltCurve_sp_Q9UIX4_KCNG1_HUMAN_.pdf</v>
      </c>
      <c r="AA2982" t="s">
        <v>14437</v>
      </c>
      <c r="AB2982" t="s">
        <v>18221</v>
      </c>
    </row>
    <row r="2983" spans="1:28" x14ac:dyDescent="0.25">
      <c r="A2983" t="s">
        <v>2987</v>
      </c>
      <c r="B2983">
        <v>0.98876768158843997</v>
      </c>
      <c r="C2983">
        <v>0.99638938771712604</v>
      </c>
      <c r="D2983">
        <v>0.98842834755433995</v>
      </c>
      <c r="E2983">
        <v>0.81936995729634798</v>
      </c>
      <c r="F2983">
        <v>0.69540489877938305</v>
      </c>
      <c r="G2983">
        <v>0.322249342065074</v>
      </c>
      <c r="H2983">
        <v>0.108739111546552</v>
      </c>
      <c r="I2983">
        <v>7.5567843156387093E-2</v>
      </c>
      <c r="J2983">
        <v>8.7126846049685194E-2</v>
      </c>
      <c r="K2983">
        <v>6.30996066297346E-2</v>
      </c>
      <c r="L2983">
        <v>1117.6384162193499</v>
      </c>
      <c r="M2983">
        <v>20.498423512884202</v>
      </c>
      <c r="N2983">
        <v>54.764117736324401</v>
      </c>
      <c r="O2983">
        <v>54.012187620029501</v>
      </c>
      <c r="P2983">
        <v>-9.0789715599706597E-2</v>
      </c>
      <c r="Q2983">
        <v>4.3125160608052E-2</v>
      </c>
      <c r="R2983">
        <v>0.99624462067984798</v>
      </c>
      <c r="S2983" t="s">
        <v>6815</v>
      </c>
      <c r="T2983" t="s">
        <v>7662</v>
      </c>
      <c r="U2983" t="s">
        <v>7662</v>
      </c>
      <c r="V2983" t="s">
        <v>7662</v>
      </c>
      <c r="W2983">
        <v>5</v>
      </c>
      <c r="X2983" t="s">
        <v>10645</v>
      </c>
      <c r="Y2983">
        <v>0.51874755269888639</v>
      </c>
      <c r="Z2983" t="str">
        <f>HYPERLINK("Melting_Curves/meltCurve_sp_Q9UJ41_2_RABX5_HUMAN_.pdf", "Melting_Curves/meltCurve_sp_Q9UJ41_2_RABX5_HUMAN_.pdf")</f>
        <v>Melting_Curves/meltCurve_sp_Q9UJ41_2_RABX5_HUMAN_.pdf</v>
      </c>
      <c r="AA2983" t="s">
        <v>14438</v>
      </c>
      <c r="AB2983" t="s">
        <v>18222</v>
      </c>
    </row>
    <row r="2984" spans="1:28" x14ac:dyDescent="0.25">
      <c r="A2984" t="s">
        <v>2988</v>
      </c>
      <c r="B2984">
        <v>0.98876768158843997</v>
      </c>
      <c r="C2984">
        <v>1.17121189480734</v>
      </c>
      <c r="D2984">
        <v>0.76745463594011998</v>
      </c>
      <c r="E2984">
        <v>0.48227728167870498</v>
      </c>
      <c r="F2984">
        <v>0.25208872366392598</v>
      </c>
      <c r="G2984">
        <v>0.11390340834929701</v>
      </c>
      <c r="H2984">
        <v>6.61622327318106E-2</v>
      </c>
      <c r="I2984">
        <v>6.1686651917102299E-2</v>
      </c>
      <c r="J2984">
        <v>7.6710714754518794E-2</v>
      </c>
      <c r="K2984">
        <v>7.5729412339044594E-2</v>
      </c>
      <c r="L2984">
        <v>1100.79556320336</v>
      </c>
      <c r="M2984">
        <v>22.2826674033271</v>
      </c>
      <c r="N2984">
        <v>49.725925889279601</v>
      </c>
      <c r="O2984">
        <v>49.008727762728597</v>
      </c>
      <c r="P2984">
        <v>-0.105977699775025</v>
      </c>
      <c r="Q2984">
        <v>6.76664383391683E-2</v>
      </c>
      <c r="R2984">
        <v>0.97017358670898901</v>
      </c>
      <c r="S2984" t="s">
        <v>6816</v>
      </c>
      <c r="T2984" t="s">
        <v>7662</v>
      </c>
      <c r="U2984" t="s">
        <v>7662</v>
      </c>
      <c r="V2984" t="s">
        <v>7662</v>
      </c>
      <c r="W2984">
        <v>8</v>
      </c>
      <c r="X2984" t="s">
        <v>10646</v>
      </c>
      <c r="Y2984">
        <v>0.37031379792611058</v>
      </c>
      <c r="Z2984" t="str">
        <f>HYPERLINK("Melting_Curves/meltCurve_sp_Q9UJ68_5_MSRA_HUMAN_.pdf", "Melting_Curves/meltCurve_sp_Q9UJ68_5_MSRA_HUMAN_.pdf")</f>
        <v>Melting_Curves/meltCurve_sp_Q9UJ68_5_MSRA_HUMAN_.pdf</v>
      </c>
      <c r="AA2984" t="s">
        <v>14439</v>
      </c>
      <c r="AB2984" t="s">
        <v>18223</v>
      </c>
    </row>
    <row r="2985" spans="1:28" x14ac:dyDescent="0.25">
      <c r="A2985" t="s">
        <v>2989</v>
      </c>
      <c r="B2985">
        <v>0.98876768158843997</v>
      </c>
      <c r="C2985">
        <v>0.99082931061340596</v>
      </c>
      <c r="D2985">
        <v>0.91240885486043499</v>
      </c>
      <c r="E2985">
        <v>0.87528917694850505</v>
      </c>
      <c r="F2985">
        <v>0.80067644538847804</v>
      </c>
      <c r="G2985">
        <v>0.46950152106944598</v>
      </c>
      <c r="H2985">
        <v>0.16130069896251001</v>
      </c>
      <c r="I2985">
        <v>0.104754708423496</v>
      </c>
      <c r="J2985">
        <v>0.100063174965804</v>
      </c>
      <c r="K2985">
        <v>0.11598718884625001</v>
      </c>
      <c r="L2985">
        <v>1171.00285205368</v>
      </c>
      <c r="M2985">
        <v>20.9362053315885</v>
      </c>
      <c r="N2985">
        <v>56.310279759000601</v>
      </c>
      <c r="O2985">
        <v>55.429167254965797</v>
      </c>
      <c r="P2985">
        <v>-8.8234495455838197E-2</v>
      </c>
      <c r="Q2985">
        <v>6.5612579187657505E-2</v>
      </c>
      <c r="R2985">
        <v>0.99014263668396596</v>
      </c>
      <c r="S2985" t="s">
        <v>6817</v>
      </c>
      <c r="T2985" t="s">
        <v>7662</v>
      </c>
      <c r="U2985" t="s">
        <v>7662</v>
      </c>
      <c r="V2985" t="s">
        <v>7662</v>
      </c>
      <c r="W2985">
        <v>6</v>
      </c>
      <c r="X2985" t="s">
        <v>10647</v>
      </c>
      <c r="Y2985">
        <v>0.57315161026605332</v>
      </c>
      <c r="Z2985" t="str">
        <f>HYPERLINK("Melting_Curves/meltCurve_sp_Q9UJ70_NAGK_HUMAN_.pdf", "Melting_Curves/meltCurve_sp_Q9UJ70_NAGK_HUMAN_.pdf")</f>
        <v>Melting_Curves/meltCurve_sp_Q9UJ70_NAGK_HUMAN_.pdf</v>
      </c>
      <c r="AA2985" t="s">
        <v>14440</v>
      </c>
      <c r="AB2985" t="s">
        <v>18224</v>
      </c>
    </row>
    <row r="2986" spans="1:28" x14ac:dyDescent="0.25">
      <c r="A2986" t="s">
        <v>2990</v>
      </c>
      <c r="B2986">
        <v>0.98876768158843997</v>
      </c>
      <c r="C2986">
        <v>0.96834011866244296</v>
      </c>
      <c r="D2986">
        <v>1.0937102107469101</v>
      </c>
      <c r="E2986">
        <v>0.926293419910035</v>
      </c>
      <c r="F2986">
        <v>0.60695032083481004</v>
      </c>
      <c r="G2986">
        <v>0.32099393672105703</v>
      </c>
      <c r="H2986">
        <v>0.152531285287172</v>
      </c>
      <c r="I2986">
        <v>0.114709011089643</v>
      </c>
      <c r="J2986">
        <v>0.16869064408883699</v>
      </c>
      <c r="K2986">
        <v>8.3853422962590796E-2</v>
      </c>
      <c r="L2986">
        <v>1422.94520288893</v>
      </c>
      <c r="M2986">
        <v>26.4489513462741</v>
      </c>
      <c r="N2986">
        <v>54.367903168349102</v>
      </c>
      <c r="O2986">
        <v>53.494965933386801</v>
      </c>
      <c r="P2986">
        <v>-0.108680022240865</v>
      </c>
      <c r="Q2986">
        <v>0.1207559709426</v>
      </c>
      <c r="R2986">
        <v>0.98759514291780204</v>
      </c>
      <c r="S2986" t="s">
        <v>6818</v>
      </c>
      <c r="T2986" t="s">
        <v>7662</v>
      </c>
      <c r="U2986" t="s">
        <v>7662</v>
      </c>
      <c r="V2986" t="s">
        <v>7662</v>
      </c>
      <c r="W2986">
        <v>3</v>
      </c>
      <c r="X2986" t="s">
        <v>10648</v>
      </c>
      <c r="Y2986">
        <v>0.53252402482039118</v>
      </c>
      <c r="Z2986" t="str">
        <f>HYPERLINK("Melting_Curves/meltCurve_sp_Q9UJA5_2_TRM6_HUMAN_.pdf", "Melting_Curves/meltCurve_sp_Q9UJA5_2_TRM6_HUMAN_.pdf")</f>
        <v>Melting_Curves/meltCurve_sp_Q9UJA5_2_TRM6_HUMAN_.pdf</v>
      </c>
      <c r="AA2986" t="s">
        <v>14441</v>
      </c>
      <c r="AB2986" t="s">
        <v>18225</v>
      </c>
    </row>
    <row r="2987" spans="1:28" x14ac:dyDescent="0.25">
      <c r="A2987" t="s">
        <v>2991</v>
      </c>
      <c r="B2987">
        <v>0.98876768158843997</v>
      </c>
      <c r="C2987">
        <v>1.19644252015025</v>
      </c>
      <c r="D2987">
        <v>0.87470022058123797</v>
      </c>
      <c r="E2987">
        <v>0.74315322116520799</v>
      </c>
      <c r="F2987">
        <v>0.95259200465500404</v>
      </c>
      <c r="G2987">
        <v>0.62666586933814705</v>
      </c>
      <c r="H2987">
        <v>0.34939822571761803</v>
      </c>
      <c r="I2987">
        <v>0.20006500210976999</v>
      </c>
      <c r="J2987">
        <v>0.109114983636849</v>
      </c>
      <c r="K2987">
        <v>9.1883660411320497E-2</v>
      </c>
      <c r="L2987">
        <v>902.36344989506597</v>
      </c>
      <c r="M2987">
        <v>15.375447088316299</v>
      </c>
      <c r="N2987">
        <v>58.688599465219902</v>
      </c>
      <c r="O2987">
        <v>57.722690196489403</v>
      </c>
      <c r="P2987">
        <v>-6.6597959969245002E-2</v>
      </c>
      <c r="Q2987">
        <v>0</v>
      </c>
      <c r="R2987">
        <v>0.92849794035220101</v>
      </c>
      <c r="S2987" t="s">
        <v>6819</v>
      </c>
      <c r="T2987" t="s">
        <v>7662</v>
      </c>
      <c r="U2987" t="s">
        <v>7662</v>
      </c>
      <c r="V2987" t="s">
        <v>7662</v>
      </c>
      <c r="W2987">
        <v>3</v>
      </c>
      <c r="X2987" t="s">
        <v>10649</v>
      </c>
      <c r="Y2987">
        <v>0.63446935217815426</v>
      </c>
      <c r="Z2987" t="str">
        <f>HYPERLINK("Melting_Curves/meltCurve_sp_Q9UJC5_SH3L2_HUMAN_.pdf", "Melting_Curves/meltCurve_sp_Q9UJC5_SH3L2_HUMAN_.pdf")</f>
        <v>Melting_Curves/meltCurve_sp_Q9UJC5_SH3L2_HUMAN_.pdf</v>
      </c>
      <c r="AA2987" t="s">
        <v>14442</v>
      </c>
      <c r="AB2987" t="s">
        <v>18226</v>
      </c>
    </row>
    <row r="2988" spans="1:28" x14ac:dyDescent="0.25">
      <c r="A2988" t="s">
        <v>2992</v>
      </c>
      <c r="B2988">
        <v>0.98876768158843997</v>
      </c>
      <c r="C2988">
        <v>1.2867400971513601</v>
      </c>
      <c r="D2988">
        <v>1.02312297298356</v>
      </c>
      <c r="E2988">
        <v>1.0324238761162701</v>
      </c>
      <c r="F2988">
        <v>0.84034150768488902</v>
      </c>
      <c r="G2988">
        <v>0.55237171693368703</v>
      </c>
      <c r="H2988">
        <v>0.273920706504997</v>
      </c>
      <c r="I2988">
        <v>0.47042918501393899</v>
      </c>
      <c r="J2988">
        <v>0.79815296157245796</v>
      </c>
      <c r="K2988">
        <v>0.32267927199241397</v>
      </c>
      <c r="L2988">
        <v>2506.39165816786</v>
      </c>
      <c r="M2988">
        <v>46.3361130163374</v>
      </c>
      <c r="N2988">
        <v>57.722284120454503</v>
      </c>
      <c r="O2988">
        <v>53.991076393883297</v>
      </c>
      <c r="P2988">
        <v>-0.113094923741205</v>
      </c>
      <c r="Q2988">
        <v>0.47288546885919103</v>
      </c>
      <c r="R2988">
        <v>0.75358662388548903</v>
      </c>
      <c r="S2988" t="s">
        <v>6820</v>
      </c>
      <c r="T2988" t="s">
        <v>7662</v>
      </c>
      <c r="U2988" t="s">
        <v>7662</v>
      </c>
      <c r="V2988" t="s">
        <v>7662</v>
      </c>
      <c r="W2988">
        <v>3</v>
      </c>
      <c r="X2988" t="s">
        <v>10650</v>
      </c>
      <c r="Y2988">
        <v>0.72194547692843436</v>
      </c>
      <c r="Z2988" t="str">
        <f>HYPERLINK("Melting_Curves/meltCurve_sp_Q9UJM3_ERRFI_HUMAN_.pdf", "Melting_Curves/meltCurve_sp_Q9UJM3_ERRFI_HUMAN_.pdf")</f>
        <v>Melting_Curves/meltCurve_sp_Q9UJM3_ERRFI_HUMAN_.pdf</v>
      </c>
      <c r="AA2988" t="s">
        <v>14443</v>
      </c>
      <c r="AB2988" t="s">
        <v>18227</v>
      </c>
    </row>
    <row r="2989" spans="1:28" x14ac:dyDescent="0.25">
      <c r="A2989" t="s">
        <v>2993</v>
      </c>
      <c r="B2989">
        <v>0.98876768158843997</v>
      </c>
      <c r="C2989">
        <v>0.90557525508988401</v>
      </c>
      <c r="D2989">
        <v>1.03774585087155</v>
      </c>
      <c r="E2989">
        <v>0.88948160964427903</v>
      </c>
      <c r="F2989">
        <v>0.221486595910105</v>
      </c>
      <c r="G2989">
        <v>0.101680146545593</v>
      </c>
      <c r="H2989">
        <v>5.1743109996859799E-2</v>
      </c>
      <c r="I2989">
        <v>4.38251382538438E-2</v>
      </c>
      <c r="J2989">
        <v>4.0712549365143E-2</v>
      </c>
      <c r="K2989">
        <v>3.2005051708653899E-2</v>
      </c>
      <c r="L2989">
        <v>3114.9205212648799</v>
      </c>
      <c r="M2989">
        <v>60.287137981927998</v>
      </c>
      <c r="N2989">
        <v>51.764202378847301</v>
      </c>
      <c r="O2989">
        <v>51.611299842673297</v>
      </c>
      <c r="P2989">
        <v>-0.27656036378208299</v>
      </c>
      <c r="Q2989">
        <v>5.2956257282859701E-2</v>
      </c>
      <c r="R2989">
        <v>0.992924422006352</v>
      </c>
      <c r="S2989" t="s">
        <v>6821</v>
      </c>
      <c r="T2989" t="s">
        <v>7662</v>
      </c>
      <c r="U2989" t="s">
        <v>7662</v>
      </c>
      <c r="V2989" t="s">
        <v>7662</v>
      </c>
      <c r="W2989">
        <v>24</v>
      </c>
      <c r="X2989" t="s">
        <v>10651</v>
      </c>
      <c r="Y2989">
        <v>0.42277762745249842</v>
      </c>
      <c r="Z2989" t="str">
        <f>HYPERLINK("Melting_Curves/meltCurve_sp_Q9UJM8_HAOX1_HUMAN_.pdf", "Melting_Curves/meltCurve_sp_Q9UJM8_HAOX1_HUMAN_.pdf")</f>
        <v>Melting_Curves/meltCurve_sp_Q9UJM8_HAOX1_HUMAN_.pdf</v>
      </c>
      <c r="AA2989" t="s">
        <v>14444</v>
      </c>
      <c r="AB2989" t="s">
        <v>18228</v>
      </c>
    </row>
    <row r="2990" spans="1:28" x14ac:dyDescent="0.25">
      <c r="A2990" t="s">
        <v>2994</v>
      </c>
      <c r="B2990">
        <v>0.98876768158843997</v>
      </c>
      <c r="C2990">
        <v>1.1570298565057899</v>
      </c>
      <c r="D2990">
        <v>0.85752444360745295</v>
      </c>
      <c r="E2990">
        <v>0.75169115020388899</v>
      </c>
      <c r="F2990">
        <v>0.89103752594425001</v>
      </c>
      <c r="G2990">
        <v>0.60460558445134505</v>
      </c>
      <c r="H2990">
        <v>0.50308015007515405</v>
      </c>
      <c r="I2990">
        <v>0.62112604011329697</v>
      </c>
      <c r="J2990">
        <v>0.76518649621374801</v>
      </c>
      <c r="K2990">
        <v>0.93598116801507303</v>
      </c>
      <c r="L2990">
        <v>11496.7829599328</v>
      </c>
      <c r="M2990">
        <v>250</v>
      </c>
      <c r="O2990">
        <v>45.984188987905902</v>
      </c>
      <c r="P2990">
        <v>-0.37421478316092599</v>
      </c>
      <c r="Q2990">
        <v>0.724672587464951</v>
      </c>
      <c r="R2990">
        <v>0.50993502630602605</v>
      </c>
      <c r="S2990" t="s">
        <v>6822</v>
      </c>
      <c r="T2990" t="s">
        <v>7662</v>
      </c>
      <c r="U2990" t="s">
        <v>7662</v>
      </c>
      <c r="V2990" t="s">
        <v>7662</v>
      </c>
      <c r="W2990">
        <v>17</v>
      </c>
      <c r="X2990" t="s">
        <v>10652</v>
      </c>
      <c r="Y2990">
        <v>0.77964219216333142</v>
      </c>
      <c r="Z2990" t="str">
        <f>HYPERLINK("Melting_Curves/meltCurve_sp_Q9UJU6_DBNL_HUMAN_.pdf", "Melting_Curves/meltCurve_sp_Q9UJU6_DBNL_HUMAN_.pdf")</f>
        <v>Melting_Curves/meltCurve_sp_Q9UJU6_DBNL_HUMAN_.pdf</v>
      </c>
      <c r="AA2990" t="s">
        <v>14445</v>
      </c>
      <c r="AB2990" t="s">
        <v>18229</v>
      </c>
    </row>
    <row r="2991" spans="1:28" x14ac:dyDescent="0.25">
      <c r="A2991" t="s">
        <v>2995</v>
      </c>
      <c r="B2991">
        <v>0.98876768158843997</v>
      </c>
      <c r="C2991">
        <v>0.92706058912650602</v>
      </c>
      <c r="D2991">
        <v>1.07476061570307</v>
      </c>
      <c r="E2991">
        <v>0.69253868315384703</v>
      </c>
      <c r="F2991">
        <v>0.53312515156019402</v>
      </c>
      <c r="G2991">
        <v>0.44664757046777298</v>
      </c>
      <c r="H2991">
        <v>0.36304700108663002</v>
      </c>
      <c r="I2991">
        <v>0.266908444944849</v>
      </c>
      <c r="J2991">
        <v>0.118479855441849</v>
      </c>
      <c r="K2991">
        <v>0.10196624140322599</v>
      </c>
      <c r="L2991">
        <v>598.88700029312304</v>
      </c>
      <c r="M2991">
        <v>10.908623622319899</v>
      </c>
      <c r="N2991">
        <v>55.4512173560706</v>
      </c>
      <c r="O2991">
        <v>53.152051220349797</v>
      </c>
      <c r="P2991">
        <v>-4.86906327444609E-2</v>
      </c>
      <c r="Q2991">
        <v>5.1353953116796303E-2</v>
      </c>
      <c r="R2991">
        <v>0.95180434599084396</v>
      </c>
      <c r="S2991" t="s">
        <v>6823</v>
      </c>
      <c r="T2991" t="s">
        <v>7662</v>
      </c>
      <c r="U2991" t="s">
        <v>7662</v>
      </c>
      <c r="V2991" t="s">
        <v>7662</v>
      </c>
      <c r="W2991">
        <v>6</v>
      </c>
      <c r="X2991" t="s">
        <v>10653</v>
      </c>
      <c r="Y2991">
        <v>0.54645135148765944</v>
      </c>
      <c r="Z2991" t="str">
        <f>HYPERLINK("Melting_Curves/meltCurve_sp_Q9UJW0_DCTN4_HUMAN_.pdf", "Melting_Curves/meltCurve_sp_Q9UJW0_DCTN4_HUMAN_.pdf")</f>
        <v>Melting_Curves/meltCurve_sp_Q9UJW0_DCTN4_HUMAN_.pdf</v>
      </c>
      <c r="AA2991" t="s">
        <v>14446</v>
      </c>
      <c r="AB2991" t="s">
        <v>18230</v>
      </c>
    </row>
    <row r="2992" spans="1:28" x14ac:dyDescent="0.25">
      <c r="A2992" t="s">
        <v>2996</v>
      </c>
      <c r="B2992">
        <v>0.98876768158843997</v>
      </c>
      <c r="C2992">
        <v>0.91675284821466796</v>
      </c>
      <c r="D2992">
        <v>0.85115501805972005</v>
      </c>
      <c r="E2992">
        <v>0.57591923602536299</v>
      </c>
      <c r="F2992">
        <v>0.55842392203425995</v>
      </c>
      <c r="G2992">
        <v>0.28825425972899898</v>
      </c>
      <c r="H2992">
        <v>0.16459997505913601</v>
      </c>
      <c r="I2992">
        <v>0.17204768438277901</v>
      </c>
      <c r="J2992">
        <v>0.228450028052293</v>
      </c>
      <c r="K2992">
        <v>0.20901610151151601</v>
      </c>
      <c r="L2992">
        <v>697.521119636295</v>
      </c>
      <c r="M2992">
        <v>13.706006718207901</v>
      </c>
      <c r="N2992">
        <v>52.306248880909401</v>
      </c>
      <c r="O2992">
        <v>49.844957746758098</v>
      </c>
      <c r="P2992">
        <v>-5.8105590222124498E-2</v>
      </c>
      <c r="Q2992">
        <v>0.15486577717518599</v>
      </c>
      <c r="R2992">
        <v>0.977628268712189</v>
      </c>
      <c r="S2992" t="s">
        <v>6824</v>
      </c>
      <c r="T2992" t="s">
        <v>7662</v>
      </c>
      <c r="U2992" t="s">
        <v>7662</v>
      </c>
      <c r="V2992" t="s">
        <v>7662</v>
      </c>
      <c r="W2992">
        <v>3</v>
      </c>
      <c r="X2992" t="s">
        <v>10654</v>
      </c>
      <c r="Y2992">
        <v>0.48438209949849897</v>
      </c>
      <c r="Z2992" t="str">
        <f>HYPERLINK("Melting_Curves/meltCurve_sp_Q9UJY5_4_GGA1_HUMAN_.pdf", "Melting_Curves/meltCurve_sp_Q9UJY5_4_GGA1_HUMAN_.pdf")</f>
        <v>Melting_Curves/meltCurve_sp_Q9UJY5_4_GGA1_HUMAN_.pdf</v>
      </c>
      <c r="AA2992" t="s">
        <v>14447</v>
      </c>
      <c r="AB2992" t="s">
        <v>18231</v>
      </c>
    </row>
    <row r="2993" spans="1:28" x14ac:dyDescent="0.25">
      <c r="A2993" t="s">
        <v>2997</v>
      </c>
      <c r="B2993">
        <v>0.98876768158843997</v>
      </c>
      <c r="C2993">
        <v>0.90438987114498104</v>
      </c>
      <c r="D2993">
        <v>0.88502795524677802</v>
      </c>
      <c r="E2993">
        <v>0.62524431446131301</v>
      </c>
      <c r="F2993">
        <v>0.237877222083129</v>
      </c>
      <c r="G2993">
        <v>0.136177883687495</v>
      </c>
      <c r="H2993">
        <v>8.0093817705566506E-2</v>
      </c>
      <c r="I2993">
        <v>7.5351742251652198E-2</v>
      </c>
      <c r="J2993">
        <v>6.4853805931513298E-2</v>
      </c>
      <c r="K2993">
        <v>3.3281252712319402E-2</v>
      </c>
      <c r="L2993">
        <v>1146.6796644552701</v>
      </c>
      <c r="M2993">
        <v>22.7252078785775</v>
      </c>
      <c r="N2993">
        <v>50.713824608390503</v>
      </c>
      <c r="O2993">
        <v>50.072641089016301</v>
      </c>
      <c r="P2993">
        <v>-0.10732991943782</v>
      </c>
      <c r="Q2993">
        <v>5.4057175140693497E-2</v>
      </c>
      <c r="R2993">
        <v>0.99084976619620901</v>
      </c>
      <c r="S2993" t="s">
        <v>6825</v>
      </c>
      <c r="T2993" t="s">
        <v>7662</v>
      </c>
      <c r="U2993" t="s">
        <v>7662</v>
      </c>
      <c r="V2993" t="s">
        <v>7662</v>
      </c>
      <c r="W2993">
        <v>3</v>
      </c>
      <c r="X2993" t="s">
        <v>10655</v>
      </c>
      <c r="Y2993">
        <v>0.3940889122804323</v>
      </c>
      <c r="Z2993" t="str">
        <f>HYPERLINK("Melting_Curves/meltCurve_sp_Q9UK22_FBX2_HUMAN_.pdf", "Melting_Curves/meltCurve_sp_Q9UK22_FBX2_HUMAN_.pdf")</f>
        <v>Melting_Curves/meltCurve_sp_Q9UK22_FBX2_HUMAN_.pdf</v>
      </c>
      <c r="AA2993" t="s">
        <v>14448</v>
      </c>
      <c r="AB2993" t="s">
        <v>18232</v>
      </c>
    </row>
    <row r="2994" spans="1:28" x14ac:dyDescent="0.25">
      <c r="A2994" t="s">
        <v>2998</v>
      </c>
      <c r="B2994">
        <v>0.98876768158843997</v>
      </c>
      <c r="C2994">
        <v>0.92642766739677895</v>
      </c>
      <c r="D2994">
        <v>0.93280409134293896</v>
      </c>
      <c r="E2994">
        <v>0.52332738175513904</v>
      </c>
      <c r="F2994">
        <v>0.39137842773586001</v>
      </c>
      <c r="G2994">
        <v>0.22261472434208099</v>
      </c>
      <c r="H2994">
        <v>0.116096487828985</v>
      </c>
      <c r="I2994">
        <v>0.13843012986380299</v>
      </c>
      <c r="J2994">
        <v>0.188901071344592</v>
      </c>
      <c r="K2994">
        <v>0.20228832044953601</v>
      </c>
      <c r="L2994">
        <v>1072.19017845435</v>
      </c>
      <c r="M2994">
        <v>21.492446307182501</v>
      </c>
      <c r="N2994">
        <v>50.803384661483598</v>
      </c>
      <c r="O2994">
        <v>49.460979908341002</v>
      </c>
      <c r="P2994">
        <v>-9.1177191207359495E-2</v>
      </c>
      <c r="Q2994">
        <v>0.16070925958350299</v>
      </c>
      <c r="R2994">
        <v>0.98596453534510298</v>
      </c>
      <c r="S2994" t="s">
        <v>6826</v>
      </c>
      <c r="T2994" t="s">
        <v>7662</v>
      </c>
      <c r="U2994" t="s">
        <v>7662</v>
      </c>
      <c r="V2994" t="s">
        <v>7662</v>
      </c>
      <c r="W2994">
        <v>1</v>
      </c>
      <c r="X2994" t="s">
        <v>10656</v>
      </c>
      <c r="Y2994">
        <v>0.44744904263683011</v>
      </c>
      <c r="Z2994" t="str">
        <f>HYPERLINK("Melting_Curves/meltCurve_sp_Q9UK41_VPS28_HUMAN_.pdf", "Melting_Curves/meltCurve_sp_Q9UK41_VPS28_HUMAN_.pdf")</f>
        <v>Melting_Curves/meltCurve_sp_Q9UK41_VPS28_HUMAN_.pdf</v>
      </c>
      <c r="AA2994" t="s">
        <v>14449</v>
      </c>
      <c r="AB2994" t="s">
        <v>18233</v>
      </c>
    </row>
    <row r="2995" spans="1:28" x14ac:dyDescent="0.25">
      <c r="A2995" t="s">
        <v>2999</v>
      </c>
      <c r="B2995">
        <v>0.98876768158843997</v>
      </c>
      <c r="C2995">
        <v>0.95922502367301699</v>
      </c>
      <c r="D2995">
        <v>0.94021190353287099</v>
      </c>
      <c r="E2995">
        <v>0.86181386887770195</v>
      </c>
      <c r="F2995">
        <v>0.83662179761192101</v>
      </c>
      <c r="G2995">
        <v>0.70212392709498295</v>
      </c>
      <c r="H2995">
        <v>0.618004423546064</v>
      </c>
      <c r="I2995">
        <v>0.69231230676534095</v>
      </c>
      <c r="J2995">
        <v>0.95400733001904003</v>
      </c>
      <c r="K2995">
        <v>0.90263981925955095</v>
      </c>
      <c r="L2995">
        <v>1084.87637120353</v>
      </c>
      <c r="M2995">
        <v>22.4983202511055</v>
      </c>
      <c r="O2995">
        <v>47.844215585249103</v>
      </c>
      <c r="P2995">
        <v>-2.5919923674422401E-2</v>
      </c>
      <c r="Q2995">
        <v>0.77952255319063002</v>
      </c>
      <c r="R2995">
        <v>0.42030649625467698</v>
      </c>
      <c r="S2995" t="s">
        <v>6827</v>
      </c>
      <c r="T2995" t="s">
        <v>7662</v>
      </c>
      <c r="U2995" t="s">
        <v>7662</v>
      </c>
      <c r="V2995" t="s">
        <v>7662</v>
      </c>
      <c r="W2995">
        <v>1</v>
      </c>
      <c r="X2995" t="s">
        <v>10657</v>
      </c>
      <c r="Y2995">
        <v>0.84236998386588124</v>
      </c>
      <c r="Z2995" t="str">
        <f>HYPERLINK("Melting_Curves/meltCurve_sp_Q9UK45_LSM7_HUMAN_.pdf", "Melting_Curves/meltCurve_sp_Q9UK45_LSM7_HUMAN_.pdf")</f>
        <v>Melting_Curves/meltCurve_sp_Q9UK45_LSM7_HUMAN_.pdf</v>
      </c>
      <c r="AA2995" t="s">
        <v>14450</v>
      </c>
      <c r="AB2995" t="s">
        <v>18234</v>
      </c>
    </row>
    <row r="2996" spans="1:28" x14ac:dyDescent="0.25">
      <c r="A2996" t="s">
        <v>3000</v>
      </c>
      <c r="B2996">
        <v>0.98876768158843997</v>
      </c>
      <c r="C2996">
        <v>1.05584048601467</v>
      </c>
      <c r="D2996">
        <v>0.836347153403876</v>
      </c>
      <c r="E2996">
        <v>0.71861376844813996</v>
      </c>
      <c r="F2996">
        <v>0.58386956647667398</v>
      </c>
      <c r="G2996">
        <v>0.29125393889697299</v>
      </c>
      <c r="H2996">
        <v>0.12634139720902801</v>
      </c>
      <c r="I2996">
        <v>0.124762770683085</v>
      </c>
      <c r="J2996">
        <v>0.13919730211029199</v>
      </c>
      <c r="K2996">
        <v>0.14549107449617099</v>
      </c>
      <c r="L2996">
        <v>835.78183614050999</v>
      </c>
      <c r="M2996">
        <v>15.848934132040201</v>
      </c>
      <c r="N2996">
        <v>53.398418817224702</v>
      </c>
      <c r="O2996">
        <v>51.916134330623898</v>
      </c>
      <c r="P2996">
        <v>-6.94982635975612E-2</v>
      </c>
      <c r="Q2996">
        <v>8.9456133064480206E-2</v>
      </c>
      <c r="R2996">
        <v>0.98289961155904104</v>
      </c>
      <c r="S2996" t="s">
        <v>6828</v>
      </c>
      <c r="T2996" t="s">
        <v>7662</v>
      </c>
      <c r="U2996" t="s">
        <v>7662</v>
      </c>
      <c r="V2996" t="s">
        <v>7662</v>
      </c>
      <c r="W2996">
        <v>2</v>
      </c>
      <c r="X2996" t="s">
        <v>10658</v>
      </c>
      <c r="Y2996">
        <v>0.49423696479247342</v>
      </c>
      <c r="Z2996" t="str">
        <f>HYPERLINK("Melting_Curves/meltCurve_sp_Q9UK59_DBR1_HUMAN_.pdf", "Melting_Curves/meltCurve_sp_Q9UK59_DBR1_HUMAN_.pdf")</f>
        <v>Melting_Curves/meltCurve_sp_Q9UK59_DBR1_HUMAN_.pdf</v>
      </c>
      <c r="AA2996" t="s">
        <v>14451</v>
      </c>
      <c r="AB2996" t="s">
        <v>18235</v>
      </c>
    </row>
    <row r="2997" spans="1:28" x14ac:dyDescent="0.25">
      <c r="A2997" t="s">
        <v>3001</v>
      </c>
      <c r="B2997">
        <v>0.98876768158843997</v>
      </c>
      <c r="C2997">
        <v>0.94654361856674096</v>
      </c>
      <c r="D2997">
        <v>0.82383100414544796</v>
      </c>
      <c r="E2997">
        <v>0.73969539770016102</v>
      </c>
      <c r="F2997">
        <v>0.46010572890199197</v>
      </c>
      <c r="G2997">
        <v>0.20028062084333301</v>
      </c>
      <c r="H2997">
        <v>7.4680144579216998E-2</v>
      </c>
      <c r="I2997">
        <v>9.2326587157203002E-2</v>
      </c>
      <c r="J2997">
        <v>7.6733464620844294E-2</v>
      </c>
      <c r="K2997">
        <v>5.9104786393137099E-2</v>
      </c>
      <c r="L2997">
        <v>845.04098474519105</v>
      </c>
      <c r="M2997">
        <v>16.1914529145401</v>
      </c>
      <c r="N2997">
        <v>52.395753849584104</v>
      </c>
      <c r="O2997">
        <v>51.413924954432701</v>
      </c>
      <c r="P2997">
        <v>-7.6317927374121103E-2</v>
      </c>
      <c r="Q2997">
        <v>3.07205407171585E-2</v>
      </c>
      <c r="R2997">
        <v>0.99027136362505697</v>
      </c>
      <c r="S2997" t="s">
        <v>6829</v>
      </c>
      <c r="T2997" t="s">
        <v>7662</v>
      </c>
      <c r="U2997" t="s">
        <v>7662</v>
      </c>
      <c r="V2997" t="s">
        <v>7662</v>
      </c>
      <c r="W2997">
        <v>4</v>
      </c>
      <c r="X2997" t="s">
        <v>10659</v>
      </c>
      <c r="Y2997">
        <v>0.44371774295986649</v>
      </c>
      <c r="Z2997" t="str">
        <f>HYPERLINK("Melting_Curves/meltCurve_sp_Q9UK99_2_FBX3_HUMAN_.pdf", "Melting_Curves/meltCurve_sp_Q9UK99_2_FBX3_HUMAN_.pdf")</f>
        <v>Melting_Curves/meltCurve_sp_Q9UK99_2_FBX3_HUMAN_.pdf</v>
      </c>
      <c r="AA2997" t="s">
        <v>14452</v>
      </c>
      <c r="AB2997" t="s">
        <v>18236</v>
      </c>
    </row>
    <row r="2998" spans="1:28" x14ac:dyDescent="0.25">
      <c r="A2998" t="s">
        <v>3002</v>
      </c>
      <c r="B2998">
        <v>0.98876768158843997</v>
      </c>
      <c r="C2998">
        <v>1.21646273195704</v>
      </c>
      <c r="D2998">
        <v>0.90513279971169602</v>
      </c>
      <c r="E2998">
        <v>0.62323705780207195</v>
      </c>
      <c r="F2998">
        <v>0.73024955113481305</v>
      </c>
      <c r="G2998">
        <v>0.55408873219904498</v>
      </c>
      <c r="H2998">
        <v>0.37271918543802202</v>
      </c>
      <c r="I2998">
        <v>0.40532950182441801</v>
      </c>
      <c r="J2998">
        <v>0.42083035322038598</v>
      </c>
      <c r="K2998">
        <v>0.63265070510337895</v>
      </c>
      <c r="L2998">
        <v>1014.96305810616</v>
      </c>
      <c r="M2998">
        <v>20.300501066455698</v>
      </c>
      <c r="N2998">
        <v>58.498150430537699</v>
      </c>
      <c r="O2998">
        <v>49.519375724071601</v>
      </c>
      <c r="P2998">
        <v>-5.3927144024909703E-2</v>
      </c>
      <c r="Q2998">
        <v>0.47383435508212202</v>
      </c>
      <c r="R2998">
        <v>0.80837200574330403</v>
      </c>
      <c r="S2998" t="s">
        <v>6830</v>
      </c>
      <c r="T2998" t="s">
        <v>7662</v>
      </c>
      <c r="U2998" t="s">
        <v>7662</v>
      </c>
      <c r="V2998" t="s">
        <v>7662</v>
      </c>
      <c r="W2998">
        <v>1</v>
      </c>
      <c r="X2998" t="s">
        <v>10660</v>
      </c>
      <c r="Y2998">
        <v>0.65628397325346488</v>
      </c>
      <c r="Z2998" t="str">
        <f>HYPERLINK("Melting_Curves/meltCurve_sp_Q9UKB3_2_DJC12_HUMAN_.pdf", "Melting_Curves/meltCurve_sp_Q9UKB3_2_DJC12_HUMAN_.pdf")</f>
        <v>Melting_Curves/meltCurve_sp_Q9UKB3_2_DJC12_HUMAN_.pdf</v>
      </c>
      <c r="AA2998" t="s">
        <v>14453</v>
      </c>
      <c r="AB2998" t="s">
        <v>18237</v>
      </c>
    </row>
    <row r="2999" spans="1:28" x14ac:dyDescent="0.25">
      <c r="A2999" t="s">
        <v>3003</v>
      </c>
      <c r="B2999">
        <v>0.98876768158843997</v>
      </c>
      <c r="C2999">
        <v>0.95421325696643899</v>
      </c>
      <c r="D2999">
        <v>0.956229092615832</v>
      </c>
      <c r="E2999">
        <v>0.78346569398244403</v>
      </c>
      <c r="F2999">
        <v>0.58495223831083198</v>
      </c>
      <c r="G2999">
        <v>0.28439516010055399</v>
      </c>
      <c r="H2999">
        <v>0.145316215999233</v>
      </c>
      <c r="I2999">
        <v>0.118332261353379</v>
      </c>
      <c r="J2999">
        <v>0.188089024009578</v>
      </c>
      <c r="K2999">
        <v>0.100091580807753</v>
      </c>
      <c r="L2999">
        <v>1055.6547685151399</v>
      </c>
      <c r="M2999">
        <v>19.889481729160298</v>
      </c>
      <c r="N2999">
        <v>53.753416336387801</v>
      </c>
      <c r="O2999">
        <v>52.5482274146636</v>
      </c>
      <c r="P2999">
        <v>-8.4138605547750198E-2</v>
      </c>
      <c r="Q2999">
        <v>0.110849105767809</v>
      </c>
      <c r="R2999">
        <v>0.99399383153887499</v>
      </c>
      <c r="S2999" t="s">
        <v>6831</v>
      </c>
      <c r="T2999" t="s">
        <v>7662</v>
      </c>
      <c r="U2999" t="s">
        <v>7662</v>
      </c>
      <c r="V2999" t="s">
        <v>7662</v>
      </c>
      <c r="W2999">
        <v>17</v>
      </c>
      <c r="X2999" t="s">
        <v>10661</v>
      </c>
      <c r="Y2999">
        <v>0.51073782953401548</v>
      </c>
      <c r="Z2999" t="str">
        <f>HYPERLINK("Melting_Curves/meltCurve_sp_Q9UKG1_DP13A_HUMAN_.pdf", "Melting_Curves/meltCurve_sp_Q9UKG1_DP13A_HUMAN_.pdf")</f>
        <v>Melting_Curves/meltCurve_sp_Q9UKG1_DP13A_HUMAN_.pdf</v>
      </c>
      <c r="AA2999" t="s">
        <v>14454</v>
      </c>
      <c r="AB2999" t="s">
        <v>18238</v>
      </c>
    </row>
    <row r="3000" spans="1:28" x14ac:dyDescent="0.25">
      <c r="A3000" t="s">
        <v>3004</v>
      </c>
      <c r="B3000">
        <v>0.98876768158843997</v>
      </c>
      <c r="C3000">
        <v>0.99407338354794395</v>
      </c>
      <c r="D3000">
        <v>0.89847464089099904</v>
      </c>
      <c r="E3000">
        <v>0.52138269537889503</v>
      </c>
      <c r="F3000">
        <v>0.181191519684369</v>
      </c>
      <c r="G3000">
        <v>8.6841245970518705E-2</v>
      </c>
      <c r="H3000">
        <v>4.1075392352770301E-2</v>
      </c>
      <c r="I3000">
        <v>3.8019428410615203E-2</v>
      </c>
      <c r="J3000">
        <v>3.28477134780557E-2</v>
      </c>
      <c r="K3000">
        <v>3.9355809750667999E-2</v>
      </c>
      <c r="L3000">
        <v>1354.2622722543199</v>
      </c>
      <c r="M3000">
        <v>27.130493486963498</v>
      </c>
      <c r="N3000">
        <v>50.057554332777002</v>
      </c>
      <c r="O3000">
        <v>49.647780102721597</v>
      </c>
      <c r="P3000">
        <v>-0.13159246047421</v>
      </c>
      <c r="Q3000">
        <v>3.6772409458364297E-2</v>
      </c>
      <c r="R3000">
        <v>0.99919552818060198</v>
      </c>
      <c r="S3000" t="s">
        <v>6832</v>
      </c>
      <c r="T3000" t="s">
        <v>7662</v>
      </c>
      <c r="U3000" t="s">
        <v>7662</v>
      </c>
      <c r="V3000" t="s">
        <v>7662</v>
      </c>
      <c r="W3000">
        <v>13</v>
      </c>
      <c r="X3000" t="s">
        <v>10662</v>
      </c>
      <c r="Y3000">
        <v>0.36246348796136307</v>
      </c>
      <c r="Z3000" t="str">
        <f>HYPERLINK("Melting_Curves/meltCurve_sp_Q9UKG9_OCTC_HUMAN_.pdf", "Melting_Curves/meltCurve_sp_Q9UKG9_OCTC_HUMAN_.pdf")</f>
        <v>Melting_Curves/meltCurve_sp_Q9UKG9_OCTC_HUMAN_.pdf</v>
      </c>
      <c r="AA3000" t="s">
        <v>14455</v>
      </c>
      <c r="AB3000" t="s">
        <v>18239</v>
      </c>
    </row>
    <row r="3001" spans="1:28" x14ac:dyDescent="0.25">
      <c r="A3001" t="s">
        <v>3005</v>
      </c>
      <c r="B3001">
        <v>0.98876768158843997</v>
      </c>
      <c r="C3001">
        <v>1.20825067909902</v>
      </c>
      <c r="D3001">
        <v>0.90196726573888797</v>
      </c>
      <c r="E3001">
        <v>0.89960607414973703</v>
      </c>
      <c r="F3001">
        <v>1.2033935448159001</v>
      </c>
      <c r="G3001">
        <v>0.85081847332321303</v>
      </c>
      <c r="H3001">
        <v>0.73357222198841998</v>
      </c>
      <c r="I3001">
        <v>0.84850123340164496</v>
      </c>
      <c r="J3001">
        <v>0.99894190961350104</v>
      </c>
      <c r="K3001">
        <v>1.17231605543479</v>
      </c>
      <c r="L3001">
        <v>3936.5749676983301</v>
      </c>
      <c r="M3001">
        <v>71.170876918038203</v>
      </c>
      <c r="O3001">
        <v>55.2679771556068</v>
      </c>
      <c r="P3001">
        <v>-2.42171574396098E-2</v>
      </c>
      <c r="Q3001">
        <v>0.92477636468555102</v>
      </c>
      <c r="R3001">
        <v>0.100847398600942</v>
      </c>
      <c r="S3001" t="s">
        <v>6833</v>
      </c>
      <c r="T3001" t="s">
        <v>7662</v>
      </c>
      <c r="U3001" t="s">
        <v>7662</v>
      </c>
      <c r="V3001" t="s">
        <v>7662</v>
      </c>
      <c r="W3001">
        <v>9</v>
      </c>
      <c r="X3001" t="s">
        <v>10663</v>
      </c>
      <c r="Y3001">
        <v>0.96325982647047881</v>
      </c>
      <c r="Z3001" t="str">
        <f>HYPERLINK("Melting_Curves/meltCurve_sp_Q9UKK9_NUDT5_HUMAN_.pdf", "Melting_Curves/meltCurve_sp_Q9UKK9_NUDT5_HUMAN_.pdf")</f>
        <v>Melting_Curves/meltCurve_sp_Q9UKK9_NUDT5_HUMAN_.pdf</v>
      </c>
      <c r="AA3001" t="s">
        <v>14456</v>
      </c>
      <c r="AB3001" t="s">
        <v>18240</v>
      </c>
    </row>
    <row r="3002" spans="1:28" x14ac:dyDescent="0.25">
      <c r="A3002" t="s">
        <v>3006</v>
      </c>
      <c r="B3002">
        <v>0.98876768158843997</v>
      </c>
      <c r="C3002">
        <v>1.1532797459840201</v>
      </c>
      <c r="D3002">
        <v>0.89847732473764297</v>
      </c>
      <c r="E3002">
        <v>0.73092532479684003</v>
      </c>
      <c r="F3002">
        <v>1.01207493936736</v>
      </c>
      <c r="G3002">
        <v>0.61107472622053305</v>
      </c>
      <c r="H3002">
        <v>0.31781334756158602</v>
      </c>
      <c r="I3002">
        <v>0.12782298775654999</v>
      </c>
      <c r="J3002">
        <v>6.0417429710907397E-2</v>
      </c>
      <c r="K3002">
        <v>6.0906818772642798E-2</v>
      </c>
      <c r="L3002">
        <v>1163.1928618423599</v>
      </c>
      <c r="M3002">
        <v>19.886370459519799</v>
      </c>
      <c r="N3002">
        <v>58.491965480486201</v>
      </c>
      <c r="O3002">
        <v>57.910119640608599</v>
      </c>
      <c r="P3002">
        <v>-8.5853003884863305E-2</v>
      </c>
      <c r="Q3002">
        <v>0</v>
      </c>
      <c r="R3002">
        <v>0.93420761063537205</v>
      </c>
      <c r="S3002" t="s">
        <v>6834</v>
      </c>
      <c r="T3002" t="s">
        <v>7662</v>
      </c>
      <c r="U3002" t="s">
        <v>7662</v>
      </c>
      <c r="V3002" t="s">
        <v>7662</v>
      </c>
      <c r="W3002">
        <v>13</v>
      </c>
      <c r="X3002" t="s">
        <v>10664</v>
      </c>
      <c r="Y3002">
        <v>0.62720739152316263</v>
      </c>
      <c r="Z3002" t="str">
        <f>HYPERLINK("Melting_Curves/meltCurve_sp_Q9UKL6_PPCT_HUMAN_.pdf", "Melting_Curves/meltCurve_sp_Q9UKL6_PPCT_HUMAN_.pdf")</f>
        <v>Melting_Curves/meltCurve_sp_Q9UKL6_PPCT_HUMAN_.pdf</v>
      </c>
      <c r="AA3002" t="s">
        <v>14457</v>
      </c>
      <c r="AB3002" t="s">
        <v>18241</v>
      </c>
    </row>
    <row r="3003" spans="1:28" x14ac:dyDescent="0.25">
      <c r="A3003" t="s">
        <v>3007</v>
      </c>
      <c r="B3003">
        <v>0.98876768158843997</v>
      </c>
      <c r="C3003">
        <v>0.945827586146476</v>
      </c>
      <c r="D3003">
        <v>0.69106070415503196</v>
      </c>
      <c r="E3003">
        <v>0.43983737114500199</v>
      </c>
      <c r="F3003">
        <v>0.33162121193307198</v>
      </c>
      <c r="G3003">
        <v>0.18755571886132799</v>
      </c>
      <c r="H3003">
        <v>0.14623636953549399</v>
      </c>
      <c r="I3003">
        <v>0.16286545814234599</v>
      </c>
      <c r="J3003">
        <v>0.23163396769472899</v>
      </c>
      <c r="K3003">
        <v>0.218499538403404</v>
      </c>
      <c r="L3003">
        <v>886.04514184509196</v>
      </c>
      <c r="M3003">
        <v>18.5657512555971</v>
      </c>
      <c r="N3003">
        <v>48.926829280093997</v>
      </c>
      <c r="O3003">
        <v>47.181359047211899</v>
      </c>
      <c r="P3003">
        <v>-8.0361478931676694E-2</v>
      </c>
      <c r="Q3003">
        <v>0.18314144069393501</v>
      </c>
      <c r="R3003">
        <v>0.98750739062708603</v>
      </c>
      <c r="S3003" t="s">
        <v>6835</v>
      </c>
      <c r="T3003" t="s">
        <v>7662</v>
      </c>
      <c r="U3003" t="s">
        <v>7662</v>
      </c>
      <c r="V3003" t="s">
        <v>7662</v>
      </c>
      <c r="W3003">
        <v>6</v>
      </c>
      <c r="X3003" t="s">
        <v>10665</v>
      </c>
      <c r="Y3003">
        <v>0.40716953089893992</v>
      </c>
      <c r="Z3003" t="str">
        <f>HYPERLINK("Melting_Curves/meltCurve_sp_Q9UKS6_PACN3_HUMAN_.pdf", "Melting_Curves/meltCurve_sp_Q9UKS6_PACN3_HUMAN_.pdf")</f>
        <v>Melting_Curves/meltCurve_sp_Q9UKS6_PACN3_HUMAN_.pdf</v>
      </c>
      <c r="AA3003" t="s">
        <v>14458</v>
      </c>
      <c r="AB3003" t="s">
        <v>18242</v>
      </c>
    </row>
    <row r="3004" spans="1:28" x14ac:dyDescent="0.25">
      <c r="A3004" t="s">
        <v>3008</v>
      </c>
      <c r="B3004">
        <v>0.98876768158843997</v>
      </c>
      <c r="C3004">
        <v>0.89003492856757704</v>
      </c>
      <c r="D3004">
        <v>0.79948622084924303</v>
      </c>
      <c r="E3004">
        <v>0.470345646016531</v>
      </c>
      <c r="F3004">
        <v>0.198445808930691</v>
      </c>
      <c r="G3004">
        <v>9.0119743559571197E-2</v>
      </c>
      <c r="H3004">
        <v>6.6477544059821495E-2</v>
      </c>
      <c r="I3004">
        <v>7.0976650678644504E-2</v>
      </c>
      <c r="J3004">
        <v>7.8573490864337694E-2</v>
      </c>
      <c r="K3004">
        <v>6.6555489440535007E-2</v>
      </c>
      <c r="L3004">
        <v>956.58748933988602</v>
      </c>
      <c r="M3004">
        <v>19.519278119603101</v>
      </c>
      <c r="N3004">
        <v>49.2970112627156</v>
      </c>
      <c r="O3004">
        <v>48.501635374008799</v>
      </c>
      <c r="P3004">
        <v>-9.5163210971283302E-2</v>
      </c>
      <c r="Q3004">
        <v>5.4185128301901198E-2</v>
      </c>
      <c r="R3004">
        <v>0.99523466917151004</v>
      </c>
      <c r="S3004" t="s">
        <v>6836</v>
      </c>
      <c r="T3004" t="s">
        <v>7662</v>
      </c>
      <c r="U3004" t="s">
        <v>7662</v>
      </c>
      <c r="V3004" t="s">
        <v>7662</v>
      </c>
      <c r="W3004">
        <v>2</v>
      </c>
      <c r="X3004" t="s">
        <v>10666</v>
      </c>
      <c r="Y3004">
        <v>0.35207841326238459</v>
      </c>
      <c r="Z3004" t="str">
        <f>HYPERLINK("Melting_Curves/meltCurve_sp_Q9UKT5_FBX4_HUMAN_.pdf", "Melting_Curves/meltCurve_sp_Q9UKT5_FBX4_HUMAN_.pdf")</f>
        <v>Melting_Curves/meltCurve_sp_Q9UKT5_FBX4_HUMAN_.pdf</v>
      </c>
      <c r="AA3004" t="s">
        <v>14459</v>
      </c>
      <c r="AB3004" t="s">
        <v>18243</v>
      </c>
    </row>
    <row r="3005" spans="1:28" x14ac:dyDescent="0.25">
      <c r="A3005" t="s">
        <v>3009</v>
      </c>
      <c r="B3005">
        <v>0.98876768158843997</v>
      </c>
      <c r="C3005">
        <v>0.90600686198411196</v>
      </c>
      <c r="D3005">
        <v>0.99341262575896305</v>
      </c>
      <c r="E3005">
        <v>0.86816879334686703</v>
      </c>
      <c r="F3005">
        <v>0.63020180893323996</v>
      </c>
      <c r="G3005">
        <v>0.293671616590095</v>
      </c>
      <c r="H3005">
        <v>0.115311991164453</v>
      </c>
      <c r="I3005">
        <v>8.3187406463975697E-2</v>
      </c>
      <c r="J3005">
        <v>7.4747801683096193E-2</v>
      </c>
      <c r="K3005">
        <v>5.7339741763186999E-2</v>
      </c>
      <c r="L3005">
        <v>1181.32495460153</v>
      </c>
      <c r="M3005">
        <v>21.829560748447101</v>
      </c>
      <c r="N3005">
        <v>54.389961217052303</v>
      </c>
      <c r="O3005">
        <v>53.667846568094497</v>
      </c>
      <c r="P3005">
        <v>-9.6393352930393E-2</v>
      </c>
      <c r="Q3005">
        <v>5.2091940869640002E-2</v>
      </c>
      <c r="R3005">
        <v>0.99429262307555699</v>
      </c>
      <c r="S3005" t="s">
        <v>6837</v>
      </c>
      <c r="T3005" t="s">
        <v>7662</v>
      </c>
      <c r="U3005" t="s">
        <v>7662</v>
      </c>
      <c r="V3005" t="s">
        <v>7662</v>
      </c>
      <c r="W3005">
        <v>18</v>
      </c>
      <c r="X3005" t="s">
        <v>10667</v>
      </c>
      <c r="Y3005">
        <v>0.50924246015707475</v>
      </c>
      <c r="Z3005" t="str">
        <f>HYPERLINK("Melting_Curves/meltCurve_sp_Q9UKU7_ACAD8_HUMAN_.pdf", "Melting_Curves/meltCurve_sp_Q9UKU7_ACAD8_HUMAN_.pdf")</f>
        <v>Melting_Curves/meltCurve_sp_Q9UKU7_ACAD8_HUMAN_.pdf</v>
      </c>
      <c r="AA3005" t="s">
        <v>14460</v>
      </c>
      <c r="AB3005" t="s">
        <v>18244</v>
      </c>
    </row>
    <row r="3006" spans="1:28" x14ac:dyDescent="0.25">
      <c r="A3006" t="s">
        <v>3010</v>
      </c>
      <c r="B3006">
        <v>0.98876768158843997</v>
      </c>
      <c r="C3006">
        <v>0.93397987616781797</v>
      </c>
      <c r="D3006">
        <v>0.99168046099375196</v>
      </c>
      <c r="E3006">
        <v>0.916044123260078</v>
      </c>
      <c r="F3006">
        <v>0.62248358367525702</v>
      </c>
      <c r="G3006">
        <v>0.49144418893934699</v>
      </c>
      <c r="H3006">
        <v>0.42756435757975098</v>
      </c>
      <c r="I3006">
        <v>0.469860101633645</v>
      </c>
      <c r="J3006">
        <v>0.44780658229890802</v>
      </c>
      <c r="K3006">
        <v>0.25417299913640401</v>
      </c>
      <c r="L3006">
        <v>1470.4742781274199</v>
      </c>
      <c r="M3006">
        <v>28.0111013573643</v>
      </c>
      <c r="N3006">
        <v>55.678166005746</v>
      </c>
      <c r="O3006">
        <v>52.230768620361303</v>
      </c>
      <c r="P3006">
        <v>-8.0560588727172797E-2</v>
      </c>
      <c r="Q3006">
        <v>0.39913764222639098</v>
      </c>
      <c r="R3006">
        <v>0.94738154333468005</v>
      </c>
      <c r="S3006" t="s">
        <v>6838</v>
      </c>
      <c r="T3006" t="s">
        <v>7662</v>
      </c>
      <c r="U3006" t="s">
        <v>7662</v>
      </c>
      <c r="V3006" t="s">
        <v>7662</v>
      </c>
      <c r="W3006">
        <v>13</v>
      </c>
      <c r="X3006" t="s">
        <v>10668</v>
      </c>
      <c r="Y3006">
        <v>0.65384481460541521</v>
      </c>
      <c r="Z3006" t="str">
        <f>HYPERLINK("Melting_Curves/meltCurve_sp_Q9UKV8_AGO2_HUMAN_.pdf", "Melting_Curves/meltCurve_sp_Q9UKV8_AGO2_HUMAN_.pdf")</f>
        <v>Melting_Curves/meltCurve_sp_Q9UKV8_AGO2_HUMAN_.pdf</v>
      </c>
      <c r="AA3006" t="s">
        <v>14461</v>
      </c>
      <c r="AB3006" t="s">
        <v>18245</v>
      </c>
    </row>
    <row r="3007" spans="1:28" x14ac:dyDescent="0.25">
      <c r="A3007" t="s">
        <v>3011</v>
      </c>
      <c r="B3007">
        <v>0.98876768158843997</v>
      </c>
      <c r="C3007">
        <v>0.95319572734966895</v>
      </c>
      <c r="D3007">
        <v>0.96226869996814401</v>
      </c>
      <c r="E3007">
        <v>0.75401185802314097</v>
      </c>
      <c r="F3007">
        <v>0.74408213069258</v>
      </c>
      <c r="G3007">
        <v>0.50617114485860004</v>
      </c>
      <c r="H3007">
        <v>0.36740120156801498</v>
      </c>
      <c r="I3007">
        <v>0.35823772614854499</v>
      </c>
      <c r="J3007">
        <v>0.38424797777002501</v>
      </c>
      <c r="K3007">
        <v>0.41015399088316301</v>
      </c>
      <c r="L3007">
        <v>830.15162642366397</v>
      </c>
      <c r="M3007">
        <v>15.6773601468155</v>
      </c>
      <c r="N3007">
        <v>57.308228308105697</v>
      </c>
      <c r="O3007">
        <v>52.113145158475497</v>
      </c>
      <c r="P3007">
        <v>-4.9029676474641702E-2</v>
      </c>
      <c r="Q3007">
        <v>0.34813681971859101</v>
      </c>
      <c r="R3007">
        <v>0.97396966949441999</v>
      </c>
      <c r="S3007" t="s">
        <v>6839</v>
      </c>
      <c r="T3007" t="s">
        <v>7662</v>
      </c>
      <c r="U3007" t="s">
        <v>7662</v>
      </c>
      <c r="V3007" t="s">
        <v>7662</v>
      </c>
      <c r="W3007">
        <v>8</v>
      </c>
      <c r="X3007" t="s">
        <v>10669</v>
      </c>
      <c r="Y3007">
        <v>0.6427715122079759</v>
      </c>
      <c r="Z3007" t="str">
        <f>HYPERLINK("Melting_Curves/meltCurve_sp_Q9UKX7_NUP50_HUMAN_.pdf", "Melting_Curves/meltCurve_sp_Q9UKX7_NUP50_HUMAN_.pdf")</f>
        <v>Melting_Curves/meltCurve_sp_Q9UKX7_NUP50_HUMAN_.pdf</v>
      </c>
      <c r="AA3007" t="s">
        <v>14462</v>
      </c>
      <c r="AB3007" t="s">
        <v>18246</v>
      </c>
    </row>
    <row r="3008" spans="1:28" x14ac:dyDescent="0.25">
      <c r="A3008" t="s">
        <v>3012</v>
      </c>
      <c r="B3008">
        <v>0.98876768158843997</v>
      </c>
      <c r="C3008">
        <v>1.17003193311938</v>
      </c>
      <c r="D3008">
        <v>0.87102854287738596</v>
      </c>
      <c r="E3008">
        <v>0.76893533641107104</v>
      </c>
      <c r="F3008">
        <v>0.90154116215980296</v>
      </c>
      <c r="G3008">
        <v>0.64217180792722905</v>
      </c>
      <c r="H3008">
        <v>0.48100309180997802</v>
      </c>
      <c r="I3008">
        <v>0.60761707578260304</v>
      </c>
      <c r="J3008">
        <v>0.66377901286165897</v>
      </c>
      <c r="K3008">
        <v>0.88938198453438999</v>
      </c>
      <c r="L3008">
        <v>976.24032094406095</v>
      </c>
      <c r="M3008">
        <v>19.5303682706726</v>
      </c>
      <c r="O3008">
        <v>49.470574545337499</v>
      </c>
      <c r="P3008">
        <v>-3.3028716975633102E-2</v>
      </c>
      <c r="Q3008">
        <v>0.66536410354555697</v>
      </c>
      <c r="R3008">
        <v>0.57623150292393399</v>
      </c>
      <c r="S3008" t="s">
        <v>6840</v>
      </c>
      <c r="T3008" t="s">
        <v>7662</v>
      </c>
      <c r="U3008" t="s">
        <v>7662</v>
      </c>
      <c r="V3008" t="s">
        <v>7662</v>
      </c>
      <c r="W3008">
        <v>9</v>
      </c>
      <c r="X3008" t="s">
        <v>10670</v>
      </c>
      <c r="Y3008">
        <v>0.78162997678315349</v>
      </c>
      <c r="Z3008" t="str">
        <f>HYPERLINK("Melting_Curves/meltCurve_sp_Q9UKY7_CDV3_HUMAN_.pdf", "Melting_Curves/meltCurve_sp_Q9UKY7_CDV3_HUMAN_.pdf")</f>
        <v>Melting_Curves/meltCurve_sp_Q9UKY7_CDV3_HUMAN_.pdf</v>
      </c>
      <c r="AA3008" t="s">
        <v>14463</v>
      </c>
      <c r="AB3008" t="s">
        <v>18247</v>
      </c>
    </row>
    <row r="3009" spans="1:28" x14ac:dyDescent="0.25">
      <c r="A3009" t="s">
        <v>3013</v>
      </c>
      <c r="B3009">
        <v>0.98876768158843997</v>
      </c>
      <c r="C3009">
        <v>0.81574223986415095</v>
      </c>
      <c r="D3009">
        <v>0.84315418398959197</v>
      </c>
      <c r="E3009">
        <v>0.43199909968070599</v>
      </c>
      <c r="F3009">
        <v>0.13977314784466599</v>
      </c>
      <c r="G3009">
        <v>7.8501440723280497E-2</v>
      </c>
      <c r="H3009">
        <v>4.55897611697497E-2</v>
      </c>
      <c r="I3009">
        <v>4.0976670854927601E-2</v>
      </c>
      <c r="J3009">
        <v>4.5180709860695098E-2</v>
      </c>
      <c r="K3009">
        <v>3.7673423205931998E-2</v>
      </c>
      <c r="L3009">
        <v>1014.05965246044</v>
      </c>
      <c r="M3009">
        <v>20.728289951691099</v>
      </c>
      <c r="N3009">
        <v>49.062447945551</v>
      </c>
      <c r="O3009">
        <v>48.473036144072502</v>
      </c>
      <c r="P3009">
        <v>-0.103819719817436</v>
      </c>
      <c r="Q3009">
        <v>2.8899296864961999E-2</v>
      </c>
      <c r="R3009">
        <v>0.98253604321606802</v>
      </c>
      <c r="S3009" t="s">
        <v>6841</v>
      </c>
      <c r="T3009" t="s">
        <v>7662</v>
      </c>
      <c r="U3009" t="s">
        <v>7662</v>
      </c>
      <c r="V3009" t="s">
        <v>7662</v>
      </c>
      <c r="W3009">
        <v>36</v>
      </c>
      <c r="X3009" t="s">
        <v>10671</v>
      </c>
      <c r="Y3009">
        <v>0.33034288390990058</v>
      </c>
      <c r="Z3009" t="str">
        <f>HYPERLINK("Melting_Curves/meltCurve_sp_Q9UL12_SARDH_HUMAN_.pdf", "Melting_Curves/meltCurve_sp_Q9UL12_SARDH_HUMAN_.pdf")</f>
        <v>Melting_Curves/meltCurve_sp_Q9UL12_SARDH_HUMAN_.pdf</v>
      </c>
      <c r="AA3009" t="s">
        <v>14464</v>
      </c>
      <c r="AB3009" t="s">
        <v>18248</v>
      </c>
    </row>
    <row r="3010" spans="1:28" x14ac:dyDescent="0.25">
      <c r="A3010" t="s">
        <v>3014</v>
      </c>
      <c r="B3010">
        <v>0.98876768158843997</v>
      </c>
      <c r="C3010">
        <v>1.03738582172697</v>
      </c>
      <c r="D3010">
        <v>0.91732588104749102</v>
      </c>
      <c r="E3010">
        <v>0.64660563059658804</v>
      </c>
      <c r="F3010">
        <v>0.33406757492807398</v>
      </c>
      <c r="G3010">
        <v>0.117490313393218</v>
      </c>
      <c r="H3010">
        <v>7.0056561641148804E-2</v>
      </c>
      <c r="I3010">
        <v>7.0647956763554898E-2</v>
      </c>
      <c r="J3010">
        <v>6.1856453647633897E-2</v>
      </c>
      <c r="K3010">
        <v>4.6435270783723802E-2</v>
      </c>
      <c r="L3010">
        <v>1221.3129302581599</v>
      </c>
      <c r="M3010">
        <v>23.920814901277101</v>
      </c>
      <c r="N3010">
        <v>51.297888541740697</v>
      </c>
      <c r="O3010">
        <v>50.703665416478302</v>
      </c>
      <c r="P3010">
        <v>-0.111667741464785</v>
      </c>
      <c r="Q3010">
        <v>5.3230339139548298E-2</v>
      </c>
      <c r="R3010">
        <v>0.99815508786223095</v>
      </c>
      <c r="S3010" t="s">
        <v>6842</v>
      </c>
      <c r="T3010" t="s">
        <v>7662</v>
      </c>
      <c r="U3010" t="s">
        <v>7662</v>
      </c>
      <c r="V3010" t="s">
        <v>7662</v>
      </c>
      <c r="W3010">
        <v>4</v>
      </c>
      <c r="X3010" t="s">
        <v>10672</v>
      </c>
      <c r="Y3010">
        <v>0.41149285602058139</v>
      </c>
      <c r="Z3010" t="str">
        <f>HYPERLINK("Melting_Curves/meltCurve_sp_Q9UL25_RAB21_HUMAN_.pdf", "Melting_Curves/meltCurve_sp_Q9UL25_RAB21_HUMAN_.pdf")</f>
        <v>Melting_Curves/meltCurve_sp_Q9UL25_RAB21_HUMAN_.pdf</v>
      </c>
      <c r="AA3010" t="s">
        <v>14465</v>
      </c>
      <c r="AB3010" t="s">
        <v>18249</v>
      </c>
    </row>
    <row r="3011" spans="1:28" x14ac:dyDescent="0.25">
      <c r="A3011" t="s">
        <v>3015</v>
      </c>
      <c r="B3011">
        <v>0.98876768158843997</v>
      </c>
      <c r="C3011">
        <v>1.29852535052645</v>
      </c>
      <c r="D3011">
        <v>0.82726428055052903</v>
      </c>
      <c r="E3011">
        <v>0.73655812268074305</v>
      </c>
      <c r="F3011">
        <v>0.25165077292343602</v>
      </c>
      <c r="G3011">
        <v>8.0194527232030993E-2</v>
      </c>
      <c r="H3011">
        <v>2.9580867322684199E-2</v>
      </c>
      <c r="I3011">
        <v>1.8355423053731199E-2</v>
      </c>
      <c r="J3011">
        <v>3.91659284975443E-2</v>
      </c>
      <c r="K3011">
        <v>1.13549472566276E-2</v>
      </c>
      <c r="L3011">
        <v>1636.7900513689499</v>
      </c>
      <c r="M3011">
        <v>31.9206971420519</v>
      </c>
      <c r="N3011">
        <v>51.355296096563301</v>
      </c>
      <c r="O3011">
        <v>51.076796321673697</v>
      </c>
      <c r="P3011">
        <v>-0.152518099973601</v>
      </c>
      <c r="Q3011">
        <v>2.3819189979633101E-2</v>
      </c>
      <c r="R3011">
        <v>0.94592359865035502</v>
      </c>
      <c r="S3011" t="s">
        <v>6843</v>
      </c>
      <c r="T3011" t="s">
        <v>7662</v>
      </c>
      <c r="U3011" t="s">
        <v>7662</v>
      </c>
      <c r="V3011" t="s">
        <v>7662</v>
      </c>
      <c r="W3011">
        <v>1</v>
      </c>
      <c r="X3011" t="s">
        <v>10673</v>
      </c>
      <c r="Y3011">
        <v>0.39620329002304822</v>
      </c>
      <c r="Z3011" t="str">
        <f>HYPERLINK("Melting_Curves/meltCurve_sp_Q9UL42_PNMA2_HUMAN_.pdf", "Melting_Curves/meltCurve_sp_Q9UL42_PNMA2_HUMAN_.pdf")</f>
        <v>Melting_Curves/meltCurve_sp_Q9UL42_PNMA2_HUMAN_.pdf</v>
      </c>
      <c r="AA3011" t="s">
        <v>14466</v>
      </c>
      <c r="AB3011" t="s">
        <v>18250</v>
      </c>
    </row>
    <row r="3012" spans="1:28" x14ac:dyDescent="0.25">
      <c r="A3012" t="s">
        <v>3016</v>
      </c>
      <c r="B3012">
        <v>0.98876768158843997</v>
      </c>
      <c r="C3012">
        <v>1.0107066328255201</v>
      </c>
      <c r="D3012">
        <v>1.02018008038199</v>
      </c>
      <c r="E3012">
        <v>0.98398772201602003</v>
      </c>
      <c r="F3012">
        <v>0.80194150815006704</v>
      </c>
      <c r="G3012">
        <v>0.60185273841921205</v>
      </c>
      <c r="H3012">
        <v>0.421266672214194</v>
      </c>
      <c r="I3012">
        <v>0.28213802958197698</v>
      </c>
      <c r="J3012">
        <v>0.13873411718884901</v>
      </c>
      <c r="K3012">
        <v>8.8221662529060704E-2</v>
      </c>
      <c r="L3012">
        <v>834.69390771833901</v>
      </c>
      <c r="M3012">
        <v>14.1104206632693</v>
      </c>
      <c r="N3012">
        <v>59.154431361749999</v>
      </c>
      <c r="O3012">
        <v>58.004337621493399</v>
      </c>
      <c r="P3012">
        <v>-6.0824036690089497E-2</v>
      </c>
      <c r="Q3012">
        <v>0</v>
      </c>
      <c r="R3012">
        <v>0.99313537161121002</v>
      </c>
      <c r="S3012" t="s">
        <v>6844</v>
      </c>
      <c r="T3012" t="s">
        <v>7662</v>
      </c>
      <c r="U3012" t="s">
        <v>7662</v>
      </c>
      <c r="V3012" t="s">
        <v>7662</v>
      </c>
      <c r="W3012">
        <v>13</v>
      </c>
      <c r="X3012" t="s">
        <v>10674</v>
      </c>
      <c r="Y3012">
        <v>0.64797561064598019</v>
      </c>
      <c r="Z3012" t="str">
        <f>HYPERLINK("Melting_Curves/meltCurve_sp_Q9UL46_PSME2_HUMAN_.pdf", "Melting_Curves/meltCurve_sp_Q9UL46_PSME2_HUMAN_.pdf")</f>
        <v>Melting_Curves/meltCurve_sp_Q9UL46_PSME2_HUMAN_.pdf</v>
      </c>
      <c r="AA3012" t="s">
        <v>14467</v>
      </c>
      <c r="AB3012" t="s">
        <v>18251</v>
      </c>
    </row>
    <row r="3013" spans="1:28" x14ac:dyDescent="0.25">
      <c r="A3013" t="s">
        <v>3017</v>
      </c>
      <c r="B3013">
        <v>0.98876768158843997</v>
      </c>
      <c r="C3013">
        <v>0.90105763413473405</v>
      </c>
      <c r="D3013">
        <v>1.0025253269422301</v>
      </c>
      <c r="E3013">
        <v>0.92003945064602699</v>
      </c>
      <c r="F3013">
        <v>0.51692180946572497</v>
      </c>
      <c r="G3013">
        <v>0.41987229412388</v>
      </c>
      <c r="H3013">
        <v>0.36848643725688301</v>
      </c>
      <c r="I3013">
        <v>0.38355156305494398</v>
      </c>
      <c r="J3013">
        <v>0.41435797350261699</v>
      </c>
      <c r="K3013">
        <v>0.39818263490250499</v>
      </c>
      <c r="L3013">
        <v>2857.78567988532</v>
      </c>
      <c r="M3013">
        <v>55.290278515180397</v>
      </c>
      <c r="N3013">
        <v>53.197198004337999</v>
      </c>
      <c r="O3013">
        <v>51.619465982499698</v>
      </c>
      <c r="P3013">
        <v>-0.161753295218033</v>
      </c>
      <c r="Q3013">
        <v>0.39594346429639199</v>
      </c>
      <c r="R3013">
        <v>0.98368637665027503</v>
      </c>
      <c r="S3013" t="s">
        <v>6845</v>
      </c>
      <c r="T3013" t="s">
        <v>7662</v>
      </c>
      <c r="U3013" t="s">
        <v>7662</v>
      </c>
      <c r="V3013" t="s">
        <v>7662</v>
      </c>
      <c r="W3013">
        <v>14</v>
      </c>
      <c r="X3013" t="s">
        <v>10675</v>
      </c>
      <c r="Y3013">
        <v>0.63238778001096885</v>
      </c>
      <c r="Z3013" t="str">
        <f>HYPERLINK("Melting_Curves/meltCurve_sp_Q9ULA0_DNPEP_HUMAN_.pdf", "Melting_Curves/meltCurve_sp_Q9ULA0_DNPEP_HUMAN_.pdf")</f>
        <v>Melting_Curves/meltCurve_sp_Q9ULA0_DNPEP_HUMAN_.pdf</v>
      </c>
      <c r="AA3013" t="s">
        <v>14468</v>
      </c>
      <c r="AB3013" t="s">
        <v>18252</v>
      </c>
    </row>
    <row r="3014" spans="1:28" x14ac:dyDescent="0.25">
      <c r="A3014" t="s">
        <v>3018</v>
      </c>
      <c r="B3014">
        <v>0.98876768158843997</v>
      </c>
      <c r="C3014">
        <v>1.17910674070445</v>
      </c>
      <c r="D3014">
        <v>0.88283383311534203</v>
      </c>
      <c r="E3014">
        <v>0.743436085336036</v>
      </c>
      <c r="F3014">
        <v>0.51431999938656303</v>
      </c>
      <c r="G3014">
        <v>0.22703717533795001</v>
      </c>
      <c r="H3014">
        <v>8.7508072659266897E-2</v>
      </c>
      <c r="I3014">
        <v>7.14532202965691E-2</v>
      </c>
      <c r="J3014">
        <v>7.5868400788260695E-2</v>
      </c>
      <c r="K3014">
        <v>7.4993932162871701E-2</v>
      </c>
      <c r="L3014">
        <v>1039.9007233651801</v>
      </c>
      <c r="M3014">
        <v>19.7485620424582</v>
      </c>
      <c r="N3014">
        <v>52.955352862469297</v>
      </c>
      <c r="O3014">
        <v>52.126024743946402</v>
      </c>
      <c r="P3014">
        <v>-8.9732616022804496E-2</v>
      </c>
      <c r="Q3014">
        <v>5.26410029818297E-2</v>
      </c>
      <c r="R3014">
        <v>0.97528273321213199</v>
      </c>
      <c r="S3014" t="s">
        <v>6846</v>
      </c>
      <c r="T3014" t="s">
        <v>7662</v>
      </c>
      <c r="U3014" t="s">
        <v>7662</v>
      </c>
      <c r="V3014" t="s">
        <v>7662</v>
      </c>
      <c r="W3014">
        <v>5</v>
      </c>
      <c r="X3014" t="s">
        <v>10676</v>
      </c>
      <c r="Y3014">
        <v>0.46568619457482407</v>
      </c>
      <c r="Z3014" t="str">
        <f>HYPERLINK("Melting_Curves/meltCurve_sp_Q9ULC4_MCTS1_HUMAN_.pdf", "Melting_Curves/meltCurve_sp_Q9ULC4_MCTS1_HUMAN_.pdf")</f>
        <v>Melting_Curves/meltCurve_sp_Q9ULC4_MCTS1_HUMAN_.pdf</v>
      </c>
      <c r="AA3014" t="s">
        <v>14469</v>
      </c>
      <c r="AB3014" t="s">
        <v>18253</v>
      </c>
    </row>
    <row r="3015" spans="1:28" x14ac:dyDescent="0.25">
      <c r="A3015" t="s">
        <v>3019</v>
      </c>
      <c r="B3015">
        <v>0.98876768158843997</v>
      </c>
      <c r="C3015">
        <v>0.83097383604127395</v>
      </c>
      <c r="D3015">
        <v>0.80246616611219102</v>
      </c>
      <c r="E3015">
        <v>0.49028747595906302</v>
      </c>
      <c r="F3015">
        <v>0.27656711670878797</v>
      </c>
      <c r="G3015">
        <v>0.137088085604682</v>
      </c>
      <c r="H3015">
        <v>0.101117313112492</v>
      </c>
      <c r="I3015">
        <v>0.10662864394017101</v>
      </c>
      <c r="J3015">
        <v>9.0168829909656897E-2</v>
      </c>
      <c r="K3015">
        <v>9.0793418937810705E-2</v>
      </c>
      <c r="L3015">
        <v>775.14744026230699</v>
      </c>
      <c r="M3015">
        <v>15.775967150709301</v>
      </c>
      <c r="N3015">
        <v>49.605544420654397</v>
      </c>
      <c r="O3015">
        <v>48.365531783064</v>
      </c>
      <c r="P3015">
        <v>-7.58815559553154E-2</v>
      </c>
      <c r="Q3015">
        <v>6.9534645566573405E-2</v>
      </c>
      <c r="R3015">
        <v>0.99081897395431395</v>
      </c>
      <c r="S3015" t="s">
        <v>6847</v>
      </c>
      <c r="T3015" t="s">
        <v>7662</v>
      </c>
      <c r="U3015" t="s">
        <v>7662</v>
      </c>
      <c r="V3015" t="s">
        <v>7662</v>
      </c>
      <c r="W3015">
        <v>6</v>
      </c>
      <c r="X3015" t="s">
        <v>10677</v>
      </c>
      <c r="Y3015">
        <v>0.37362980475787949</v>
      </c>
      <c r="Z3015" t="str">
        <f>HYPERLINK("Melting_Curves/meltCurve_sp_Q9ULC5_ACSL5_HUMAN_.pdf", "Melting_Curves/meltCurve_sp_Q9ULC5_ACSL5_HUMAN_.pdf")</f>
        <v>Melting_Curves/meltCurve_sp_Q9ULC5_ACSL5_HUMAN_.pdf</v>
      </c>
      <c r="AA3015" t="s">
        <v>14470</v>
      </c>
      <c r="AB3015" t="s">
        <v>18254</v>
      </c>
    </row>
    <row r="3016" spans="1:28" x14ac:dyDescent="0.25">
      <c r="A3016" t="s">
        <v>3020</v>
      </c>
      <c r="B3016">
        <v>0.98876768158843997</v>
      </c>
      <c r="C3016">
        <v>0.96495229070705602</v>
      </c>
      <c r="D3016">
        <v>0.67013330918846103</v>
      </c>
      <c r="E3016">
        <v>0.22465103537088499</v>
      </c>
      <c r="F3016">
        <v>0.138131012692848</v>
      </c>
      <c r="G3016">
        <v>7.1145440233967405E-2</v>
      </c>
      <c r="H3016">
        <v>5.0465007145917E-2</v>
      </c>
      <c r="I3016">
        <v>4.3307301730205597E-2</v>
      </c>
      <c r="J3016">
        <v>6.0329405488375697E-2</v>
      </c>
      <c r="K3016">
        <v>3.9626883392263897E-2</v>
      </c>
      <c r="L3016">
        <v>1231.0718514929199</v>
      </c>
      <c r="M3016">
        <v>26.087175932633599</v>
      </c>
      <c r="N3016">
        <v>47.400859409076403</v>
      </c>
      <c r="O3016">
        <v>46.915983831043597</v>
      </c>
      <c r="P3016">
        <v>-0.131419597627388</v>
      </c>
      <c r="Q3016">
        <v>5.4614019136766501E-2</v>
      </c>
      <c r="R3016">
        <v>0.99812280045023805</v>
      </c>
      <c r="S3016" t="s">
        <v>6848</v>
      </c>
      <c r="T3016" t="s">
        <v>7662</v>
      </c>
      <c r="U3016" t="s">
        <v>7662</v>
      </c>
      <c r="V3016" t="s">
        <v>7662</v>
      </c>
      <c r="W3016">
        <v>19</v>
      </c>
      <c r="X3016" t="s">
        <v>10678</v>
      </c>
      <c r="Y3016">
        <v>0.28887892765910922</v>
      </c>
      <c r="Z3016" t="str">
        <f>HYPERLINK("Melting_Curves/meltCurve_sp_Q9ULD0_OGDHL_HUMAN_.pdf", "Melting_Curves/meltCurve_sp_Q9ULD0_OGDHL_HUMAN_.pdf")</f>
        <v>Melting_Curves/meltCurve_sp_Q9ULD0_OGDHL_HUMAN_.pdf</v>
      </c>
      <c r="AA3016" t="s">
        <v>14471</v>
      </c>
      <c r="AB3016" t="s">
        <v>18255</v>
      </c>
    </row>
    <row r="3017" spans="1:28" x14ac:dyDescent="0.25">
      <c r="A3017" t="s">
        <v>3021</v>
      </c>
      <c r="B3017">
        <v>0.98876768158843997</v>
      </c>
      <c r="C3017">
        <v>0.91747700482442396</v>
      </c>
      <c r="D3017">
        <v>1.0107280700736201</v>
      </c>
      <c r="E3017">
        <v>0.87938910301752804</v>
      </c>
      <c r="F3017">
        <v>0.445146367866328</v>
      </c>
      <c r="G3017">
        <v>0.131883464773495</v>
      </c>
      <c r="H3017">
        <v>4.9401230729869003E-2</v>
      </c>
      <c r="I3017">
        <v>5.6146153605039502E-2</v>
      </c>
      <c r="J3017">
        <v>3.7665153048824403E-2</v>
      </c>
      <c r="K3017">
        <v>7.2716937796823797E-2</v>
      </c>
      <c r="L3017">
        <v>1902.2412615992901</v>
      </c>
      <c r="M3017">
        <v>36.207036845476303</v>
      </c>
      <c r="N3017">
        <v>52.712217767233</v>
      </c>
      <c r="O3017">
        <v>52.378394220789701</v>
      </c>
      <c r="P3017">
        <v>-0.16306398271588901</v>
      </c>
      <c r="Q3017">
        <v>5.6426156748285897E-2</v>
      </c>
      <c r="R3017">
        <v>0.99501370214732898</v>
      </c>
      <c r="S3017" t="s">
        <v>6849</v>
      </c>
      <c r="T3017" t="s">
        <v>7662</v>
      </c>
      <c r="U3017" t="s">
        <v>7662</v>
      </c>
      <c r="V3017" t="s">
        <v>7662</v>
      </c>
      <c r="W3017">
        <v>3</v>
      </c>
      <c r="X3017" t="s">
        <v>10679</v>
      </c>
      <c r="Y3017">
        <v>0.45495508216006397</v>
      </c>
      <c r="Z3017" t="str">
        <f>HYPERLINK("Melting_Curves/meltCurve_sp_Q9ULD2_2_MTUS1_HUMAN_.pdf", "Melting_Curves/meltCurve_sp_Q9ULD2_2_MTUS1_HUMAN_.pdf")</f>
        <v>Melting_Curves/meltCurve_sp_Q9ULD2_2_MTUS1_HUMAN_.pdf</v>
      </c>
      <c r="AA3017" t="s">
        <v>14472</v>
      </c>
      <c r="AB3017" t="s">
        <v>18256</v>
      </c>
    </row>
    <row r="3018" spans="1:28" x14ac:dyDescent="0.25">
      <c r="A3018" t="s">
        <v>3022</v>
      </c>
      <c r="B3018">
        <v>0.98876768158843997</v>
      </c>
      <c r="C3018">
        <v>1.1684721307319601</v>
      </c>
      <c r="D3018">
        <v>0.89644922514800496</v>
      </c>
      <c r="E3018">
        <v>0.646017232524564</v>
      </c>
      <c r="F3018">
        <v>0.73869270860438496</v>
      </c>
      <c r="G3018">
        <v>0.52227440164360295</v>
      </c>
      <c r="H3018">
        <v>0.41094731520531003</v>
      </c>
      <c r="I3018">
        <v>0.49325549435801103</v>
      </c>
      <c r="J3018">
        <v>0.60419212431565095</v>
      </c>
      <c r="K3018">
        <v>0.72874223543798899</v>
      </c>
      <c r="L3018">
        <v>1404.8797331186599</v>
      </c>
      <c r="M3018">
        <v>29.050028760488399</v>
      </c>
      <c r="O3018">
        <v>48.133272320360298</v>
      </c>
      <c r="P3018">
        <v>-6.4897233052645303E-2</v>
      </c>
      <c r="Q3018">
        <v>0.56988779490632502</v>
      </c>
      <c r="R3018">
        <v>0.77602269537343505</v>
      </c>
      <c r="S3018" t="s">
        <v>6850</v>
      </c>
      <c r="T3018" t="s">
        <v>7662</v>
      </c>
      <c r="U3018" t="s">
        <v>7662</v>
      </c>
      <c r="V3018" t="s">
        <v>7662</v>
      </c>
      <c r="W3018">
        <v>6</v>
      </c>
      <c r="X3018" t="s">
        <v>10680</v>
      </c>
      <c r="Y3018">
        <v>0.69253334048224413</v>
      </c>
      <c r="Z3018" t="str">
        <f>HYPERLINK("Melting_Curves/meltCurve_sp_Q9ULH7_4_MKL2_HUMAN_.pdf", "Melting_Curves/meltCurve_sp_Q9ULH7_4_MKL2_HUMAN_.pdf")</f>
        <v>Melting_Curves/meltCurve_sp_Q9ULH7_4_MKL2_HUMAN_.pdf</v>
      </c>
      <c r="AA3018" t="s">
        <v>14473</v>
      </c>
      <c r="AB3018" t="s">
        <v>18257</v>
      </c>
    </row>
    <row r="3019" spans="1:28" x14ac:dyDescent="0.25">
      <c r="A3019" t="s">
        <v>3023</v>
      </c>
      <c r="B3019">
        <v>0.98876768158843997</v>
      </c>
      <c r="C3019">
        <v>0.98233761309299406</v>
      </c>
      <c r="D3019">
        <v>0.86485840350684695</v>
      </c>
      <c r="E3019">
        <v>0.48959841978429303</v>
      </c>
      <c r="F3019">
        <v>0.18584919497152699</v>
      </c>
      <c r="G3019">
        <v>0.116745542991046</v>
      </c>
      <c r="H3019">
        <v>7.3886369548845907E-2</v>
      </c>
      <c r="I3019">
        <v>6.84871791316322E-2</v>
      </c>
      <c r="J3019">
        <v>8.7732061743693607E-2</v>
      </c>
      <c r="K3019">
        <v>9.0827604042422794E-2</v>
      </c>
      <c r="L3019">
        <v>1278.3013968297801</v>
      </c>
      <c r="M3019">
        <v>25.870839357268899</v>
      </c>
      <c r="N3019">
        <v>49.731977220884303</v>
      </c>
      <c r="O3019">
        <v>49.1185082398463</v>
      </c>
      <c r="P3019">
        <v>-0.12154977141674</v>
      </c>
      <c r="Q3019">
        <v>7.6910782746245299E-2</v>
      </c>
      <c r="R3019">
        <v>0.99848837709412597</v>
      </c>
      <c r="S3019" t="s">
        <v>6851</v>
      </c>
      <c r="T3019" t="s">
        <v>7662</v>
      </c>
      <c r="U3019" t="s">
        <v>7662</v>
      </c>
      <c r="V3019" t="s">
        <v>7662</v>
      </c>
      <c r="W3019">
        <v>8</v>
      </c>
      <c r="X3019" t="s">
        <v>10681</v>
      </c>
      <c r="Y3019">
        <v>0.37413221947648201</v>
      </c>
      <c r="Z3019" t="str">
        <f>HYPERLINK("Melting_Curves/meltCurve_sp_Q9ULP9_2_TBC24_HUMAN_.pdf", "Melting_Curves/meltCurve_sp_Q9ULP9_2_TBC24_HUMAN_.pdf")</f>
        <v>Melting_Curves/meltCurve_sp_Q9ULP9_2_TBC24_HUMAN_.pdf</v>
      </c>
      <c r="AA3019" t="s">
        <v>14474</v>
      </c>
      <c r="AB3019" t="s">
        <v>18258</v>
      </c>
    </row>
    <row r="3020" spans="1:28" x14ac:dyDescent="0.25">
      <c r="A3020" t="s">
        <v>3024</v>
      </c>
      <c r="B3020">
        <v>0.98876768158843997</v>
      </c>
      <c r="C3020">
        <v>0.930743275285701</v>
      </c>
      <c r="D3020">
        <v>0.93716978873813195</v>
      </c>
      <c r="E3020">
        <v>0.57304404351802596</v>
      </c>
      <c r="F3020">
        <v>0.30055062795389997</v>
      </c>
      <c r="G3020">
        <v>0.16201108666490099</v>
      </c>
      <c r="H3020">
        <v>0.11440729385203099</v>
      </c>
      <c r="I3020">
        <v>0.123244706601676</v>
      </c>
      <c r="J3020">
        <v>0.15357114393015101</v>
      </c>
      <c r="K3020">
        <v>0.15516673831803601</v>
      </c>
      <c r="L3020">
        <v>1325.1251701670101</v>
      </c>
      <c r="M3020">
        <v>26.462748077289799</v>
      </c>
      <c r="N3020">
        <v>50.6684590530283</v>
      </c>
      <c r="O3020">
        <v>49.791777630246102</v>
      </c>
      <c r="P3020">
        <v>-0.115165738474878</v>
      </c>
      <c r="Q3020">
        <v>0.13323507569858301</v>
      </c>
      <c r="R3020">
        <v>0.99569140674164203</v>
      </c>
      <c r="S3020" t="s">
        <v>6852</v>
      </c>
      <c r="T3020" t="s">
        <v>7662</v>
      </c>
      <c r="U3020" t="s">
        <v>7662</v>
      </c>
      <c r="V3020" t="s">
        <v>7662</v>
      </c>
      <c r="W3020">
        <v>15</v>
      </c>
      <c r="X3020" t="s">
        <v>10682</v>
      </c>
      <c r="Y3020">
        <v>0.43124200359275838</v>
      </c>
      <c r="Z3020" t="str">
        <f>HYPERLINK("Melting_Curves/meltCurve_sp_Q9ULT8_HECD1_HUMAN_.pdf", "Melting_Curves/meltCurve_sp_Q9ULT8_HECD1_HUMAN_.pdf")</f>
        <v>Melting_Curves/meltCurve_sp_Q9ULT8_HECD1_HUMAN_.pdf</v>
      </c>
      <c r="AA3020" t="s">
        <v>14475</v>
      </c>
      <c r="AB3020" t="s">
        <v>18259</v>
      </c>
    </row>
    <row r="3021" spans="1:28" x14ac:dyDescent="0.25">
      <c r="A3021" t="s">
        <v>3025</v>
      </c>
      <c r="B3021">
        <v>0.98876768158843997</v>
      </c>
      <c r="C3021">
        <v>0.92519391505016102</v>
      </c>
      <c r="D3021">
        <v>0.95681734484018999</v>
      </c>
      <c r="E3021">
        <v>0.77248769561008901</v>
      </c>
      <c r="F3021">
        <v>0.60413733850598395</v>
      </c>
      <c r="G3021">
        <v>0.233287957935333</v>
      </c>
      <c r="H3021">
        <v>8.5511609250115597E-2</v>
      </c>
      <c r="I3021">
        <v>8.8403462289297102E-2</v>
      </c>
      <c r="J3021">
        <v>9.6786130593232503E-2</v>
      </c>
      <c r="K3021">
        <v>9.8041193624395603E-2</v>
      </c>
      <c r="L3021">
        <v>1108.0862738912101</v>
      </c>
      <c r="M3021">
        <v>20.810914836137702</v>
      </c>
      <c r="N3021">
        <v>53.605476378582203</v>
      </c>
      <c r="O3021">
        <v>52.761092497184201</v>
      </c>
      <c r="P3021">
        <v>-9.2179793357697104E-2</v>
      </c>
      <c r="Q3021">
        <v>6.5226528815706702E-2</v>
      </c>
      <c r="R3021">
        <v>0.99184926378563998</v>
      </c>
      <c r="S3021" t="s">
        <v>6853</v>
      </c>
      <c r="T3021" t="s">
        <v>7662</v>
      </c>
      <c r="U3021" t="s">
        <v>7662</v>
      </c>
      <c r="V3021" t="s">
        <v>7662</v>
      </c>
      <c r="W3021">
        <v>19</v>
      </c>
      <c r="X3021" t="s">
        <v>10683</v>
      </c>
      <c r="Y3021">
        <v>0.48993041772261092</v>
      </c>
      <c r="Z3021" t="str">
        <f>HYPERLINK("Melting_Curves/meltCurve_sp_Q9ULV4_COR1C_HUMAN_.pdf", "Melting_Curves/meltCurve_sp_Q9ULV4_COR1C_HUMAN_.pdf")</f>
        <v>Melting_Curves/meltCurve_sp_Q9ULV4_COR1C_HUMAN_.pdf</v>
      </c>
      <c r="AA3021" t="s">
        <v>14476</v>
      </c>
      <c r="AB3021" t="s">
        <v>18260</v>
      </c>
    </row>
    <row r="3022" spans="1:28" x14ac:dyDescent="0.25">
      <c r="A3022" t="s">
        <v>3026</v>
      </c>
      <c r="B3022">
        <v>0.98876768158843997</v>
      </c>
      <c r="C3022">
        <v>0.96603202416653</v>
      </c>
      <c r="D3022">
        <v>0.85572585470512796</v>
      </c>
      <c r="E3022">
        <v>0.64707874662908504</v>
      </c>
      <c r="F3022">
        <v>0.52474977786408405</v>
      </c>
      <c r="G3022">
        <v>0.35053232069247098</v>
      </c>
      <c r="H3022">
        <v>0.22625533516482199</v>
      </c>
      <c r="I3022">
        <v>0.16659625873782299</v>
      </c>
      <c r="J3022">
        <v>0.187609944735873</v>
      </c>
      <c r="K3022">
        <v>0.144450392496173</v>
      </c>
      <c r="L3022">
        <v>657.66037334761495</v>
      </c>
      <c r="M3022">
        <v>12.6272790768998</v>
      </c>
      <c r="N3022">
        <v>53.1729032193984</v>
      </c>
      <c r="O3022">
        <v>50.828065960218098</v>
      </c>
      <c r="P3022">
        <v>-5.5034300039376503E-2</v>
      </c>
      <c r="Q3022">
        <v>0.11406606281562701</v>
      </c>
      <c r="R3022">
        <v>0.99732090256837003</v>
      </c>
      <c r="S3022" t="s">
        <v>6854</v>
      </c>
      <c r="T3022" t="s">
        <v>7662</v>
      </c>
      <c r="U3022" t="s">
        <v>7662</v>
      </c>
      <c r="V3022" t="s">
        <v>7662</v>
      </c>
      <c r="W3022">
        <v>1</v>
      </c>
      <c r="X3022" t="s">
        <v>10684</v>
      </c>
      <c r="Y3022">
        <v>0.49611109784749508</v>
      </c>
      <c r="Z3022" t="str">
        <f>HYPERLINK("Melting_Curves/meltCurve_sp_Q9ULZ3_2_ASC_HUMAN_.pdf", "Melting_Curves/meltCurve_sp_Q9ULZ3_2_ASC_HUMAN_.pdf")</f>
        <v>Melting_Curves/meltCurve_sp_Q9ULZ3_2_ASC_HUMAN_.pdf</v>
      </c>
      <c r="AA3022" t="s">
        <v>14477</v>
      </c>
      <c r="AB3022" t="s">
        <v>18261</v>
      </c>
    </row>
    <row r="3023" spans="1:28" x14ac:dyDescent="0.25">
      <c r="A3023" t="s">
        <v>3027</v>
      </c>
      <c r="B3023">
        <v>0.98876768158843997</v>
      </c>
      <c r="C3023">
        <v>1.35471548424051</v>
      </c>
      <c r="D3023">
        <v>1.09764557150385</v>
      </c>
      <c r="E3023">
        <v>0.96845566496886903</v>
      </c>
      <c r="F3023">
        <v>0.85031178858172995</v>
      </c>
      <c r="G3023">
        <v>0.48124932468003101</v>
      </c>
      <c r="H3023">
        <v>0.49029834863312299</v>
      </c>
      <c r="I3023">
        <v>0.61611796341992697</v>
      </c>
      <c r="J3023">
        <v>0.65311029811683896</v>
      </c>
      <c r="K3023">
        <v>0.79204191737671104</v>
      </c>
      <c r="L3023">
        <v>13275.842154662399</v>
      </c>
      <c r="M3023">
        <v>250</v>
      </c>
      <c r="O3023">
        <v>53.099971297121201</v>
      </c>
      <c r="P3023">
        <v>-0.46308456230936701</v>
      </c>
      <c r="Q3023">
        <v>0.60656357596938903</v>
      </c>
      <c r="R3023">
        <v>0.71387542444947105</v>
      </c>
      <c r="S3023" t="s">
        <v>6855</v>
      </c>
      <c r="T3023" t="s">
        <v>7662</v>
      </c>
      <c r="U3023" t="s">
        <v>7662</v>
      </c>
      <c r="V3023" t="s">
        <v>7662</v>
      </c>
      <c r="W3023">
        <v>2</v>
      </c>
      <c r="X3023" t="s">
        <v>10685</v>
      </c>
      <c r="Y3023">
        <v>0.77844499224314656</v>
      </c>
      <c r="Z3023" t="str">
        <f>HYPERLINK("Melting_Curves/meltCurve_sp_Q9UM22_2_EPDR1_HUMAN_.pdf", "Melting_Curves/meltCurve_sp_Q9UM22_2_EPDR1_HUMAN_.pdf")</f>
        <v>Melting_Curves/meltCurve_sp_Q9UM22_2_EPDR1_HUMAN_.pdf</v>
      </c>
      <c r="AA3023" t="s">
        <v>14478</v>
      </c>
      <c r="AB3023" t="s">
        <v>18262</v>
      </c>
    </row>
    <row r="3024" spans="1:28" x14ac:dyDescent="0.25">
      <c r="A3024" t="s">
        <v>3028</v>
      </c>
      <c r="B3024">
        <v>0.98876768158843997</v>
      </c>
      <c r="C3024">
        <v>1.02971202535483</v>
      </c>
      <c r="D3024">
        <v>0.70238563393068498</v>
      </c>
      <c r="E3024">
        <v>0.2854314838052</v>
      </c>
      <c r="F3024">
        <v>9.4266830345653502E-2</v>
      </c>
      <c r="G3024">
        <v>5.0281223896169798E-2</v>
      </c>
      <c r="H3024">
        <v>3.08569371407716E-2</v>
      </c>
      <c r="I3024">
        <v>2.9178895415489601E-2</v>
      </c>
      <c r="J3024">
        <v>3.6462193958782099E-2</v>
      </c>
      <c r="K3024">
        <v>3.6204197792091497E-2</v>
      </c>
      <c r="L3024">
        <v>1243.50797297957</v>
      </c>
      <c r="M3024">
        <v>26.037588017771998</v>
      </c>
      <c r="N3024">
        <v>47.885773405500302</v>
      </c>
      <c r="O3024">
        <v>47.4791563910048</v>
      </c>
      <c r="P3024">
        <v>-0.13250736569711699</v>
      </c>
      <c r="Q3024">
        <v>3.3510339996235101E-2</v>
      </c>
      <c r="R3024">
        <v>0.99478073751265605</v>
      </c>
      <c r="S3024" t="s">
        <v>6856</v>
      </c>
      <c r="T3024" t="s">
        <v>7662</v>
      </c>
      <c r="U3024" t="s">
        <v>7662</v>
      </c>
      <c r="V3024" t="s">
        <v>7662</v>
      </c>
      <c r="W3024">
        <v>12</v>
      </c>
      <c r="X3024" t="s">
        <v>10686</v>
      </c>
      <c r="Y3024">
        <v>0.29128897911705848</v>
      </c>
      <c r="Z3024" t="str">
        <f>HYPERLINK("Melting_Curves/meltCurve_sp_Q9UMR2_2_DD19B_HUMAN_.pdf", "Melting_Curves/meltCurve_sp_Q9UMR2_2_DD19B_HUMAN_.pdf")</f>
        <v>Melting_Curves/meltCurve_sp_Q9UMR2_2_DD19B_HUMAN_.pdf</v>
      </c>
      <c r="AA3024" t="s">
        <v>14479</v>
      </c>
      <c r="AB3024" t="s">
        <v>18263</v>
      </c>
    </row>
    <row r="3025" spans="1:28" x14ac:dyDescent="0.25">
      <c r="A3025" t="s">
        <v>3029</v>
      </c>
      <c r="B3025">
        <v>0.98876768158843997</v>
      </c>
      <c r="C3025">
        <v>1.0260710689842001</v>
      </c>
      <c r="D3025">
        <v>0.87949918031087204</v>
      </c>
      <c r="E3025">
        <v>0.68036235924062505</v>
      </c>
      <c r="F3025">
        <v>0.81015160264666597</v>
      </c>
      <c r="G3025">
        <v>0.60665424571077098</v>
      </c>
      <c r="H3025">
        <v>0.44516563906491602</v>
      </c>
      <c r="I3025">
        <v>0.49959424259436502</v>
      </c>
      <c r="J3025">
        <v>0.557986835607026</v>
      </c>
      <c r="K3025">
        <v>0.60989813166026896</v>
      </c>
      <c r="L3025">
        <v>721.02339155425398</v>
      </c>
      <c r="M3025">
        <v>14.3333623609177</v>
      </c>
      <c r="O3025">
        <v>49.355083110707199</v>
      </c>
      <c r="P3025">
        <v>-3.4577699241796503E-2</v>
      </c>
      <c r="Q3025">
        <v>0.52380209774626896</v>
      </c>
      <c r="R3025">
        <v>0.86186522208457805</v>
      </c>
      <c r="S3025" t="s">
        <v>6857</v>
      </c>
      <c r="T3025" t="s">
        <v>7662</v>
      </c>
      <c r="U3025" t="s">
        <v>7662</v>
      </c>
      <c r="V3025" t="s">
        <v>7662</v>
      </c>
      <c r="W3025">
        <v>6</v>
      </c>
      <c r="X3025" t="s">
        <v>10687</v>
      </c>
      <c r="Y3025">
        <v>0.69951665786206729</v>
      </c>
      <c r="Z3025" t="str">
        <f>HYPERLINK("Melting_Curves/meltCurve_sp_Q9UMS0_3_NFU1_HUMAN_.pdf", "Melting_Curves/meltCurve_sp_Q9UMS0_3_NFU1_HUMAN_.pdf")</f>
        <v>Melting_Curves/meltCurve_sp_Q9UMS0_3_NFU1_HUMAN_.pdf</v>
      </c>
      <c r="AA3025" t="s">
        <v>14480</v>
      </c>
      <c r="AB3025" t="s">
        <v>18264</v>
      </c>
    </row>
    <row r="3026" spans="1:28" x14ac:dyDescent="0.25">
      <c r="A3026" t="s">
        <v>3030</v>
      </c>
      <c r="B3026">
        <v>0.98876768158843997</v>
      </c>
      <c r="C3026">
        <v>0.94914231189867804</v>
      </c>
      <c r="D3026">
        <v>1.0131730007797399</v>
      </c>
      <c r="E3026">
        <v>0.87738945137369595</v>
      </c>
      <c r="F3026">
        <v>0.63324303948477201</v>
      </c>
      <c r="G3026">
        <v>0.34711356217280998</v>
      </c>
      <c r="H3026">
        <v>0.153462397641281</v>
      </c>
      <c r="I3026">
        <v>0.108114305681645</v>
      </c>
      <c r="J3026">
        <v>9.2979212890169097E-2</v>
      </c>
      <c r="K3026">
        <v>7.7463074296182696E-2</v>
      </c>
      <c r="L3026">
        <v>1112.1300357698101</v>
      </c>
      <c r="M3026">
        <v>20.459894308537798</v>
      </c>
      <c r="N3026">
        <v>54.760324921821997</v>
      </c>
      <c r="O3026">
        <v>53.845307687219403</v>
      </c>
      <c r="P3026">
        <v>-8.8346046878276602E-2</v>
      </c>
      <c r="Q3026">
        <v>7.0009185831063095E-2</v>
      </c>
      <c r="R3026">
        <v>0.99699922517191797</v>
      </c>
      <c r="S3026" t="s">
        <v>6858</v>
      </c>
      <c r="T3026" t="s">
        <v>7662</v>
      </c>
      <c r="U3026" t="s">
        <v>7662</v>
      </c>
      <c r="V3026" t="s">
        <v>7662</v>
      </c>
      <c r="W3026">
        <v>7</v>
      </c>
      <c r="X3026" t="s">
        <v>10688</v>
      </c>
      <c r="Y3026">
        <v>0.52717638801167277</v>
      </c>
      <c r="Z3026" t="str">
        <f>HYPERLINK("Melting_Curves/meltCurve_sp_Q9UMS4_PRP19_HUMAN_.pdf", "Melting_Curves/meltCurve_sp_Q9UMS4_PRP19_HUMAN_.pdf")</f>
        <v>Melting_Curves/meltCurve_sp_Q9UMS4_PRP19_HUMAN_.pdf</v>
      </c>
      <c r="AA3026" t="s">
        <v>14481</v>
      </c>
      <c r="AB3026" t="s">
        <v>18265</v>
      </c>
    </row>
    <row r="3027" spans="1:28" x14ac:dyDescent="0.25">
      <c r="A3027" t="s">
        <v>3031</v>
      </c>
      <c r="B3027">
        <v>0.98876768158843997</v>
      </c>
      <c r="C3027">
        <v>0.97582271905214601</v>
      </c>
      <c r="D3027">
        <v>0.88559382839411105</v>
      </c>
      <c r="E3027">
        <v>0.66916221414344801</v>
      </c>
      <c r="F3027">
        <v>0.66907531478377202</v>
      </c>
      <c r="G3027">
        <v>0.411975661256055</v>
      </c>
      <c r="H3027">
        <v>0.32037608312732702</v>
      </c>
      <c r="I3027">
        <v>0.33321719275239098</v>
      </c>
      <c r="J3027">
        <v>0.36487604229369602</v>
      </c>
      <c r="K3027">
        <v>0.40275118429022599</v>
      </c>
      <c r="L3027">
        <v>779.595594382998</v>
      </c>
      <c r="M3027">
        <v>15.271214934177101</v>
      </c>
      <c r="N3027">
        <v>54.9811435257011</v>
      </c>
      <c r="O3027">
        <v>50.198633230459599</v>
      </c>
      <c r="P3027">
        <v>-5.0792908462561702E-2</v>
      </c>
      <c r="Q3027">
        <v>0.33220912958919302</v>
      </c>
      <c r="R3027">
        <v>0.96786631971445902</v>
      </c>
      <c r="S3027" t="s">
        <v>6859</v>
      </c>
      <c r="T3027" t="s">
        <v>7662</v>
      </c>
      <c r="U3027" t="s">
        <v>7662</v>
      </c>
      <c r="V3027" t="s">
        <v>7662</v>
      </c>
      <c r="W3027">
        <v>5</v>
      </c>
      <c r="X3027" t="s">
        <v>10689</v>
      </c>
      <c r="Y3027">
        <v>0.5931333204716458</v>
      </c>
      <c r="Z3027" t="str">
        <f>HYPERLINK("Melting_Curves/meltCurve_sp_Q9UMX0_2_UBQL1_HUMAN_.pdf", "Melting_Curves/meltCurve_sp_Q9UMX0_2_UBQL1_HUMAN_.pdf")</f>
        <v>Melting_Curves/meltCurve_sp_Q9UMX0_2_UBQL1_HUMAN_.pdf</v>
      </c>
      <c r="AA3027" t="s">
        <v>14482</v>
      </c>
      <c r="AB3027" t="s">
        <v>18266</v>
      </c>
    </row>
    <row r="3028" spans="1:28" x14ac:dyDescent="0.25">
      <c r="A3028" t="s">
        <v>3032</v>
      </c>
      <c r="B3028">
        <v>0.98876768158843997</v>
      </c>
      <c r="C3028">
        <v>1.0971742275491201</v>
      </c>
      <c r="D3028">
        <v>0.88086762406567798</v>
      </c>
      <c r="E3028">
        <v>0.76296366951670902</v>
      </c>
      <c r="F3028">
        <v>0.78306388970821394</v>
      </c>
      <c r="G3028">
        <v>0.56187911949650104</v>
      </c>
      <c r="H3028">
        <v>0.41005413199503699</v>
      </c>
      <c r="I3028">
        <v>0.49819340220279501</v>
      </c>
      <c r="J3028">
        <v>0.55854758788449399</v>
      </c>
      <c r="K3028">
        <v>0.63123324516452595</v>
      </c>
      <c r="L3028">
        <v>930.09083110960501</v>
      </c>
      <c r="M3028">
        <v>18.211169299908999</v>
      </c>
      <c r="O3028">
        <v>50.468664286578701</v>
      </c>
      <c r="P3028">
        <v>-4.3212208259957398E-2</v>
      </c>
      <c r="Q3028">
        <v>0.52100612264148405</v>
      </c>
      <c r="R3028">
        <v>0.86611100679031405</v>
      </c>
      <c r="S3028" t="s">
        <v>6860</v>
      </c>
      <c r="T3028" t="s">
        <v>7662</v>
      </c>
      <c r="U3028" t="s">
        <v>7662</v>
      </c>
      <c r="V3028" t="s">
        <v>7662</v>
      </c>
      <c r="W3028">
        <v>7</v>
      </c>
      <c r="X3028" t="s">
        <v>10690</v>
      </c>
      <c r="Y3028">
        <v>0.705691853445641</v>
      </c>
      <c r="Z3028" t="str">
        <f>HYPERLINK("Melting_Curves/meltCurve_sp_Q9UMX5_NENF_HUMAN_.pdf", "Melting_Curves/meltCurve_sp_Q9UMX5_NENF_HUMAN_.pdf")</f>
        <v>Melting_Curves/meltCurve_sp_Q9UMX5_NENF_HUMAN_.pdf</v>
      </c>
      <c r="AA3028" t="s">
        <v>14483</v>
      </c>
      <c r="AB3028" t="s">
        <v>18267</v>
      </c>
    </row>
    <row r="3029" spans="1:28" x14ac:dyDescent="0.25">
      <c r="A3029" t="s">
        <v>3033</v>
      </c>
      <c r="B3029">
        <v>0.98876768158843997</v>
      </c>
      <c r="C3029">
        <v>1.2007448135657399</v>
      </c>
      <c r="D3029">
        <v>0.88262924705472401</v>
      </c>
      <c r="E3029">
        <v>0.75643533990065204</v>
      </c>
      <c r="F3029">
        <v>0.69808741974751898</v>
      </c>
      <c r="G3029">
        <v>0.27131675805358402</v>
      </c>
      <c r="H3029">
        <v>0.11739155038554699</v>
      </c>
      <c r="I3029">
        <v>9.6714130529106199E-2</v>
      </c>
      <c r="J3029">
        <v>9.6081089844470294E-2</v>
      </c>
      <c r="K3029">
        <v>0.103835257773376</v>
      </c>
      <c r="L3029">
        <v>1046.45855475094</v>
      </c>
      <c r="M3029">
        <v>19.4117658649904</v>
      </c>
      <c r="N3029">
        <v>54.285110810227202</v>
      </c>
      <c r="O3029">
        <v>53.346138700544302</v>
      </c>
      <c r="P3029">
        <v>-8.5242603370273604E-2</v>
      </c>
      <c r="Q3029">
        <v>6.3001846084254201E-2</v>
      </c>
      <c r="R3029">
        <v>0.95937772986076297</v>
      </c>
      <c r="S3029" t="s">
        <v>6861</v>
      </c>
      <c r="T3029" t="s">
        <v>7662</v>
      </c>
      <c r="U3029" t="s">
        <v>7662</v>
      </c>
      <c r="V3029" t="s">
        <v>7662</v>
      </c>
      <c r="W3029">
        <v>6</v>
      </c>
      <c r="X3029" t="s">
        <v>10691</v>
      </c>
      <c r="Y3029">
        <v>0.51078684492151072</v>
      </c>
      <c r="Z3029" t="str">
        <f>HYPERLINK("Melting_Curves/meltCurve_sp_Q9UMY4_2_SNX12_HUMAN_.pdf", "Melting_Curves/meltCurve_sp_Q9UMY4_2_SNX12_HUMAN_.pdf")</f>
        <v>Melting_Curves/meltCurve_sp_Q9UMY4_2_SNX12_HUMAN_.pdf</v>
      </c>
      <c r="AA3029" t="s">
        <v>14484</v>
      </c>
      <c r="AB3029" t="s">
        <v>18268</v>
      </c>
    </row>
    <row r="3030" spans="1:28" x14ac:dyDescent="0.25">
      <c r="A3030" t="s">
        <v>3034</v>
      </c>
      <c r="B3030">
        <v>0.98876768158843997</v>
      </c>
      <c r="C3030">
        <v>1.0431832931675</v>
      </c>
      <c r="D3030">
        <v>0.89372768262004398</v>
      </c>
      <c r="E3030">
        <v>0.73324647249901997</v>
      </c>
      <c r="F3030">
        <v>0.57763114975474406</v>
      </c>
      <c r="G3030">
        <v>0.35085486273904598</v>
      </c>
      <c r="H3030">
        <v>0.25046060971474898</v>
      </c>
      <c r="I3030">
        <v>0.282018361908283</v>
      </c>
      <c r="J3030">
        <v>0.37182892725677902</v>
      </c>
      <c r="K3030">
        <v>0.38932201606815903</v>
      </c>
      <c r="L3030">
        <v>1103.88064816875</v>
      </c>
      <c r="M3030">
        <v>21.585535957592</v>
      </c>
      <c r="N3030">
        <v>53.600434513334797</v>
      </c>
      <c r="O3030">
        <v>50.7069721520472</v>
      </c>
      <c r="P3030">
        <v>-7.2967266690458304E-2</v>
      </c>
      <c r="Q3030">
        <v>0.314381490778119</v>
      </c>
      <c r="R3030">
        <v>0.96949566824926403</v>
      </c>
      <c r="S3030" t="s">
        <v>6862</v>
      </c>
      <c r="T3030" t="s">
        <v>7662</v>
      </c>
      <c r="U3030" t="s">
        <v>7662</v>
      </c>
      <c r="V3030" t="s">
        <v>7662</v>
      </c>
      <c r="W3030">
        <v>4</v>
      </c>
      <c r="X3030" t="s">
        <v>10692</v>
      </c>
      <c r="Y3030">
        <v>0.57721197727834417</v>
      </c>
      <c r="Z3030" t="str">
        <f>HYPERLINK("Melting_Curves/meltCurve_sp_Q9UMZ2_6_SYNRG_HUMAN_.pdf", "Melting_Curves/meltCurve_sp_Q9UMZ2_6_SYNRG_HUMAN_.pdf")</f>
        <v>Melting_Curves/meltCurve_sp_Q9UMZ2_6_SYNRG_HUMAN_.pdf</v>
      </c>
      <c r="AA3030" t="s">
        <v>14485</v>
      </c>
      <c r="AB3030" t="s">
        <v>18269</v>
      </c>
    </row>
    <row r="3031" spans="1:28" x14ac:dyDescent="0.25">
      <c r="A3031" t="s">
        <v>3035</v>
      </c>
      <c r="B3031">
        <v>0.98876768158843997</v>
      </c>
      <c r="C3031">
        <v>1.18241614469932</v>
      </c>
      <c r="D3031">
        <v>0.88731926485469903</v>
      </c>
      <c r="E3031">
        <v>0.79177235932384105</v>
      </c>
      <c r="F3031">
        <v>0.92451166138039698</v>
      </c>
      <c r="G3031">
        <v>0.35643318983523797</v>
      </c>
      <c r="H3031">
        <v>7.8924456908455606E-2</v>
      </c>
      <c r="I3031">
        <v>5.3306506472494998E-2</v>
      </c>
      <c r="J3031">
        <v>3.5773285189935201E-2</v>
      </c>
      <c r="K3031">
        <v>3.1898773120946099E-2</v>
      </c>
      <c r="L3031">
        <v>1882.80426107784</v>
      </c>
      <c r="M3031">
        <v>33.659361219417498</v>
      </c>
      <c r="N3031">
        <v>56.041807190171198</v>
      </c>
      <c r="O3031">
        <v>55.740680462089301</v>
      </c>
      <c r="P3031">
        <v>-0.146360377546776</v>
      </c>
      <c r="Q3031">
        <v>3.0499321714471599E-2</v>
      </c>
      <c r="R3031">
        <v>0.955908800848842</v>
      </c>
      <c r="S3031" t="s">
        <v>6863</v>
      </c>
      <c r="T3031" t="s">
        <v>7662</v>
      </c>
      <c r="U3031" t="s">
        <v>7662</v>
      </c>
      <c r="V3031" t="s">
        <v>7662</v>
      </c>
      <c r="W3031">
        <v>13</v>
      </c>
      <c r="X3031" t="s">
        <v>10693</v>
      </c>
      <c r="Y3031">
        <v>0.55074064736589612</v>
      </c>
      <c r="Z3031" t="str">
        <f>HYPERLINK("Melting_Curves/meltCurve_sp_Q9UN36_NDRG2_HUMAN_.pdf", "Melting_Curves/meltCurve_sp_Q9UN36_NDRG2_HUMAN_.pdf")</f>
        <v>Melting_Curves/meltCurve_sp_Q9UN36_NDRG2_HUMAN_.pdf</v>
      </c>
      <c r="AA3031" t="s">
        <v>14486</v>
      </c>
      <c r="AB3031" t="s">
        <v>18270</v>
      </c>
    </row>
    <row r="3032" spans="1:28" x14ac:dyDescent="0.25">
      <c r="A3032" t="s">
        <v>3036</v>
      </c>
      <c r="B3032">
        <v>0.98876768158843997</v>
      </c>
      <c r="C3032">
        <v>0.79925329645511001</v>
      </c>
      <c r="D3032">
        <v>0.52113048691354602</v>
      </c>
      <c r="E3032">
        <v>0.38516221390576499</v>
      </c>
      <c r="F3032">
        <v>0.221380944406288</v>
      </c>
      <c r="G3032">
        <v>0.13172707059893601</v>
      </c>
      <c r="H3032">
        <v>0.111500768606717</v>
      </c>
      <c r="I3032">
        <v>8.0256067163570394E-2</v>
      </c>
      <c r="J3032">
        <v>0.10616037136173399</v>
      </c>
      <c r="K3032">
        <v>7.0119023343580902E-2</v>
      </c>
      <c r="L3032">
        <v>673.82340609225901</v>
      </c>
      <c r="M3032">
        <v>14.4452843744603</v>
      </c>
      <c r="N3032">
        <v>47.202642755723403</v>
      </c>
      <c r="O3032">
        <v>45.779955027916799</v>
      </c>
      <c r="P3032">
        <v>-7.2721291829323201E-2</v>
      </c>
      <c r="Q3032">
        <v>7.8235142640900104E-2</v>
      </c>
      <c r="R3032">
        <v>0.98745162813847398</v>
      </c>
      <c r="S3032" t="s">
        <v>6864</v>
      </c>
      <c r="T3032" t="s">
        <v>7662</v>
      </c>
      <c r="U3032" t="s">
        <v>7662</v>
      </c>
      <c r="V3032" t="s">
        <v>7662</v>
      </c>
      <c r="W3032">
        <v>2</v>
      </c>
      <c r="X3032" t="s">
        <v>10694</v>
      </c>
      <c r="Y3032">
        <v>0.31015777787820331</v>
      </c>
      <c r="Z3032" t="str">
        <f>HYPERLINK("Melting_Curves/meltCurve_sp_Q9UN37_VPS4A_HUMAN_.pdf", "Melting_Curves/meltCurve_sp_Q9UN37_VPS4A_HUMAN_.pdf")</f>
        <v>Melting_Curves/meltCurve_sp_Q9UN37_VPS4A_HUMAN_.pdf</v>
      </c>
      <c r="AA3032" t="s">
        <v>14487</v>
      </c>
      <c r="AB3032" t="s">
        <v>18271</v>
      </c>
    </row>
    <row r="3033" spans="1:28" x14ac:dyDescent="0.25">
      <c r="A3033" t="s">
        <v>3037</v>
      </c>
      <c r="B3033">
        <v>0.98876768158843997</v>
      </c>
      <c r="C3033">
        <v>1.03653960597426</v>
      </c>
      <c r="D3033">
        <v>0.89059325751815399</v>
      </c>
      <c r="E3033">
        <v>0.73669730593568905</v>
      </c>
      <c r="F3033">
        <v>0.69438014125992698</v>
      </c>
      <c r="G3033">
        <v>0.39504825952783401</v>
      </c>
      <c r="H3033">
        <v>0.30345328304413399</v>
      </c>
      <c r="I3033">
        <v>0.3387928072777</v>
      </c>
      <c r="J3033">
        <v>0.408139029383837</v>
      </c>
      <c r="K3033">
        <v>0.45703156927695798</v>
      </c>
      <c r="L3033">
        <v>988.79852594437796</v>
      </c>
      <c r="M3033">
        <v>19.182797232953</v>
      </c>
      <c r="N3033">
        <v>55.264264660078801</v>
      </c>
      <c r="O3033">
        <v>50.995735997890101</v>
      </c>
      <c r="P3033">
        <v>-5.9958383198031297E-2</v>
      </c>
      <c r="Q3033">
        <v>0.362448651591052</v>
      </c>
      <c r="R3033">
        <v>0.94608391521021495</v>
      </c>
      <c r="S3033" t="s">
        <v>6865</v>
      </c>
      <c r="T3033" t="s">
        <v>7662</v>
      </c>
      <c r="U3033" t="s">
        <v>7662</v>
      </c>
      <c r="V3033" t="s">
        <v>7662</v>
      </c>
      <c r="W3033">
        <v>7</v>
      </c>
      <c r="X3033" t="s">
        <v>10695</v>
      </c>
      <c r="Y3033">
        <v>0.61735527490259301</v>
      </c>
      <c r="Z3033" t="str">
        <f>HYPERLINK("Melting_Curves/meltCurve_sp_Q9UN86_G3BP2_HUMAN_.pdf", "Melting_Curves/meltCurve_sp_Q9UN86_G3BP2_HUMAN_.pdf")</f>
        <v>Melting_Curves/meltCurve_sp_Q9UN86_G3BP2_HUMAN_.pdf</v>
      </c>
      <c r="AA3033" t="s">
        <v>14488</v>
      </c>
      <c r="AB3033" t="s">
        <v>18272</v>
      </c>
    </row>
    <row r="3034" spans="1:28" x14ac:dyDescent="0.25">
      <c r="A3034" t="s">
        <v>3038</v>
      </c>
      <c r="B3034">
        <v>0.98876768158843997</v>
      </c>
      <c r="C3034">
        <v>0.88960178178162497</v>
      </c>
      <c r="D3034">
        <v>0.80085882845713996</v>
      </c>
      <c r="E3034">
        <v>0.32658158675196097</v>
      </c>
      <c r="F3034">
        <v>0.16982694695068001</v>
      </c>
      <c r="G3034">
        <v>0.104467353607683</v>
      </c>
      <c r="H3034">
        <v>8.0674828881038996E-2</v>
      </c>
      <c r="I3034">
        <v>7.0535520668550095E-2</v>
      </c>
      <c r="J3034">
        <v>0.121584555489478</v>
      </c>
      <c r="K3034">
        <v>7.6324031939315098E-2</v>
      </c>
      <c r="L3034">
        <v>1170.7638018846501</v>
      </c>
      <c r="M3034">
        <v>24.361094246965202</v>
      </c>
      <c r="N3034">
        <v>48.424505665973001</v>
      </c>
      <c r="O3034">
        <v>47.738425139294499</v>
      </c>
      <c r="P3034">
        <v>-0.116857045463615</v>
      </c>
      <c r="Q3034">
        <v>8.4033252653313795E-2</v>
      </c>
      <c r="R3034">
        <v>0.99449655032596296</v>
      </c>
      <c r="S3034" t="s">
        <v>6866</v>
      </c>
      <c r="T3034" t="s">
        <v>7662</v>
      </c>
      <c r="U3034" t="s">
        <v>7662</v>
      </c>
      <c r="V3034" t="s">
        <v>7662</v>
      </c>
      <c r="W3034">
        <v>10</v>
      </c>
      <c r="X3034" t="s">
        <v>10696</v>
      </c>
      <c r="Y3034">
        <v>0.33863674561949181</v>
      </c>
      <c r="Z3034" t="str">
        <f>HYPERLINK("Melting_Curves/meltCurve_sp_Q9UNE7_CHIP_HUMAN_.pdf", "Melting_Curves/meltCurve_sp_Q9UNE7_CHIP_HUMAN_.pdf")</f>
        <v>Melting_Curves/meltCurve_sp_Q9UNE7_CHIP_HUMAN_.pdf</v>
      </c>
      <c r="AA3034" t="s">
        <v>14489</v>
      </c>
      <c r="AB3034" t="s">
        <v>18273</v>
      </c>
    </row>
    <row r="3035" spans="1:28" x14ac:dyDescent="0.25">
      <c r="A3035" t="s">
        <v>3039</v>
      </c>
      <c r="B3035">
        <v>0.98876768158843997</v>
      </c>
      <c r="C3035">
        <v>0.91048628390695796</v>
      </c>
      <c r="D3035">
        <v>0.90073585421810398</v>
      </c>
      <c r="E3035">
        <v>0.499907521340754</v>
      </c>
      <c r="F3035">
        <v>0.30234999124501999</v>
      </c>
      <c r="G3035">
        <v>0.18178121930469701</v>
      </c>
      <c r="H3035">
        <v>0.131077605203474</v>
      </c>
      <c r="I3035">
        <v>0.134297922630117</v>
      </c>
      <c r="J3035">
        <v>0.10746442131690299</v>
      </c>
      <c r="K3035">
        <v>0.113792179348482</v>
      </c>
      <c r="L3035">
        <v>1057.9536300473701</v>
      </c>
      <c r="M3035">
        <v>21.330934314753399</v>
      </c>
      <c r="N3035">
        <v>50.225208640610603</v>
      </c>
      <c r="O3035">
        <v>49.167421982469897</v>
      </c>
      <c r="P3035">
        <v>-9.5766469299648702E-2</v>
      </c>
      <c r="Q3035">
        <v>0.117062214791083</v>
      </c>
      <c r="R3035">
        <v>0.99501871845828405</v>
      </c>
      <c r="S3035" t="s">
        <v>6867</v>
      </c>
      <c r="T3035" t="s">
        <v>7662</v>
      </c>
      <c r="U3035" t="s">
        <v>7662</v>
      </c>
      <c r="V3035" t="s">
        <v>7662</v>
      </c>
      <c r="W3035">
        <v>11</v>
      </c>
      <c r="X3035" t="s">
        <v>10697</v>
      </c>
      <c r="Y3035">
        <v>0.41034862981523218</v>
      </c>
      <c r="Z3035" t="str">
        <f>HYPERLINK("Melting_Curves/meltCurve_sp_Q9UNF0_2_PACN2_HUMAN_.pdf", "Melting_Curves/meltCurve_sp_Q9UNF0_2_PACN2_HUMAN_.pdf")</f>
        <v>Melting_Curves/meltCurve_sp_Q9UNF0_2_PACN2_HUMAN_.pdf</v>
      </c>
      <c r="AA3035" t="s">
        <v>14490</v>
      </c>
      <c r="AB3035" t="s">
        <v>18274</v>
      </c>
    </row>
    <row r="3036" spans="1:28" x14ac:dyDescent="0.25">
      <c r="A3036" t="s">
        <v>3040</v>
      </c>
      <c r="B3036">
        <v>0.98876768158843997</v>
      </c>
      <c r="C3036">
        <v>1.0073547433988601</v>
      </c>
      <c r="D3036">
        <v>0.87259300654221605</v>
      </c>
      <c r="E3036">
        <v>0.72515747802081798</v>
      </c>
      <c r="F3036">
        <v>0.72675562868541599</v>
      </c>
      <c r="G3036">
        <v>0.49704626645441002</v>
      </c>
      <c r="H3036">
        <v>0.380892190231371</v>
      </c>
      <c r="I3036">
        <v>0.44588596032560202</v>
      </c>
      <c r="J3036">
        <v>0.63077941390644698</v>
      </c>
      <c r="K3036">
        <v>0.65493143055865699</v>
      </c>
      <c r="L3036">
        <v>940.64126909036702</v>
      </c>
      <c r="M3036">
        <v>18.988506711994798</v>
      </c>
      <c r="O3036">
        <v>48.997776481961402</v>
      </c>
      <c r="P3036">
        <v>-4.6161372381676301E-2</v>
      </c>
      <c r="Q3036">
        <v>0.52356125499711903</v>
      </c>
      <c r="R3036">
        <v>0.82304438995598805</v>
      </c>
      <c r="S3036" t="s">
        <v>6868</v>
      </c>
      <c r="T3036" t="s">
        <v>7662</v>
      </c>
      <c r="U3036" t="s">
        <v>7662</v>
      </c>
      <c r="V3036" t="s">
        <v>7662</v>
      </c>
      <c r="W3036">
        <v>3</v>
      </c>
      <c r="X3036" t="s">
        <v>10698</v>
      </c>
      <c r="Y3036">
        <v>0.68239346173024729</v>
      </c>
      <c r="Z3036" t="str">
        <f>HYPERLINK("Melting_Curves/meltCurve_sp_Q9UNF1_MAGD2_HUMAN_.pdf", "Melting_Curves/meltCurve_sp_Q9UNF1_MAGD2_HUMAN_.pdf")</f>
        <v>Melting_Curves/meltCurve_sp_Q9UNF1_MAGD2_HUMAN_.pdf</v>
      </c>
      <c r="AA3036" t="s">
        <v>14491</v>
      </c>
      <c r="AB3036" t="s">
        <v>18275</v>
      </c>
    </row>
    <row r="3037" spans="1:28" x14ac:dyDescent="0.25">
      <c r="A3037" t="s">
        <v>3041</v>
      </c>
      <c r="B3037">
        <v>0.98876768158843997</v>
      </c>
      <c r="C3037">
        <v>0.95339801986393002</v>
      </c>
      <c r="D3037">
        <v>0.74432735557528096</v>
      </c>
      <c r="E3037">
        <v>0.35509777963309702</v>
      </c>
      <c r="F3037">
        <v>8.2159251697755606E-2</v>
      </c>
      <c r="G3037">
        <v>4.51265147959393E-2</v>
      </c>
      <c r="H3037">
        <v>2.9244878473750499E-2</v>
      </c>
      <c r="I3037">
        <v>2.5298353733763199E-2</v>
      </c>
      <c r="J3037">
        <v>2.87878332351852E-2</v>
      </c>
      <c r="K3037">
        <v>2.4741335662922699E-2</v>
      </c>
      <c r="L3037">
        <v>1120.5267590175899</v>
      </c>
      <c r="M3037">
        <v>23.222544279572901</v>
      </c>
      <c r="N3037">
        <v>48.3304813807664</v>
      </c>
      <c r="O3037">
        <v>47.898149225710398</v>
      </c>
      <c r="P3037">
        <v>-0.11895827825295099</v>
      </c>
      <c r="Q3037">
        <v>1.8578052736864799E-2</v>
      </c>
      <c r="R3037">
        <v>0.99752460469427295</v>
      </c>
      <c r="S3037" t="s">
        <v>6869</v>
      </c>
      <c r="T3037" t="s">
        <v>7662</v>
      </c>
      <c r="U3037" t="s">
        <v>7662</v>
      </c>
      <c r="V3037" t="s">
        <v>7662</v>
      </c>
      <c r="W3037">
        <v>12</v>
      </c>
      <c r="X3037" t="s">
        <v>10699</v>
      </c>
      <c r="Y3037">
        <v>0.29865610429975942</v>
      </c>
      <c r="Z3037" t="str">
        <f>HYPERLINK("Melting_Curves/meltCurve_sp_Q9UNH7_SNX6_HUMAN_.pdf", "Melting_Curves/meltCurve_sp_Q9UNH7_SNX6_HUMAN_.pdf")</f>
        <v>Melting_Curves/meltCurve_sp_Q9UNH7_SNX6_HUMAN_.pdf</v>
      </c>
      <c r="AA3037" t="s">
        <v>14492</v>
      </c>
      <c r="AB3037" t="s">
        <v>18276</v>
      </c>
    </row>
    <row r="3038" spans="1:28" x14ac:dyDescent="0.25">
      <c r="A3038" t="s">
        <v>3042</v>
      </c>
      <c r="B3038">
        <v>0.98876768158843997</v>
      </c>
      <c r="C3038">
        <v>0.85686492224023802</v>
      </c>
      <c r="D3038">
        <v>0.89405239831788996</v>
      </c>
      <c r="E3038">
        <v>0.55265515493098605</v>
      </c>
      <c r="F3038">
        <v>0.19494121576271201</v>
      </c>
      <c r="G3038">
        <v>9.5796189542217594E-2</v>
      </c>
      <c r="H3038">
        <v>5.8215666713731101E-2</v>
      </c>
      <c r="I3038">
        <v>4.8168977020556197E-2</v>
      </c>
      <c r="J3038">
        <v>5.8072764049105802E-2</v>
      </c>
      <c r="K3038">
        <v>4.4996778111813698E-2</v>
      </c>
      <c r="L3038">
        <v>1182.99587474653</v>
      </c>
      <c r="M3038">
        <v>23.678793929582199</v>
      </c>
      <c r="N3038">
        <v>50.151162325442797</v>
      </c>
      <c r="O3038">
        <v>49.607899465171499</v>
      </c>
      <c r="P3038">
        <v>-0.11418598239539</v>
      </c>
      <c r="Q3038">
        <v>4.3121493210667897E-2</v>
      </c>
      <c r="R3038">
        <v>0.98686658472109401</v>
      </c>
      <c r="S3038" t="s">
        <v>6870</v>
      </c>
      <c r="T3038" t="s">
        <v>7662</v>
      </c>
      <c r="U3038" t="s">
        <v>7662</v>
      </c>
      <c r="V3038" t="s">
        <v>7662</v>
      </c>
      <c r="W3038">
        <v>19</v>
      </c>
      <c r="X3038" t="s">
        <v>10700</v>
      </c>
      <c r="Y3038">
        <v>0.37034354754983517</v>
      </c>
      <c r="Z3038" t="str">
        <f>HYPERLINK("Melting_Curves/meltCurve_sp_Q9UNM6_PSD13_HUMAN_.pdf", "Melting_Curves/meltCurve_sp_Q9UNM6_PSD13_HUMAN_.pdf")</f>
        <v>Melting_Curves/meltCurve_sp_Q9UNM6_PSD13_HUMAN_.pdf</v>
      </c>
      <c r="AA3038" t="s">
        <v>14493</v>
      </c>
      <c r="AB3038" t="s">
        <v>18277</v>
      </c>
    </row>
    <row r="3039" spans="1:28" x14ac:dyDescent="0.25">
      <c r="A3039" t="s">
        <v>3043</v>
      </c>
      <c r="B3039">
        <v>0.98876768158843997</v>
      </c>
      <c r="C3039">
        <v>0.98895584651928203</v>
      </c>
      <c r="D3039">
        <v>0.90005471496987099</v>
      </c>
      <c r="E3039">
        <v>0.78932233246408801</v>
      </c>
      <c r="F3039">
        <v>0.75520985039772304</v>
      </c>
      <c r="G3039">
        <v>0.50489073118973504</v>
      </c>
      <c r="H3039">
        <v>0.23272961476658399</v>
      </c>
      <c r="I3039">
        <v>9.6366602824353706E-2</v>
      </c>
      <c r="J3039">
        <v>8.5870888207253901E-2</v>
      </c>
      <c r="K3039">
        <v>9.5485848552995606E-2</v>
      </c>
      <c r="L3039">
        <v>788.62382841831095</v>
      </c>
      <c r="M3039">
        <v>14.0019290506589</v>
      </c>
      <c r="N3039">
        <v>56.3225108608138</v>
      </c>
      <c r="O3039">
        <v>55.210979227115402</v>
      </c>
      <c r="P3039">
        <v>-6.3410289151135599E-2</v>
      </c>
      <c r="Q3039">
        <v>0</v>
      </c>
      <c r="R3039">
        <v>0.98670462641059598</v>
      </c>
      <c r="S3039" t="s">
        <v>6871</v>
      </c>
      <c r="T3039" t="s">
        <v>7662</v>
      </c>
      <c r="U3039" t="s">
        <v>7662</v>
      </c>
      <c r="V3039" t="s">
        <v>7662</v>
      </c>
      <c r="W3039">
        <v>10</v>
      </c>
      <c r="X3039" t="s">
        <v>10701</v>
      </c>
      <c r="Y3039">
        <v>0.56209202124154878</v>
      </c>
      <c r="Z3039" t="str">
        <f>HYPERLINK("Melting_Curves/meltCurve_sp_Q9UNN5_FAF1_HUMAN_.pdf", "Melting_Curves/meltCurve_sp_Q9UNN5_FAF1_HUMAN_.pdf")</f>
        <v>Melting_Curves/meltCurve_sp_Q9UNN5_FAF1_HUMAN_.pdf</v>
      </c>
      <c r="AA3039" t="s">
        <v>14494</v>
      </c>
      <c r="AB3039" t="s">
        <v>18278</v>
      </c>
    </row>
    <row r="3040" spans="1:28" x14ac:dyDescent="0.25">
      <c r="A3040" t="s">
        <v>3044</v>
      </c>
      <c r="B3040">
        <v>0.98876768158843997</v>
      </c>
      <c r="C3040">
        <v>0.84020330597016801</v>
      </c>
      <c r="D3040">
        <v>1.0757447416693799</v>
      </c>
      <c r="E3040">
        <v>0.939061943391859</v>
      </c>
      <c r="F3040">
        <v>0.54124263900696801</v>
      </c>
      <c r="G3040">
        <v>0.30523546977238503</v>
      </c>
      <c r="H3040">
        <v>0.33585618168840498</v>
      </c>
      <c r="I3040">
        <v>0.127219676763005</v>
      </c>
      <c r="J3040">
        <v>4.31336890225478E-2</v>
      </c>
      <c r="K3040">
        <v>5.1262677205254001E-2</v>
      </c>
      <c r="L3040">
        <v>1037.21021256176</v>
      </c>
      <c r="M3040">
        <v>19.156596817450001</v>
      </c>
      <c r="N3040">
        <v>54.652351396707502</v>
      </c>
      <c r="O3040">
        <v>53.564116080904299</v>
      </c>
      <c r="P3040">
        <v>-8.2113628179103101E-2</v>
      </c>
      <c r="Q3040">
        <v>8.1637941117455801E-2</v>
      </c>
      <c r="R3040">
        <v>0.94339674521329697</v>
      </c>
      <c r="S3040" t="s">
        <v>6872</v>
      </c>
      <c r="T3040" t="s">
        <v>7662</v>
      </c>
      <c r="U3040" t="s">
        <v>7662</v>
      </c>
      <c r="V3040" t="s">
        <v>7662</v>
      </c>
      <c r="W3040">
        <v>4</v>
      </c>
      <c r="X3040" t="s">
        <v>10702</v>
      </c>
      <c r="Y3040">
        <v>0.52793172815593414</v>
      </c>
      <c r="Z3040" t="str">
        <f>HYPERLINK("Melting_Curves/meltCurve_sp_Q9UNS2_CSN3_HUMAN_.pdf", "Melting_Curves/meltCurve_sp_Q9UNS2_CSN3_HUMAN_.pdf")</f>
        <v>Melting_Curves/meltCurve_sp_Q9UNS2_CSN3_HUMAN_.pdf</v>
      </c>
      <c r="AA3040" t="s">
        <v>14495</v>
      </c>
      <c r="AB3040" t="s">
        <v>18279</v>
      </c>
    </row>
    <row r="3041" spans="1:28" x14ac:dyDescent="0.25">
      <c r="A3041" t="s">
        <v>3045</v>
      </c>
      <c r="B3041">
        <v>0.98876768158843997</v>
      </c>
      <c r="C3041">
        <v>1.0650889994232799</v>
      </c>
      <c r="D3041">
        <v>0.90374206376195998</v>
      </c>
      <c r="E3041">
        <v>0.78911794549784597</v>
      </c>
      <c r="F3041">
        <v>0.84967455138959203</v>
      </c>
      <c r="G3041">
        <v>0.56682222988843001</v>
      </c>
      <c r="H3041">
        <v>0.404395396522305</v>
      </c>
      <c r="I3041">
        <v>0.39858279279287001</v>
      </c>
      <c r="J3041">
        <v>0.46989843512513502</v>
      </c>
      <c r="K3041">
        <v>0.44855985716312302</v>
      </c>
      <c r="L3041">
        <v>885.37481509969302</v>
      </c>
      <c r="M3041">
        <v>16.410106603707298</v>
      </c>
      <c r="N3041">
        <v>59.743910858649798</v>
      </c>
      <c r="O3041">
        <v>53.170903711236399</v>
      </c>
      <c r="P3041">
        <v>-4.6444417467547398E-2</v>
      </c>
      <c r="Q3041">
        <v>0.39809864732764599</v>
      </c>
      <c r="R3041">
        <v>0.936186787018919</v>
      </c>
      <c r="S3041" t="s">
        <v>6873</v>
      </c>
      <c r="T3041" t="s">
        <v>7662</v>
      </c>
      <c r="U3041" t="s">
        <v>7662</v>
      </c>
      <c r="V3041" t="s">
        <v>7662</v>
      </c>
      <c r="W3041">
        <v>22</v>
      </c>
      <c r="X3041" t="s">
        <v>10703</v>
      </c>
      <c r="Y3041">
        <v>0.68905026340251541</v>
      </c>
      <c r="Z3041" t="str">
        <f>HYPERLINK("Melting_Curves/meltCurve_sp_Q9UNZ2_NSF1C_HUMAN_.pdf", "Melting_Curves/meltCurve_sp_Q9UNZ2_NSF1C_HUMAN_.pdf")</f>
        <v>Melting_Curves/meltCurve_sp_Q9UNZ2_NSF1C_HUMAN_.pdf</v>
      </c>
      <c r="AA3041" t="s">
        <v>14496</v>
      </c>
      <c r="AB3041" t="s">
        <v>18280</v>
      </c>
    </row>
    <row r="3042" spans="1:28" x14ac:dyDescent="0.25">
      <c r="A3042" t="s">
        <v>3046</v>
      </c>
      <c r="B3042">
        <v>0.98876768158843997</v>
      </c>
      <c r="C3042">
        <v>0.89961794387120297</v>
      </c>
      <c r="D3042">
        <v>0.92286753540595101</v>
      </c>
      <c r="E3042">
        <v>0.40299350760781999</v>
      </c>
      <c r="F3042">
        <v>0.19479359929283799</v>
      </c>
      <c r="G3042">
        <v>0.105670362028413</v>
      </c>
      <c r="H3042">
        <v>7.1369927518090098E-2</v>
      </c>
      <c r="I3042">
        <v>7.44415613988689E-2</v>
      </c>
      <c r="J3042">
        <v>8.1839545857021606E-2</v>
      </c>
      <c r="K3042">
        <v>4.5089937682610402E-2</v>
      </c>
      <c r="L3042">
        <v>1406.1250651345899</v>
      </c>
      <c r="M3042">
        <v>28.6149153011133</v>
      </c>
      <c r="N3042">
        <v>49.410299177313199</v>
      </c>
      <c r="O3042">
        <v>48.901444941559703</v>
      </c>
      <c r="P3042">
        <v>-0.135676193191444</v>
      </c>
      <c r="Q3042">
        <v>7.2551795517442494E-2</v>
      </c>
      <c r="R3042">
        <v>0.99239138583834596</v>
      </c>
      <c r="S3042" t="s">
        <v>6874</v>
      </c>
      <c r="T3042" t="s">
        <v>7662</v>
      </c>
      <c r="U3042" t="s">
        <v>7662</v>
      </c>
      <c r="V3042" t="s">
        <v>7662</v>
      </c>
      <c r="W3042">
        <v>4</v>
      </c>
      <c r="X3042" t="s">
        <v>10704</v>
      </c>
      <c r="Y3042">
        <v>0.36133680319525052</v>
      </c>
      <c r="Z3042" t="str">
        <f>HYPERLINK("Melting_Curves/meltCurve_sp_Q9UP83_COG5_HUMAN_.pdf", "Melting_Curves/meltCurve_sp_Q9UP83_COG5_HUMAN_.pdf")</f>
        <v>Melting_Curves/meltCurve_sp_Q9UP83_COG5_HUMAN_.pdf</v>
      </c>
      <c r="AA3042" t="s">
        <v>14497</v>
      </c>
      <c r="AB3042" t="s">
        <v>18281</v>
      </c>
    </row>
    <row r="3043" spans="1:28" x14ac:dyDescent="0.25">
      <c r="A3043" t="s">
        <v>3047</v>
      </c>
      <c r="B3043">
        <v>0.98876768158843997</v>
      </c>
      <c r="C3043">
        <v>1.1599533202567001</v>
      </c>
      <c r="D3043">
        <v>0.89752647914614203</v>
      </c>
      <c r="E3043">
        <v>0.73099475697910099</v>
      </c>
      <c r="F3043">
        <v>0.90020717596960698</v>
      </c>
      <c r="G3043">
        <v>0.58831364176392098</v>
      </c>
      <c r="H3043">
        <v>0.46217713329728</v>
      </c>
      <c r="I3043">
        <v>0.545367649836626</v>
      </c>
      <c r="J3043">
        <v>0.77537104065065499</v>
      </c>
      <c r="K3043">
        <v>0.85594198767181595</v>
      </c>
      <c r="L3043">
        <v>1083.5214495699199</v>
      </c>
      <c r="M3043">
        <v>21.971080904031499</v>
      </c>
      <c r="O3043">
        <v>48.912702783236199</v>
      </c>
      <c r="P3043">
        <v>-3.7935091572866397E-2</v>
      </c>
      <c r="Q3043">
        <v>0.66219838733928604</v>
      </c>
      <c r="R3043">
        <v>0.55968273261547796</v>
      </c>
      <c r="S3043" t="s">
        <v>6875</v>
      </c>
      <c r="T3043" t="s">
        <v>7662</v>
      </c>
      <c r="U3043" t="s">
        <v>7662</v>
      </c>
      <c r="V3043" t="s">
        <v>7662</v>
      </c>
      <c r="W3043">
        <v>6</v>
      </c>
      <c r="X3043" t="s">
        <v>10705</v>
      </c>
      <c r="Y3043">
        <v>0.77099857908458358</v>
      </c>
      <c r="Z3043" t="str">
        <f>HYPERLINK("Melting_Curves/meltCurve_sp_Q9UPN6_SCAF8_HUMAN_.pdf", "Melting_Curves/meltCurve_sp_Q9UPN6_SCAF8_HUMAN_.pdf")</f>
        <v>Melting_Curves/meltCurve_sp_Q9UPN6_SCAF8_HUMAN_.pdf</v>
      </c>
      <c r="AA3043" t="s">
        <v>14498</v>
      </c>
      <c r="AB3043" t="s">
        <v>18282</v>
      </c>
    </row>
    <row r="3044" spans="1:28" x14ac:dyDescent="0.25">
      <c r="A3044" t="s">
        <v>3048</v>
      </c>
      <c r="B3044">
        <v>0.98876768158843997</v>
      </c>
      <c r="C3044">
        <v>1.0362621945922299</v>
      </c>
      <c r="D3044">
        <v>0.93270874828313</v>
      </c>
      <c r="E3044">
        <v>0.80854949670770004</v>
      </c>
      <c r="F3044">
        <v>0.46802856813100402</v>
      </c>
      <c r="G3044">
        <v>0.34807415025766197</v>
      </c>
      <c r="H3044">
        <v>0.178265376479185</v>
      </c>
      <c r="I3044">
        <v>0.13568337665876301</v>
      </c>
      <c r="J3044">
        <v>0.113008951391975</v>
      </c>
      <c r="K3044">
        <v>6.6009000100234694E-2</v>
      </c>
      <c r="L3044">
        <v>910.28037862113001</v>
      </c>
      <c r="M3044">
        <v>17.160085395180001</v>
      </c>
      <c r="N3044">
        <v>53.614121896109403</v>
      </c>
      <c r="O3044">
        <v>52.341685208825098</v>
      </c>
      <c r="P3044">
        <v>-7.5156836376875494E-2</v>
      </c>
      <c r="Q3044">
        <v>8.3080836375408501E-2</v>
      </c>
      <c r="R3044">
        <v>0.98961111579983996</v>
      </c>
      <c r="S3044" t="s">
        <v>6876</v>
      </c>
      <c r="T3044" t="s">
        <v>7662</v>
      </c>
      <c r="U3044" t="s">
        <v>7662</v>
      </c>
      <c r="V3044" t="s">
        <v>7662</v>
      </c>
      <c r="W3044">
        <v>1</v>
      </c>
      <c r="X3044" t="s">
        <v>10706</v>
      </c>
      <c r="Y3044">
        <v>0.49799869048493578</v>
      </c>
      <c r="Z3044" t="str">
        <f>HYPERLINK("Melting_Curves/meltCurve_sp_Q9UPN7_PP6R1_HUMAN_.pdf", "Melting_Curves/meltCurve_sp_Q9UPN7_PP6R1_HUMAN_.pdf")</f>
        <v>Melting_Curves/meltCurve_sp_Q9UPN7_PP6R1_HUMAN_.pdf</v>
      </c>
      <c r="AA3044" t="s">
        <v>14499</v>
      </c>
      <c r="AB3044" t="s">
        <v>18283</v>
      </c>
    </row>
    <row r="3045" spans="1:28" x14ac:dyDescent="0.25">
      <c r="A3045" t="s">
        <v>3049</v>
      </c>
      <c r="B3045">
        <v>0.98876768158843997</v>
      </c>
      <c r="C3045">
        <v>0.938056458425095</v>
      </c>
      <c r="D3045">
        <v>0.79047604550038497</v>
      </c>
      <c r="E3045">
        <v>0.62006071090179704</v>
      </c>
      <c r="F3045">
        <v>0.635019074956649</v>
      </c>
      <c r="G3045">
        <v>0.44162414517277498</v>
      </c>
      <c r="H3045">
        <v>0.25720228838764603</v>
      </c>
      <c r="I3045">
        <v>0.158175597697502</v>
      </c>
      <c r="J3045">
        <v>0.100068592552656</v>
      </c>
      <c r="K3045">
        <v>0.126594011293371</v>
      </c>
      <c r="L3045">
        <v>501.53639847115102</v>
      </c>
      <c r="M3045">
        <v>9.2395206800190604</v>
      </c>
      <c r="N3045">
        <v>54.281646717722097</v>
      </c>
      <c r="O3045">
        <v>51.920558285926099</v>
      </c>
      <c r="P3045">
        <v>-4.4517980786377698E-2</v>
      </c>
      <c r="Q3045">
        <v>0</v>
      </c>
      <c r="R3045">
        <v>0.97959496324666395</v>
      </c>
      <c r="S3045" t="s">
        <v>6877</v>
      </c>
      <c r="T3045" t="s">
        <v>7662</v>
      </c>
      <c r="U3045" t="s">
        <v>7662</v>
      </c>
      <c r="V3045" t="s">
        <v>7662</v>
      </c>
      <c r="W3045">
        <v>5</v>
      </c>
      <c r="X3045" t="s">
        <v>10707</v>
      </c>
      <c r="Y3045">
        <v>0.50637821235401448</v>
      </c>
      <c r="Z3045" t="str">
        <f>HYPERLINK("Melting_Curves/meltCurve_sp_Q9UPN9_2_TRI33_HUMAN_.pdf", "Melting_Curves/meltCurve_sp_Q9UPN9_2_TRI33_HUMAN_.pdf")</f>
        <v>Melting_Curves/meltCurve_sp_Q9UPN9_2_TRI33_HUMAN_.pdf</v>
      </c>
      <c r="AA3045" t="s">
        <v>14500</v>
      </c>
      <c r="AB3045" t="s">
        <v>18284</v>
      </c>
    </row>
    <row r="3046" spans="1:28" x14ac:dyDescent="0.25">
      <c r="A3046" t="s">
        <v>3050</v>
      </c>
      <c r="B3046">
        <v>0.98876768158843997</v>
      </c>
      <c r="C3046">
        <v>1.0368609444552599</v>
      </c>
      <c r="D3046">
        <v>0.94416697253862303</v>
      </c>
      <c r="E3046">
        <v>0.85961386704218001</v>
      </c>
      <c r="F3046">
        <v>0.77686454260557303</v>
      </c>
      <c r="G3046">
        <v>0.58271974173699403</v>
      </c>
      <c r="H3046">
        <v>0.47855118822690301</v>
      </c>
      <c r="I3046">
        <v>0.53984506186880699</v>
      </c>
      <c r="J3046">
        <v>0.69051248621616701</v>
      </c>
      <c r="K3046">
        <v>0.78991532467722803</v>
      </c>
      <c r="L3046">
        <v>1451.9400937587</v>
      </c>
      <c r="M3046">
        <v>28.2820761862693</v>
      </c>
      <c r="O3046">
        <v>51.083215355576499</v>
      </c>
      <c r="P3046">
        <v>-5.3007557237721097E-2</v>
      </c>
      <c r="Q3046">
        <v>0.617033233231431</v>
      </c>
      <c r="R3046">
        <v>0.78988798221697698</v>
      </c>
      <c r="S3046" t="s">
        <v>6878</v>
      </c>
      <c r="T3046" t="s">
        <v>7662</v>
      </c>
      <c r="U3046" t="s">
        <v>7662</v>
      </c>
      <c r="V3046" t="s">
        <v>7662</v>
      </c>
      <c r="W3046">
        <v>7</v>
      </c>
      <c r="X3046" t="s">
        <v>10708</v>
      </c>
      <c r="Y3046">
        <v>0.76448972090559275</v>
      </c>
      <c r="Z3046" t="str">
        <f>HYPERLINK("Melting_Curves/meltCurve_sp_Q9UPQ9_1_TNR6B_HUMAN_.pdf", "Melting_Curves/meltCurve_sp_Q9UPQ9_1_TNR6B_HUMAN_.pdf")</f>
        <v>Melting_Curves/meltCurve_sp_Q9UPQ9_1_TNR6B_HUMAN_.pdf</v>
      </c>
      <c r="AA3046" t="s">
        <v>14501</v>
      </c>
      <c r="AB3046" t="s">
        <v>18285</v>
      </c>
    </row>
    <row r="3047" spans="1:28" x14ac:dyDescent="0.25">
      <c r="A3047" t="s">
        <v>3051</v>
      </c>
      <c r="B3047">
        <v>0.98876768158843997</v>
      </c>
      <c r="C3047">
        <v>0.89204036079745597</v>
      </c>
      <c r="D3047">
        <v>0.86800536664642403</v>
      </c>
      <c r="E3047">
        <v>0.48681858952416701</v>
      </c>
      <c r="F3047">
        <v>0.26889419910653101</v>
      </c>
      <c r="G3047">
        <v>0.135741509779748</v>
      </c>
      <c r="H3047">
        <v>8.2875118497071798E-2</v>
      </c>
      <c r="I3047">
        <v>5.6748552529877601E-2</v>
      </c>
      <c r="J3047">
        <v>5.5234085777263298E-2</v>
      </c>
      <c r="K3047">
        <v>4.20362772780251E-2</v>
      </c>
      <c r="L3047">
        <v>926.973263475208</v>
      </c>
      <c r="M3047">
        <v>18.641207401973499</v>
      </c>
      <c r="N3047">
        <v>49.983600150647199</v>
      </c>
      <c r="O3047">
        <v>49.165439685577802</v>
      </c>
      <c r="P3047">
        <v>-9.0468462245556699E-2</v>
      </c>
      <c r="Q3047">
        <v>4.5613164562481198E-2</v>
      </c>
      <c r="R3047">
        <v>0.99575571616056002</v>
      </c>
      <c r="S3047" t="s">
        <v>6879</v>
      </c>
      <c r="T3047" t="s">
        <v>7662</v>
      </c>
      <c r="U3047" t="s">
        <v>7662</v>
      </c>
      <c r="V3047" t="s">
        <v>7662</v>
      </c>
      <c r="W3047">
        <v>5</v>
      </c>
      <c r="X3047" t="s">
        <v>10709</v>
      </c>
      <c r="Y3047">
        <v>0.37032749230853329</v>
      </c>
      <c r="Z3047" t="str">
        <f>HYPERLINK("Melting_Curves/meltCurve_sp_Q9UPT5_2_EXOC7_HUMAN_.pdf", "Melting_Curves/meltCurve_sp_Q9UPT5_2_EXOC7_HUMAN_.pdf")</f>
        <v>Melting_Curves/meltCurve_sp_Q9UPT5_2_EXOC7_HUMAN_.pdf</v>
      </c>
      <c r="AA3047" t="s">
        <v>14502</v>
      </c>
      <c r="AB3047" t="s">
        <v>18286</v>
      </c>
    </row>
    <row r="3048" spans="1:28" x14ac:dyDescent="0.25">
      <c r="A3048" t="s">
        <v>3052</v>
      </c>
      <c r="B3048">
        <v>0.98876768158843997</v>
      </c>
      <c r="C3048">
        <v>0.97542596672281201</v>
      </c>
      <c r="D3048">
        <v>1.0240663390225599</v>
      </c>
      <c r="E3048">
        <v>0.713965472864172</v>
      </c>
      <c r="F3048">
        <v>0.31974241582616603</v>
      </c>
      <c r="G3048">
        <v>0.240128352891119</v>
      </c>
      <c r="H3048">
        <v>0.16619769933867801</v>
      </c>
      <c r="I3048">
        <v>0.13793706835644501</v>
      </c>
      <c r="J3048">
        <v>0.151978912782679</v>
      </c>
      <c r="K3048">
        <v>0.14169382288073201</v>
      </c>
      <c r="L3048">
        <v>1818.6891407251901</v>
      </c>
      <c r="M3048">
        <v>35.701128033488601</v>
      </c>
      <c r="N3048">
        <v>51.504773507719499</v>
      </c>
      <c r="O3048">
        <v>50.783026812832702</v>
      </c>
      <c r="P3048">
        <v>-0.147371617937782</v>
      </c>
      <c r="Q3048">
        <v>0.16148847140749201</v>
      </c>
      <c r="R3048">
        <v>0.99475094283985499</v>
      </c>
      <c r="S3048" t="s">
        <v>6880</v>
      </c>
      <c r="T3048" t="s">
        <v>7662</v>
      </c>
      <c r="U3048" t="s">
        <v>7662</v>
      </c>
      <c r="V3048" t="s">
        <v>7662</v>
      </c>
      <c r="W3048">
        <v>8</v>
      </c>
      <c r="X3048" t="s">
        <v>10710</v>
      </c>
      <c r="Y3048">
        <v>0.47103583791393139</v>
      </c>
      <c r="Z3048" t="str">
        <f>HYPERLINK("Melting_Curves/meltCurve_sp_Q9UPU5_UBP24_HUMAN_.pdf", "Melting_Curves/meltCurve_sp_Q9UPU5_UBP24_HUMAN_.pdf")</f>
        <v>Melting_Curves/meltCurve_sp_Q9UPU5_UBP24_HUMAN_.pdf</v>
      </c>
      <c r="AA3048" t="s">
        <v>14503</v>
      </c>
      <c r="AB3048" t="s">
        <v>18287</v>
      </c>
    </row>
    <row r="3049" spans="1:28" x14ac:dyDescent="0.25">
      <c r="A3049" t="s">
        <v>3053</v>
      </c>
      <c r="B3049">
        <v>0.98876768158843997</v>
      </c>
      <c r="C3049">
        <v>1.0722050038673001</v>
      </c>
      <c r="D3049">
        <v>0.84969756592199497</v>
      </c>
      <c r="E3049">
        <v>0.72834735753512203</v>
      </c>
      <c r="F3049">
        <v>0.61860516602944704</v>
      </c>
      <c r="G3049">
        <v>0.31132433019359002</v>
      </c>
      <c r="H3049">
        <v>0.25250467767046098</v>
      </c>
      <c r="I3049">
        <v>0.33390393578732402</v>
      </c>
      <c r="J3049">
        <v>0.505549610869229</v>
      </c>
      <c r="K3049">
        <v>0.469330222170525</v>
      </c>
      <c r="L3049">
        <v>1127.7979705745299</v>
      </c>
      <c r="M3049">
        <v>22.3091119868484</v>
      </c>
      <c r="N3049">
        <v>53.870184065997996</v>
      </c>
      <c r="O3049">
        <v>50.152305604858199</v>
      </c>
      <c r="P3049">
        <v>-6.9682815833653405E-2</v>
      </c>
      <c r="Q3049">
        <v>0.37340759256516698</v>
      </c>
      <c r="R3049">
        <v>0.89504670089087501</v>
      </c>
      <c r="S3049" t="s">
        <v>6881</v>
      </c>
      <c r="T3049" t="s">
        <v>7662</v>
      </c>
      <c r="U3049" t="s">
        <v>7662</v>
      </c>
      <c r="V3049" t="s">
        <v>7662</v>
      </c>
      <c r="W3049">
        <v>1</v>
      </c>
      <c r="X3049" t="s">
        <v>10711</v>
      </c>
      <c r="Y3049">
        <v>0.60087794595966715</v>
      </c>
      <c r="Z3049" t="str">
        <f>HYPERLINK("Melting_Curves/meltCurve_sp_Q9UPU7_2_TBD2B_HUMAN_.pdf", "Melting_Curves/meltCurve_sp_Q9UPU7_2_TBD2B_HUMAN_.pdf")</f>
        <v>Melting_Curves/meltCurve_sp_Q9UPU7_2_TBD2B_HUMAN_.pdf</v>
      </c>
      <c r="AA3049" t="s">
        <v>14504</v>
      </c>
      <c r="AB3049" t="s">
        <v>18288</v>
      </c>
    </row>
    <row r="3050" spans="1:28" x14ac:dyDescent="0.25">
      <c r="A3050" t="s">
        <v>3054</v>
      </c>
      <c r="B3050">
        <v>0.98876768158843997</v>
      </c>
      <c r="C3050">
        <v>1.0714665728575301</v>
      </c>
      <c r="D3050">
        <v>1.1142303935804301</v>
      </c>
      <c r="E3050">
        <v>0.87606651434594796</v>
      </c>
      <c r="F3050">
        <v>0.168405574429869</v>
      </c>
      <c r="G3050">
        <v>0.108085058932044</v>
      </c>
      <c r="H3050">
        <v>9.6910288144702705E-2</v>
      </c>
      <c r="I3050">
        <v>9.5112579923479504E-2</v>
      </c>
      <c r="J3050">
        <v>0</v>
      </c>
      <c r="K3050">
        <v>0.15765636651295101</v>
      </c>
      <c r="L3050">
        <v>3739.76619485848</v>
      </c>
      <c r="M3050">
        <v>72.945416613876603</v>
      </c>
      <c r="N3050">
        <v>51.4103990069354</v>
      </c>
      <c r="O3050">
        <v>51.229526077987899</v>
      </c>
      <c r="P3050">
        <v>-0.32341364494781799</v>
      </c>
      <c r="Q3050">
        <v>9.1467443669477996E-2</v>
      </c>
      <c r="R3050">
        <v>0.98454940217943698</v>
      </c>
      <c r="S3050" t="s">
        <v>6882</v>
      </c>
      <c r="T3050" t="s">
        <v>7662</v>
      </c>
      <c r="U3050" t="s">
        <v>7662</v>
      </c>
      <c r="V3050" t="s">
        <v>7662</v>
      </c>
      <c r="W3050">
        <v>1</v>
      </c>
      <c r="X3050" t="s">
        <v>10712</v>
      </c>
      <c r="Y3050">
        <v>0.43367496732637711</v>
      </c>
      <c r="Z3050" t="str">
        <f>HYPERLINK("Melting_Curves/meltCurve_sp_Q9UPY3_2_DICER_HUMAN_.pdf", "Melting_Curves/meltCurve_sp_Q9UPY3_2_DICER_HUMAN_.pdf")</f>
        <v>Melting_Curves/meltCurve_sp_Q9UPY3_2_DICER_HUMAN_.pdf</v>
      </c>
      <c r="AA3050" t="s">
        <v>14505</v>
      </c>
      <c r="AB3050" t="s">
        <v>18289</v>
      </c>
    </row>
    <row r="3051" spans="1:28" x14ac:dyDescent="0.25">
      <c r="A3051" t="s">
        <v>3055</v>
      </c>
      <c r="B3051">
        <v>0.98876768158843997</v>
      </c>
      <c r="C3051">
        <v>1.05479738118972</v>
      </c>
      <c r="D3051">
        <v>0.84195838730410699</v>
      </c>
      <c r="E3051">
        <v>0.68726036703862203</v>
      </c>
      <c r="F3051">
        <v>0.63527158189730903</v>
      </c>
      <c r="G3051">
        <v>0.32937276961102901</v>
      </c>
      <c r="H3051">
        <v>0.22086578959060699</v>
      </c>
      <c r="I3051">
        <v>0.24647155914110599</v>
      </c>
      <c r="J3051">
        <v>0.25519233588857199</v>
      </c>
      <c r="K3051">
        <v>0.29921691418725299</v>
      </c>
      <c r="L3051">
        <v>836.26693162761296</v>
      </c>
      <c r="M3051">
        <v>16.1531024682081</v>
      </c>
      <c r="N3051">
        <v>53.779214021680801</v>
      </c>
      <c r="O3051">
        <v>50.997298936696403</v>
      </c>
      <c r="P3051">
        <v>-6.1259502135162298E-2</v>
      </c>
      <c r="Q3051">
        <v>0.22644342685174201</v>
      </c>
      <c r="R3051">
        <v>0.96723446133328095</v>
      </c>
      <c r="S3051" t="s">
        <v>6883</v>
      </c>
      <c r="T3051" t="s">
        <v>7662</v>
      </c>
      <c r="U3051" t="s">
        <v>7662</v>
      </c>
      <c r="V3051" t="s">
        <v>7662</v>
      </c>
      <c r="W3051">
        <v>7</v>
      </c>
      <c r="X3051" t="s">
        <v>10713</v>
      </c>
      <c r="Y3051">
        <v>0.5454575106458367</v>
      </c>
      <c r="Z3051" t="str">
        <f>HYPERLINK("Melting_Curves/meltCurve_sp_Q9UPY8_2_MARE3_HUMAN_.pdf", "Melting_Curves/meltCurve_sp_Q9UPY8_2_MARE3_HUMAN_.pdf")</f>
        <v>Melting_Curves/meltCurve_sp_Q9UPY8_2_MARE3_HUMAN_.pdf</v>
      </c>
      <c r="AA3051" t="s">
        <v>14506</v>
      </c>
      <c r="AB3051" t="s">
        <v>18290</v>
      </c>
    </row>
    <row r="3052" spans="1:28" x14ac:dyDescent="0.25">
      <c r="A3052" t="s">
        <v>3056</v>
      </c>
      <c r="B3052">
        <v>0.98876768158843997</v>
      </c>
      <c r="C3052">
        <v>0.907429992219554</v>
      </c>
      <c r="D3052">
        <v>0.73625787406682097</v>
      </c>
      <c r="E3052">
        <v>0.74874684063692798</v>
      </c>
      <c r="F3052">
        <v>0.67856418688466602</v>
      </c>
      <c r="G3052">
        <v>0.26152734709063402</v>
      </c>
      <c r="H3052">
        <v>9.2249608341836403E-2</v>
      </c>
      <c r="I3052">
        <v>0.170212528100565</v>
      </c>
      <c r="J3052">
        <v>9.2054981888528106E-2</v>
      </c>
      <c r="K3052">
        <v>5.2061623412739601E-2</v>
      </c>
      <c r="L3052">
        <v>643.74307395372296</v>
      </c>
      <c r="M3052">
        <v>11.9906954451003</v>
      </c>
      <c r="N3052">
        <v>53.686883261271802</v>
      </c>
      <c r="O3052">
        <v>52.2590249264628</v>
      </c>
      <c r="P3052">
        <v>-5.7375713028150303E-2</v>
      </c>
      <c r="Q3052">
        <v>0</v>
      </c>
      <c r="R3052">
        <v>0.95078261659921603</v>
      </c>
      <c r="S3052" t="s">
        <v>6884</v>
      </c>
      <c r="T3052" t="s">
        <v>7662</v>
      </c>
      <c r="U3052" t="s">
        <v>7662</v>
      </c>
      <c r="V3052" t="s">
        <v>7662</v>
      </c>
      <c r="W3052">
        <v>7</v>
      </c>
      <c r="X3052" t="s">
        <v>10714</v>
      </c>
      <c r="Y3052">
        <v>0.48313389999060918</v>
      </c>
      <c r="Z3052" t="str">
        <f>HYPERLINK("Melting_Curves/meltCurve_sp_Q9UPY8_MARE3_HUMAN_.pdf", "Melting_Curves/meltCurve_sp_Q9UPY8_MARE3_HUMAN_.pdf")</f>
        <v>Melting_Curves/meltCurve_sp_Q9UPY8_MARE3_HUMAN_.pdf</v>
      </c>
      <c r="AA3052" t="s">
        <v>14506</v>
      </c>
      <c r="AB3052" t="s">
        <v>18291</v>
      </c>
    </row>
    <row r="3053" spans="1:28" x14ac:dyDescent="0.25">
      <c r="A3053" t="s">
        <v>3057</v>
      </c>
      <c r="B3053">
        <v>0.98876768158843997</v>
      </c>
      <c r="C3053">
        <v>1.0974532408578099</v>
      </c>
      <c r="D3053">
        <v>0.84465320955173995</v>
      </c>
      <c r="E3053">
        <v>0.71799614707176795</v>
      </c>
      <c r="F3053">
        <v>0.79888890776596899</v>
      </c>
      <c r="G3053">
        <v>0.56375719898655996</v>
      </c>
      <c r="H3053">
        <v>0.442750802125772</v>
      </c>
      <c r="I3053">
        <v>0.49494893837623799</v>
      </c>
      <c r="J3053">
        <v>0.71156295534244096</v>
      </c>
      <c r="K3053">
        <v>0.71329489417337799</v>
      </c>
      <c r="L3053">
        <v>953.06062653767799</v>
      </c>
      <c r="M3053">
        <v>19.481117140367701</v>
      </c>
      <c r="O3053">
        <v>48.415526973666204</v>
      </c>
      <c r="P3053">
        <v>-4.0832288191742998E-2</v>
      </c>
      <c r="Q3053">
        <v>0.594100220036336</v>
      </c>
      <c r="R3053">
        <v>0.73044374334189699</v>
      </c>
      <c r="S3053" t="s">
        <v>6885</v>
      </c>
      <c r="T3053" t="s">
        <v>7662</v>
      </c>
      <c r="U3053" t="s">
        <v>7662</v>
      </c>
      <c r="V3053" t="s">
        <v>7662</v>
      </c>
      <c r="W3053">
        <v>24</v>
      </c>
      <c r="X3053" t="s">
        <v>10715</v>
      </c>
      <c r="Y3053">
        <v>0.72082135129434766</v>
      </c>
      <c r="Z3053" t="str">
        <f>HYPERLINK("Melting_Curves/meltCurve_sp_Q9UQ35_SRRM2_HUMAN_.pdf", "Melting_Curves/meltCurve_sp_Q9UQ35_SRRM2_HUMAN_.pdf")</f>
        <v>Melting_Curves/meltCurve_sp_Q9UQ35_SRRM2_HUMAN_.pdf</v>
      </c>
      <c r="AA3053" t="s">
        <v>14507</v>
      </c>
      <c r="AB3053" t="s">
        <v>18292</v>
      </c>
    </row>
    <row r="3054" spans="1:28" x14ac:dyDescent="0.25">
      <c r="A3054" t="s">
        <v>3058</v>
      </c>
      <c r="B3054">
        <v>0.98876768158843997</v>
      </c>
      <c r="C3054">
        <v>1.0246345173070299</v>
      </c>
      <c r="D3054">
        <v>0.79309877255106398</v>
      </c>
      <c r="E3054">
        <v>0.44110634442711399</v>
      </c>
      <c r="F3054">
        <v>0.20869394124760601</v>
      </c>
      <c r="G3054">
        <v>0.11913964649150501</v>
      </c>
      <c r="H3054">
        <v>7.2083728506622993E-2</v>
      </c>
      <c r="I3054">
        <v>7.3926633721608806E-2</v>
      </c>
      <c r="J3054">
        <v>8.5020376557397997E-2</v>
      </c>
      <c r="K3054">
        <v>8.5761246360528898E-2</v>
      </c>
      <c r="L3054">
        <v>1110.4293244150599</v>
      </c>
      <c r="M3054">
        <v>22.694580418364101</v>
      </c>
      <c r="N3054">
        <v>49.289880548860403</v>
      </c>
      <c r="O3054">
        <v>48.554129319277003</v>
      </c>
      <c r="P3054">
        <v>-0.10791593693150001</v>
      </c>
      <c r="Q3054">
        <v>7.6491440359623505E-2</v>
      </c>
      <c r="R3054">
        <v>0.99624172567176394</v>
      </c>
      <c r="S3054" t="s">
        <v>6886</v>
      </c>
      <c r="T3054" t="s">
        <v>7662</v>
      </c>
      <c r="U3054" t="s">
        <v>7662</v>
      </c>
      <c r="V3054" t="s">
        <v>7662</v>
      </c>
      <c r="W3054">
        <v>5</v>
      </c>
      <c r="X3054" t="s">
        <v>10716</v>
      </c>
      <c r="Y3054">
        <v>0.36135448279967131</v>
      </c>
      <c r="Z3054" t="str">
        <f>HYPERLINK("Melting_Curves/meltCurve_sp_Q9UQ80_PA2G4_HUMAN_.pdf", "Melting_Curves/meltCurve_sp_Q9UQ80_PA2G4_HUMAN_.pdf")</f>
        <v>Melting_Curves/meltCurve_sp_Q9UQ80_PA2G4_HUMAN_.pdf</v>
      </c>
      <c r="AA3054" t="s">
        <v>14508</v>
      </c>
      <c r="AB3054" t="s">
        <v>18293</v>
      </c>
    </row>
    <row r="3055" spans="1:28" x14ac:dyDescent="0.25">
      <c r="A3055" t="s">
        <v>3059</v>
      </c>
      <c r="B3055">
        <v>0.98876768158843997</v>
      </c>
      <c r="C3055">
        <v>1.01323105327693</v>
      </c>
      <c r="D3055">
        <v>0.89597774132728303</v>
      </c>
      <c r="E3055">
        <v>0.70003844987451003</v>
      </c>
      <c r="F3055">
        <v>0.56810467211048399</v>
      </c>
      <c r="G3055">
        <v>0.38771444530284499</v>
      </c>
      <c r="H3055">
        <v>0.30939230528401701</v>
      </c>
      <c r="I3055">
        <v>0.34064394922223901</v>
      </c>
      <c r="J3055">
        <v>0.40279959928687398</v>
      </c>
      <c r="K3055">
        <v>0.46765687696730202</v>
      </c>
      <c r="L3055">
        <v>1075.2019306787099</v>
      </c>
      <c r="M3055">
        <v>21.391768170164699</v>
      </c>
      <c r="N3055">
        <v>53.705775219622403</v>
      </c>
      <c r="O3055">
        <v>49.829360390837103</v>
      </c>
      <c r="P3055">
        <v>-6.7279298071448501E-2</v>
      </c>
      <c r="Q3055">
        <v>0.373141898386185</v>
      </c>
      <c r="R3055">
        <v>0.96853595315207697</v>
      </c>
      <c r="S3055" t="s">
        <v>6887</v>
      </c>
      <c r="T3055" t="s">
        <v>7662</v>
      </c>
      <c r="U3055" t="s">
        <v>7662</v>
      </c>
      <c r="V3055" t="s">
        <v>7662</v>
      </c>
      <c r="W3055">
        <v>4</v>
      </c>
      <c r="X3055" t="s">
        <v>10717</v>
      </c>
      <c r="Y3055">
        <v>0.5952276979649852</v>
      </c>
      <c r="Z3055" t="str">
        <f>HYPERLINK("Melting_Curves/meltCurve_sp_Q9UQ88_4_CD11A_HUMAN_.pdf", "Melting_Curves/meltCurve_sp_Q9UQ88_4_CD11A_HUMAN_.pdf")</f>
        <v>Melting_Curves/meltCurve_sp_Q9UQ88_4_CD11A_HUMAN_.pdf</v>
      </c>
      <c r="AA3055" t="s">
        <v>14509</v>
      </c>
      <c r="AB3055" t="s">
        <v>18294</v>
      </c>
    </row>
    <row r="3056" spans="1:28" x14ac:dyDescent="0.25">
      <c r="A3056" t="s">
        <v>3060</v>
      </c>
      <c r="B3056">
        <v>0.98876768158843997</v>
      </c>
      <c r="C3056">
        <v>1.0231316225960501</v>
      </c>
      <c r="D3056">
        <v>0.85217759793734804</v>
      </c>
      <c r="E3056">
        <v>0.640234639917172</v>
      </c>
      <c r="F3056">
        <v>0.787578271378372</v>
      </c>
      <c r="G3056">
        <v>0.44669054236144101</v>
      </c>
      <c r="H3056">
        <v>0.33567092054762798</v>
      </c>
      <c r="I3056">
        <v>0.36225471807013898</v>
      </c>
      <c r="J3056">
        <v>0.48049512208655798</v>
      </c>
      <c r="K3056">
        <v>0.51601391359029603</v>
      </c>
      <c r="L3056">
        <v>756.70293063601196</v>
      </c>
      <c r="M3056">
        <v>14.956673590022399</v>
      </c>
      <c r="N3056">
        <v>57.132386821165802</v>
      </c>
      <c r="O3056">
        <v>49.714413867619903</v>
      </c>
      <c r="P3056">
        <v>-4.4399520320958903E-2</v>
      </c>
      <c r="Q3056">
        <v>0.40974292326295197</v>
      </c>
      <c r="R3056">
        <v>0.86255247930444501</v>
      </c>
      <c r="S3056" t="s">
        <v>6888</v>
      </c>
      <c r="T3056" t="s">
        <v>7662</v>
      </c>
      <c r="U3056" t="s">
        <v>7662</v>
      </c>
      <c r="V3056" t="s">
        <v>7662</v>
      </c>
      <c r="W3056">
        <v>12</v>
      </c>
      <c r="X3056" t="s">
        <v>10718</v>
      </c>
      <c r="Y3056">
        <v>0.63204411134492955</v>
      </c>
      <c r="Z3056" t="str">
        <f>HYPERLINK("Melting_Curves/meltCurve_sp_Q9UQB8_5_BAIP2_HUMAN_.pdf", "Melting_Curves/meltCurve_sp_Q9UQB8_5_BAIP2_HUMAN_.pdf")</f>
        <v>Melting_Curves/meltCurve_sp_Q9UQB8_5_BAIP2_HUMAN_.pdf</v>
      </c>
      <c r="AA3056" t="s">
        <v>14510</v>
      </c>
      <c r="AB3056" t="s">
        <v>18295</v>
      </c>
    </row>
    <row r="3057" spans="1:28" x14ac:dyDescent="0.25">
      <c r="A3057" t="s">
        <v>3061</v>
      </c>
      <c r="B3057">
        <v>0.98876768158843997</v>
      </c>
      <c r="C3057">
        <v>0.85629333620411097</v>
      </c>
      <c r="D3057">
        <v>0.91274696915817499</v>
      </c>
      <c r="E3057">
        <v>0.59027054196302597</v>
      </c>
      <c r="F3057">
        <v>0.199113264229028</v>
      </c>
      <c r="G3057">
        <v>0.12729781602575099</v>
      </c>
      <c r="H3057">
        <v>6.73627351301921E-2</v>
      </c>
      <c r="I3057">
        <v>6.36333836001996E-2</v>
      </c>
      <c r="J3057">
        <v>6.0848454931036203E-2</v>
      </c>
      <c r="K3057">
        <v>7.2897588155083404E-2</v>
      </c>
      <c r="L3057">
        <v>1334.83761163755</v>
      </c>
      <c r="M3057">
        <v>26.5971951669761</v>
      </c>
      <c r="N3057">
        <v>50.443977329834901</v>
      </c>
      <c r="O3057">
        <v>49.9060217559758</v>
      </c>
      <c r="P3057">
        <v>-0.12480094421716401</v>
      </c>
      <c r="Q3057">
        <v>6.33217822650778E-2</v>
      </c>
      <c r="R3057">
        <v>0.98414232442243699</v>
      </c>
      <c r="S3057" t="s">
        <v>6889</v>
      </c>
      <c r="T3057" t="s">
        <v>7662</v>
      </c>
      <c r="U3057" t="s">
        <v>7662</v>
      </c>
      <c r="V3057" t="s">
        <v>7662</v>
      </c>
      <c r="W3057">
        <v>4</v>
      </c>
      <c r="X3057" t="s">
        <v>10719</v>
      </c>
      <c r="Y3057">
        <v>0.38879893538900079</v>
      </c>
      <c r="Z3057" t="str">
        <f>HYPERLINK("Melting_Curves/meltCurve_sp_Q9UQE7_SMC3_HUMAN_.pdf", "Melting_Curves/meltCurve_sp_Q9UQE7_SMC3_HUMAN_.pdf")</f>
        <v>Melting_Curves/meltCurve_sp_Q9UQE7_SMC3_HUMAN_.pdf</v>
      </c>
      <c r="AA3057" t="s">
        <v>14511</v>
      </c>
      <c r="AB3057" t="s">
        <v>18296</v>
      </c>
    </row>
    <row r="3058" spans="1:28" x14ac:dyDescent="0.25">
      <c r="A3058" t="s">
        <v>3062</v>
      </c>
      <c r="B3058">
        <v>0.98876768158843997</v>
      </c>
      <c r="C3058">
        <v>1.1919811424614</v>
      </c>
      <c r="D3058">
        <v>0.92868495790240402</v>
      </c>
      <c r="E3058">
        <v>0.70528042117442502</v>
      </c>
      <c r="F3058">
        <v>0.86304438281943996</v>
      </c>
      <c r="G3058">
        <v>0.57697680688370401</v>
      </c>
      <c r="H3058">
        <v>0.48531401245261302</v>
      </c>
      <c r="I3058">
        <v>0.60395940010353599</v>
      </c>
      <c r="J3058">
        <v>0.79997810943581504</v>
      </c>
      <c r="K3058">
        <v>0.80962611478350399</v>
      </c>
      <c r="S3058" t="s">
        <v>6890</v>
      </c>
      <c r="T3058" t="s">
        <v>7662</v>
      </c>
      <c r="U3058" t="s">
        <v>7663</v>
      </c>
      <c r="V3058" t="s">
        <v>7662</v>
      </c>
      <c r="W3058">
        <v>4</v>
      </c>
      <c r="X3058" t="s">
        <v>10720</v>
      </c>
      <c r="Z3058" t="str">
        <f>HYPERLINK("Melting_Curves/meltCurve_sp_Q9UQN3_CHM2B_HUMAN_.pdf", "Melting_Curves/meltCurve_sp_Q9UQN3_CHM2B_HUMAN_.pdf")</f>
        <v>Melting_Curves/meltCurve_sp_Q9UQN3_CHM2B_HUMAN_.pdf</v>
      </c>
      <c r="AA3058" t="s">
        <v>14512</v>
      </c>
      <c r="AB3058" t="s">
        <v>18297</v>
      </c>
    </row>
    <row r="3059" spans="1:28" x14ac:dyDescent="0.25">
      <c r="A3059" t="s">
        <v>3063</v>
      </c>
      <c r="B3059">
        <v>0.98876768158843997</v>
      </c>
      <c r="C3059">
        <v>0.88448111392245699</v>
      </c>
      <c r="D3059">
        <v>0.90606858325203499</v>
      </c>
      <c r="E3059">
        <v>0.62197701256075799</v>
      </c>
      <c r="F3059">
        <v>0.25276762016063797</v>
      </c>
      <c r="G3059">
        <v>0.115199601829005</v>
      </c>
      <c r="H3059">
        <v>6.9190421357108206E-2</v>
      </c>
      <c r="I3059">
        <v>9.8357991631908503E-2</v>
      </c>
      <c r="J3059">
        <v>9.1023360989208296E-2</v>
      </c>
      <c r="K3059">
        <v>8.7343283569997002E-2</v>
      </c>
      <c r="L3059">
        <v>1311.3703302220499</v>
      </c>
      <c r="M3059">
        <v>26.008685485015</v>
      </c>
      <c r="N3059">
        <v>50.752960634716601</v>
      </c>
      <c r="O3059">
        <v>50.125238719340501</v>
      </c>
      <c r="P3059">
        <v>-0.119559148359538</v>
      </c>
      <c r="Q3059">
        <v>7.8329180422398406E-2</v>
      </c>
      <c r="R3059">
        <v>0.989399330560368</v>
      </c>
      <c r="S3059" t="s">
        <v>6891</v>
      </c>
      <c r="T3059" t="s">
        <v>7662</v>
      </c>
      <c r="U3059" t="s">
        <v>7662</v>
      </c>
      <c r="V3059" t="s">
        <v>7662</v>
      </c>
      <c r="W3059">
        <v>3</v>
      </c>
      <c r="X3059" t="s">
        <v>10721</v>
      </c>
      <c r="Y3059">
        <v>0.40611673354229832</v>
      </c>
      <c r="Z3059" t="str">
        <f>HYPERLINK("Melting_Curves/meltCurve_sp_Q9Y217_MTMR6_HUMAN_.pdf", "Melting_Curves/meltCurve_sp_Q9Y217_MTMR6_HUMAN_.pdf")</f>
        <v>Melting_Curves/meltCurve_sp_Q9Y217_MTMR6_HUMAN_.pdf</v>
      </c>
      <c r="AA3059" t="s">
        <v>14513</v>
      </c>
      <c r="AB3059" t="s">
        <v>18298</v>
      </c>
    </row>
    <row r="3060" spans="1:28" x14ac:dyDescent="0.25">
      <c r="A3060" t="s">
        <v>3064</v>
      </c>
      <c r="B3060">
        <v>0.98876768158843997</v>
      </c>
      <c r="C3060">
        <v>0.79530107101738901</v>
      </c>
      <c r="D3060">
        <v>0.54384076525746705</v>
      </c>
      <c r="E3060">
        <v>0.243790490020348</v>
      </c>
      <c r="F3060">
        <v>0.14470925724320999</v>
      </c>
      <c r="G3060">
        <v>9.7854898230426202E-2</v>
      </c>
      <c r="H3060">
        <v>6.6167304147478595E-2</v>
      </c>
      <c r="I3060">
        <v>5.4447485299638602E-2</v>
      </c>
      <c r="J3060">
        <v>6.7264722119118506E-2</v>
      </c>
      <c r="K3060">
        <v>6.2563112060601306E-2</v>
      </c>
      <c r="L3060">
        <v>855.52054939782795</v>
      </c>
      <c r="M3060">
        <v>18.543213052892799</v>
      </c>
      <c r="N3060">
        <v>46.464259418193002</v>
      </c>
      <c r="O3060">
        <v>45.610060467532897</v>
      </c>
      <c r="P3060">
        <v>-9.5414593910419301E-2</v>
      </c>
      <c r="Q3060">
        <v>6.12900989540262E-2</v>
      </c>
      <c r="R3060">
        <v>0.99785623313406202</v>
      </c>
      <c r="S3060" t="s">
        <v>6892</v>
      </c>
      <c r="T3060" t="s">
        <v>7662</v>
      </c>
      <c r="U3060" t="s">
        <v>7662</v>
      </c>
      <c r="V3060" t="s">
        <v>7662</v>
      </c>
      <c r="W3060">
        <v>11</v>
      </c>
      <c r="X3060" t="s">
        <v>10722</v>
      </c>
      <c r="Y3060">
        <v>0.27037137103435988</v>
      </c>
      <c r="Z3060" t="str">
        <f>HYPERLINK("Melting_Curves/meltCurve_sp_Q9Y223_GLCNE_HUMAN_.pdf", "Melting_Curves/meltCurve_sp_Q9Y223_GLCNE_HUMAN_.pdf")</f>
        <v>Melting_Curves/meltCurve_sp_Q9Y223_GLCNE_HUMAN_.pdf</v>
      </c>
      <c r="AA3060" t="s">
        <v>14514</v>
      </c>
      <c r="AB3060" t="s">
        <v>18299</v>
      </c>
    </row>
    <row r="3061" spans="1:28" x14ac:dyDescent="0.25">
      <c r="A3061" t="s">
        <v>3065</v>
      </c>
      <c r="B3061">
        <v>0.98876768158843997</v>
      </c>
      <c r="C3061">
        <v>0.89495801404254904</v>
      </c>
      <c r="D3061">
        <v>0.97579577097398396</v>
      </c>
      <c r="E3061">
        <v>0.64083463622343095</v>
      </c>
      <c r="F3061">
        <v>0.411120110511565</v>
      </c>
      <c r="G3061">
        <v>0.309542285896659</v>
      </c>
      <c r="H3061">
        <v>0.198458734826613</v>
      </c>
      <c r="I3061">
        <v>0.13555560529265401</v>
      </c>
      <c r="J3061">
        <v>0.167266068818375</v>
      </c>
      <c r="K3061">
        <v>0.111020836052083</v>
      </c>
      <c r="L3061">
        <v>898.871652564638</v>
      </c>
      <c r="M3061">
        <v>17.541891970552602</v>
      </c>
      <c r="N3061">
        <v>52.169824801877702</v>
      </c>
      <c r="O3061">
        <v>50.589434323468602</v>
      </c>
      <c r="P3061">
        <v>-7.5069360621537504E-2</v>
      </c>
      <c r="Q3061">
        <v>0.13407091628227799</v>
      </c>
      <c r="R3061">
        <v>0.98429746724977496</v>
      </c>
      <c r="S3061" t="s">
        <v>6893</v>
      </c>
      <c r="T3061" t="s">
        <v>7662</v>
      </c>
      <c r="U3061" t="s">
        <v>7662</v>
      </c>
      <c r="V3061" t="s">
        <v>7662</v>
      </c>
      <c r="W3061">
        <v>8</v>
      </c>
      <c r="X3061" t="s">
        <v>10723</v>
      </c>
      <c r="Y3061">
        <v>0.47377546846831448</v>
      </c>
      <c r="Z3061" t="str">
        <f>HYPERLINK("Melting_Curves/meltCurve_sp_Q9Y224_CN166_HUMAN_.pdf", "Melting_Curves/meltCurve_sp_Q9Y224_CN166_HUMAN_.pdf")</f>
        <v>Melting_Curves/meltCurve_sp_Q9Y224_CN166_HUMAN_.pdf</v>
      </c>
      <c r="AA3061" t="s">
        <v>14515</v>
      </c>
      <c r="AB3061" t="s">
        <v>18300</v>
      </c>
    </row>
    <row r="3062" spans="1:28" x14ac:dyDescent="0.25">
      <c r="A3062" t="s">
        <v>3066</v>
      </c>
      <c r="B3062">
        <v>0.98876768158843997</v>
      </c>
      <c r="C3062">
        <v>0.99805470614548997</v>
      </c>
      <c r="D3062">
        <v>1.0090732960593001</v>
      </c>
      <c r="E3062">
        <v>0.67958568125110796</v>
      </c>
      <c r="F3062">
        <v>0.24889923143409201</v>
      </c>
      <c r="G3062">
        <v>0.105589683454771</v>
      </c>
      <c r="H3062">
        <v>5.1721011845969098E-2</v>
      </c>
      <c r="I3062">
        <v>5.2640349362969199E-2</v>
      </c>
      <c r="J3062">
        <v>5.4491728055526899E-2</v>
      </c>
      <c r="K3062">
        <v>5.2835487854248901E-2</v>
      </c>
      <c r="L3062">
        <v>1804.5517692041001</v>
      </c>
      <c r="M3062">
        <v>35.408213714160098</v>
      </c>
      <c r="N3062">
        <v>51.141926425288801</v>
      </c>
      <c r="O3062">
        <v>50.8024768427154</v>
      </c>
      <c r="P3062">
        <v>-0.16415880321072099</v>
      </c>
      <c r="Q3062">
        <v>5.7885793901836902E-2</v>
      </c>
      <c r="R3062">
        <v>0.99894533884903702</v>
      </c>
      <c r="S3062" t="s">
        <v>6894</v>
      </c>
      <c r="T3062" t="s">
        <v>7662</v>
      </c>
      <c r="U3062" t="s">
        <v>7662</v>
      </c>
      <c r="V3062" t="s">
        <v>7662</v>
      </c>
      <c r="W3062">
        <v>10</v>
      </c>
      <c r="X3062" t="s">
        <v>10724</v>
      </c>
      <c r="Y3062">
        <v>0.40644655374099931</v>
      </c>
      <c r="Z3062" t="str">
        <f>HYPERLINK("Melting_Curves/meltCurve_sp_Q9Y230_RUVB2_HUMAN_.pdf", "Melting_Curves/meltCurve_sp_Q9Y230_RUVB2_HUMAN_.pdf")</f>
        <v>Melting_Curves/meltCurve_sp_Q9Y230_RUVB2_HUMAN_.pdf</v>
      </c>
      <c r="AA3062" t="s">
        <v>14516</v>
      </c>
      <c r="AB3062" t="s">
        <v>18301</v>
      </c>
    </row>
    <row r="3063" spans="1:28" x14ac:dyDescent="0.25">
      <c r="A3063" t="s">
        <v>3067</v>
      </c>
      <c r="B3063">
        <v>0.98876768158843997</v>
      </c>
      <c r="C3063">
        <v>1.0492210360782901</v>
      </c>
      <c r="D3063">
        <v>0.81208004979172299</v>
      </c>
      <c r="E3063">
        <v>0.68390924655772001</v>
      </c>
      <c r="F3063">
        <v>0.71586003682847299</v>
      </c>
      <c r="G3063">
        <v>0.47812180604687998</v>
      </c>
      <c r="H3063">
        <v>0.30946114561872501</v>
      </c>
      <c r="I3063">
        <v>0.34165373589321202</v>
      </c>
      <c r="J3063">
        <v>0.329672061733497</v>
      </c>
      <c r="K3063">
        <v>0.430161462574219</v>
      </c>
      <c r="L3063">
        <v>681.44714401224496</v>
      </c>
      <c r="M3063">
        <v>13.169595849926701</v>
      </c>
      <c r="N3063">
        <v>56.063959853873797</v>
      </c>
      <c r="O3063">
        <v>50.594529982094301</v>
      </c>
      <c r="P3063">
        <v>-4.4338710543443002E-2</v>
      </c>
      <c r="Q3063">
        <v>0.31875829694812602</v>
      </c>
      <c r="R3063">
        <v>0.93182490608383595</v>
      </c>
      <c r="S3063" t="s">
        <v>6895</v>
      </c>
      <c r="T3063" t="s">
        <v>7662</v>
      </c>
      <c r="U3063" t="s">
        <v>7662</v>
      </c>
      <c r="V3063" t="s">
        <v>7662</v>
      </c>
      <c r="W3063">
        <v>4</v>
      </c>
      <c r="X3063" t="s">
        <v>10725</v>
      </c>
      <c r="Y3063">
        <v>0.60410168926314334</v>
      </c>
      <c r="Z3063" t="str">
        <f>HYPERLINK("Melting_Curves/meltCurve_sp_Q9Y237_PIN4_HUMAN_.pdf", "Melting_Curves/meltCurve_sp_Q9Y237_PIN4_HUMAN_.pdf")</f>
        <v>Melting_Curves/meltCurve_sp_Q9Y237_PIN4_HUMAN_.pdf</v>
      </c>
      <c r="AA3063" t="s">
        <v>14517</v>
      </c>
      <c r="AB3063" t="s">
        <v>18302</v>
      </c>
    </row>
    <row r="3064" spans="1:28" x14ac:dyDescent="0.25">
      <c r="A3064" t="s">
        <v>3068</v>
      </c>
      <c r="B3064">
        <v>0.98876768158843997</v>
      </c>
      <c r="C3064">
        <v>1.11763853961602</v>
      </c>
      <c r="D3064">
        <v>0.88263199952517302</v>
      </c>
      <c r="E3064">
        <v>0.828756484675224</v>
      </c>
      <c r="F3064">
        <v>1.02499265792826</v>
      </c>
      <c r="G3064">
        <v>0.56239778140521901</v>
      </c>
      <c r="H3064">
        <v>0.26254075240824298</v>
      </c>
      <c r="I3064">
        <v>8.3309614908049098E-2</v>
      </c>
      <c r="J3064">
        <v>4.3990903235749397E-2</v>
      </c>
      <c r="K3064">
        <v>4.2149847053697197E-2</v>
      </c>
      <c r="L3064">
        <v>1511.1480752543</v>
      </c>
      <c r="M3064">
        <v>26.1285698028043</v>
      </c>
      <c r="N3064">
        <v>57.955641472000501</v>
      </c>
      <c r="O3064">
        <v>57.499498469900402</v>
      </c>
      <c r="P3064">
        <v>-0.110599882739225</v>
      </c>
      <c r="Q3064">
        <v>2.6450197543572002E-2</v>
      </c>
      <c r="R3064">
        <v>0.961526244439038</v>
      </c>
      <c r="S3064" t="s">
        <v>6896</v>
      </c>
      <c r="T3064" t="s">
        <v>7662</v>
      </c>
      <c r="U3064" t="s">
        <v>7662</v>
      </c>
      <c r="V3064" t="s">
        <v>7662</v>
      </c>
      <c r="W3064">
        <v>3</v>
      </c>
      <c r="X3064" t="s">
        <v>10726</v>
      </c>
      <c r="Y3064">
        <v>0.61322712316382644</v>
      </c>
      <c r="Z3064" t="str">
        <f>HYPERLINK("Melting_Curves/meltCurve_sp_Q9Y259_CHKB_HUMAN_.pdf", "Melting_Curves/meltCurve_sp_Q9Y259_CHKB_HUMAN_.pdf")</f>
        <v>Melting_Curves/meltCurve_sp_Q9Y259_CHKB_HUMAN_.pdf</v>
      </c>
      <c r="AA3064" t="s">
        <v>14518</v>
      </c>
      <c r="AB3064" t="s">
        <v>18303</v>
      </c>
    </row>
    <row r="3065" spans="1:28" x14ac:dyDescent="0.25">
      <c r="A3065" t="s">
        <v>3069</v>
      </c>
      <c r="B3065">
        <v>0.98876768158843997</v>
      </c>
      <c r="C3065">
        <v>0.97450689072590602</v>
      </c>
      <c r="D3065">
        <v>1.0960490817662301</v>
      </c>
      <c r="E3065">
        <v>0.77632828176401802</v>
      </c>
      <c r="F3065">
        <v>0.24844784040418599</v>
      </c>
      <c r="G3065">
        <v>0.100571875417241</v>
      </c>
      <c r="H3065">
        <v>6.4123699439315507E-2</v>
      </c>
      <c r="I3065">
        <v>5.8309574804394998E-2</v>
      </c>
      <c r="J3065">
        <v>5.8616458775545999E-2</v>
      </c>
      <c r="K3065">
        <v>5.3838688626929102E-2</v>
      </c>
      <c r="L3065">
        <v>2306.8690444009499</v>
      </c>
      <c r="M3065">
        <v>44.945093181466802</v>
      </c>
      <c r="N3065">
        <v>51.485429932414597</v>
      </c>
      <c r="O3065">
        <v>51.225086019261703</v>
      </c>
      <c r="P3065">
        <v>-0.20513354197490499</v>
      </c>
      <c r="Q3065">
        <v>6.4817236281243196E-2</v>
      </c>
      <c r="R3065">
        <v>0.99362570938274597</v>
      </c>
      <c r="S3065" t="s">
        <v>6897</v>
      </c>
      <c r="T3065" t="s">
        <v>7662</v>
      </c>
      <c r="U3065" t="s">
        <v>7662</v>
      </c>
      <c r="V3065" t="s">
        <v>7662</v>
      </c>
      <c r="W3065">
        <v>8</v>
      </c>
      <c r="X3065" t="s">
        <v>10727</v>
      </c>
      <c r="Y3065">
        <v>0.42051528916294789</v>
      </c>
      <c r="Z3065" t="str">
        <f>HYPERLINK("Melting_Curves/meltCurve_sp_Q9Y262_2_EIF3L_HUMAN_.pdf", "Melting_Curves/meltCurve_sp_Q9Y262_2_EIF3L_HUMAN_.pdf")</f>
        <v>Melting_Curves/meltCurve_sp_Q9Y262_2_EIF3L_HUMAN_.pdf</v>
      </c>
      <c r="AA3065" t="s">
        <v>14519</v>
      </c>
      <c r="AB3065" t="s">
        <v>18304</v>
      </c>
    </row>
    <row r="3066" spans="1:28" x14ac:dyDescent="0.25">
      <c r="A3066" t="s">
        <v>3070</v>
      </c>
      <c r="B3066">
        <v>0.98876768158843997</v>
      </c>
      <c r="C3066">
        <v>1.0251445344086201</v>
      </c>
      <c r="D3066">
        <v>0.89572191319182104</v>
      </c>
      <c r="E3066">
        <v>0.71717196620887402</v>
      </c>
      <c r="F3066">
        <v>0.321087283914891</v>
      </c>
      <c r="G3066">
        <v>0.108391077346585</v>
      </c>
      <c r="H3066">
        <v>5.6714360940419102E-2</v>
      </c>
      <c r="I3066">
        <v>6.0732734666863797E-2</v>
      </c>
      <c r="J3066">
        <v>6.2479483757821003E-2</v>
      </c>
      <c r="K3066">
        <v>5.0971433854873599E-2</v>
      </c>
      <c r="L3066">
        <v>1392.8702291879499</v>
      </c>
      <c r="M3066">
        <v>27.1286998275821</v>
      </c>
      <c r="N3066">
        <v>51.547962582688903</v>
      </c>
      <c r="O3066">
        <v>51.066523289608803</v>
      </c>
      <c r="P3066">
        <v>-0.126023790039826</v>
      </c>
      <c r="Q3066">
        <v>5.1110947124203797E-2</v>
      </c>
      <c r="R3066">
        <v>0.996126909027508</v>
      </c>
      <c r="S3066" t="s">
        <v>6898</v>
      </c>
      <c r="T3066" t="s">
        <v>7662</v>
      </c>
      <c r="U3066" t="s">
        <v>7662</v>
      </c>
      <c r="V3066" t="s">
        <v>7662</v>
      </c>
      <c r="W3066">
        <v>16</v>
      </c>
      <c r="X3066" t="s">
        <v>10728</v>
      </c>
      <c r="Y3066">
        <v>0.41721492210123418</v>
      </c>
      <c r="Z3066" t="str">
        <f>HYPERLINK("Melting_Curves/meltCurve_sp_Q9Y263_PLAP_HUMAN_.pdf", "Melting_Curves/meltCurve_sp_Q9Y263_PLAP_HUMAN_.pdf")</f>
        <v>Melting_Curves/meltCurve_sp_Q9Y263_PLAP_HUMAN_.pdf</v>
      </c>
      <c r="AA3066" t="s">
        <v>14520</v>
      </c>
      <c r="AB3066" t="s">
        <v>18305</v>
      </c>
    </row>
    <row r="3067" spans="1:28" x14ac:dyDescent="0.25">
      <c r="A3067" t="s">
        <v>3071</v>
      </c>
      <c r="B3067">
        <v>0.98876768158843997</v>
      </c>
      <c r="C3067">
        <v>0.98121046320586203</v>
      </c>
      <c r="D3067">
        <v>1.04221573282011</v>
      </c>
      <c r="E3067">
        <v>0.75135849815006095</v>
      </c>
      <c r="F3067">
        <v>0.34819710462106501</v>
      </c>
      <c r="G3067">
        <v>0.150249998579986</v>
      </c>
      <c r="H3067">
        <v>0.108892040183955</v>
      </c>
      <c r="I3067">
        <v>8.4873779999988005E-2</v>
      </c>
      <c r="J3067">
        <v>0.11678254122689299</v>
      </c>
      <c r="K3067">
        <v>7.9510246122464795E-2</v>
      </c>
      <c r="L3067">
        <v>1747.77142799793</v>
      </c>
      <c r="M3067">
        <v>33.944766452023401</v>
      </c>
      <c r="N3067">
        <v>51.829376866596903</v>
      </c>
      <c r="O3067">
        <v>51.310971740775798</v>
      </c>
      <c r="P3067">
        <v>-0.14885020505403801</v>
      </c>
      <c r="Q3067">
        <v>9.99946051495679E-2</v>
      </c>
      <c r="R3067">
        <v>0.99681584157943504</v>
      </c>
      <c r="S3067" t="s">
        <v>6899</v>
      </c>
      <c r="T3067" t="s">
        <v>7662</v>
      </c>
      <c r="U3067" t="s">
        <v>7662</v>
      </c>
      <c r="V3067" t="s">
        <v>7662</v>
      </c>
      <c r="W3067">
        <v>7</v>
      </c>
      <c r="X3067" t="s">
        <v>10729</v>
      </c>
      <c r="Y3067">
        <v>0.44911189197035178</v>
      </c>
      <c r="Z3067" t="str">
        <f>HYPERLINK("Melting_Curves/meltCurve_sp_Q9Y265_RUVB1_HUMAN_.pdf", "Melting_Curves/meltCurve_sp_Q9Y265_RUVB1_HUMAN_.pdf")</f>
        <v>Melting_Curves/meltCurve_sp_Q9Y265_RUVB1_HUMAN_.pdf</v>
      </c>
      <c r="AA3067" t="s">
        <v>14521</v>
      </c>
      <c r="AB3067" t="s">
        <v>18306</v>
      </c>
    </row>
    <row r="3068" spans="1:28" x14ac:dyDescent="0.25">
      <c r="A3068" t="s">
        <v>3072</v>
      </c>
      <c r="B3068">
        <v>0.98876768158843997</v>
      </c>
      <c r="C3068">
        <v>1.0018661499427901</v>
      </c>
      <c r="D3068">
        <v>0.90133126184199397</v>
      </c>
      <c r="E3068">
        <v>0.77514213399142295</v>
      </c>
      <c r="F3068">
        <v>0.57353493137584</v>
      </c>
      <c r="G3068">
        <v>0.11875895543352601</v>
      </c>
      <c r="H3068">
        <v>6.5077299127229898E-2</v>
      </c>
      <c r="I3068">
        <v>6.1312874449392499E-2</v>
      </c>
      <c r="J3068">
        <v>6.67523930327239E-2</v>
      </c>
      <c r="K3068">
        <v>6.2703606532894599E-2</v>
      </c>
      <c r="L3068">
        <v>1270.7808074089801</v>
      </c>
      <c r="M3068">
        <v>24.022822230540299</v>
      </c>
      <c r="N3068">
        <v>53.086076586378901</v>
      </c>
      <c r="O3068">
        <v>52.536421235736498</v>
      </c>
      <c r="P3068">
        <v>-0.109674747153453</v>
      </c>
      <c r="Q3068">
        <v>4.0607644938153803E-2</v>
      </c>
      <c r="R3068">
        <v>0.99002027394898995</v>
      </c>
      <c r="S3068" t="s">
        <v>6900</v>
      </c>
      <c r="T3068" t="s">
        <v>7662</v>
      </c>
      <c r="U3068" t="s">
        <v>7662</v>
      </c>
      <c r="V3068" t="s">
        <v>7662</v>
      </c>
      <c r="W3068">
        <v>18</v>
      </c>
      <c r="X3068" t="s">
        <v>10730</v>
      </c>
      <c r="Y3068">
        <v>0.4626215266577039</v>
      </c>
      <c r="Z3068" t="str">
        <f>HYPERLINK("Melting_Curves/meltCurve_sp_Q9Y266_NUDC_HUMAN_.pdf", "Melting_Curves/meltCurve_sp_Q9Y266_NUDC_HUMAN_.pdf")</f>
        <v>Melting_Curves/meltCurve_sp_Q9Y266_NUDC_HUMAN_.pdf</v>
      </c>
      <c r="AA3068" t="s">
        <v>14522</v>
      </c>
      <c r="AB3068" t="s">
        <v>18307</v>
      </c>
    </row>
    <row r="3069" spans="1:28" x14ac:dyDescent="0.25">
      <c r="A3069" t="s">
        <v>3073</v>
      </c>
      <c r="B3069">
        <v>0.98876768158843997</v>
      </c>
      <c r="C3069">
        <v>1.11512644903911</v>
      </c>
      <c r="D3069">
        <v>0.94525173622715797</v>
      </c>
      <c r="E3069">
        <v>0.84016151711074005</v>
      </c>
      <c r="F3069">
        <v>0.94650636792658305</v>
      </c>
      <c r="G3069">
        <v>0.52723065176240103</v>
      </c>
      <c r="H3069">
        <v>0.217563349990338</v>
      </c>
      <c r="I3069">
        <v>0.12820490766702899</v>
      </c>
      <c r="J3069">
        <v>0.113949029738246</v>
      </c>
      <c r="K3069">
        <v>0.120336916349949</v>
      </c>
      <c r="L3069">
        <v>1606.42156602624</v>
      </c>
      <c r="M3069">
        <v>28.260999218631898</v>
      </c>
      <c r="N3069">
        <v>57.310620470080899</v>
      </c>
      <c r="O3069">
        <v>56.560022426411599</v>
      </c>
      <c r="P3069">
        <v>-0.11203852505798199</v>
      </c>
      <c r="Q3069">
        <v>0.103096241999664</v>
      </c>
      <c r="R3069">
        <v>0.97488293125736203</v>
      </c>
      <c r="S3069" t="s">
        <v>6901</v>
      </c>
      <c r="T3069" t="s">
        <v>7662</v>
      </c>
      <c r="U3069" t="s">
        <v>7662</v>
      </c>
      <c r="V3069" t="s">
        <v>7662</v>
      </c>
      <c r="W3069">
        <v>11</v>
      </c>
      <c r="X3069" t="s">
        <v>10731</v>
      </c>
      <c r="Y3069">
        <v>0.61326083668127784</v>
      </c>
      <c r="Z3069" t="str">
        <f>HYPERLINK("Melting_Curves/meltCurve_sp_Q9Y281_COF2_HUMAN_.pdf", "Melting_Curves/meltCurve_sp_Q9Y281_COF2_HUMAN_.pdf")</f>
        <v>Melting_Curves/meltCurve_sp_Q9Y281_COF2_HUMAN_.pdf</v>
      </c>
      <c r="AA3069" t="s">
        <v>14523</v>
      </c>
      <c r="AB3069" t="s">
        <v>18308</v>
      </c>
    </row>
    <row r="3070" spans="1:28" x14ac:dyDescent="0.25">
      <c r="A3070" t="s">
        <v>3074</v>
      </c>
      <c r="B3070">
        <v>0.98876768158843997</v>
      </c>
      <c r="C3070">
        <v>0.99900431545498802</v>
      </c>
      <c r="D3070">
        <v>0.88896304966296302</v>
      </c>
      <c r="E3070">
        <v>0.69672337022839403</v>
      </c>
      <c r="F3070">
        <v>0.331361019912707</v>
      </c>
      <c r="G3070">
        <v>0.13807700300971101</v>
      </c>
      <c r="H3070">
        <v>8.9385104256673606E-2</v>
      </c>
      <c r="I3070">
        <v>6.8688877309685398E-2</v>
      </c>
      <c r="J3070">
        <v>8.3758044069956794E-2</v>
      </c>
      <c r="K3070">
        <v>6.4650033318637903E-2</v>
      </c>
      <c r="L3070">
        <v>1232.00430220455</v>
      </c>
      <c r="M3070">
        <v>24.065259581089801</v>
      </c>
      <c r="N3070">
        <v>51.500787377820998</v>
      </c>
      <c r="O3070">
        <v>50.844734263305803</v>
      </c>
      <c r="P3070">
        <v>-0.110434329231533</v>
      </c>
      <c r="Q3070">
        <v>6.6718349862801202E-2</v>
      </c>
      <c r="R3070">
        <v>0.99685386393229503</v>
      </c>
      <c r="S3070" t="s">
        <v>6902</v>
      </c>
      <c r="T3070" t="s">
        <v>7662</v>
      </c>
      <c r="U3070" t="s">
        <v>7662</v>
      </c>
      <c r="V3070" t="s">
        <v>7662</v>
      </c>
      <c r="W3070">
        <v>11</v>
      </c>
      <c r="X3070" t="s">
        <v>10732</v>
      </c>
      <c r="Y3070">
        <v>0.42406824939764909</v>
      </c>
      <c r="Z3070" t="str">
        <f>HYPERLINK("Melting_Curves/meltCurve_sp_Q9Y295_DRG1_HUMAN_.pdf", "Melting_Curves/meltCurve_sp_Q9Y295_DRG1_HUMAN_.pdf")</f>
        <v>Melting_Curves/meltCurve_sp_Q9Y295_DRG1_HUMAN_.pdf</v>
      </c>
      <c r="AA3070" t="s">
        <v>14524</v>
      </c>
      <c r="AB3070" t="s">
        <v>18309</v>
      </c>
    </row>
    <row r="3071" spans="1:28" x14ac:dyDescent="0.25">
      <c r="A3071" t="s">
        <v>3075</v>
      </c>
      <c r="B3071">
        <v>0.98876768158843997</v>
      </c>
      <c r="C3071">
        <v>0.94851869269045797</v>
      </c>
      <c r="D3071">
        <v>1.07041747693678</v>
      </c>
      <c r="E3071">
        <v>0.95902947663898896</v>
      </c>
      <c r="F3071">
        <v>0.38852980488567801</v>
      </c>
      <c r="G3071">
        <v>0.144125240190004</v>
      </c>
      <c r="H3071">
        <v>8.4774406063440902E-2</v>
      </c>
      <c r="I3071">
        <v>8.2686121839940702E-2</v>
      </c>
      <c r="J3071">
        <v>0.103019572663123</v>
      </c>
      <c r="K3071">
        <v>0.113619267370882</v>
      </c>
      <c r="L3071">
        <v>3257.2546015940702</v>
      </c>
      <c r="M3071">
        <v>62.213246750127396</v>
      </c>
      <c r="N3071">
        <v>52.5537659541626</v>
      </c>
      <c r="O3071">
        <v>52.302274008678999</v>
      </c>
      <c r="P3071">
        <v>-0.26637850026423499</v>
      </c>
      <c r="Q3071">
        <v>0.104229629298941</v>
      </c>
      <c r="R3071">
        <v>0.99440092628852705</v>
      </c>
      <c r="S3071" t="s">
        <v>6903</v>
      </c>
      <c r="T3071" t="s">
        <v>7662</v>
      </c>
      <c r="U3071" t="s">
        <v>7662</v>
      </c>
      <c r="V3071" t="s">
        <v>7662</v>
      </c>
      <c r="W3071">
        <v>12</v>
      </c>
      <c r="X3071" t="s">
        <v>10733</v>
      </c>
      <c r="Y3071">
        <v>0.47450972273735098</v>
      </c>
      <c r="Z3071" t="str">
        <f>HYPERLINK("Melting_Curves/meltCurve_sp_Q9Y2A7_NCKP1_HUMAN_.pdf", "Melting_Curves/meltCurve_sp_Q9Y2A7_NCKP1_HUMAN_.pdf")</f>
        <v>Melting_Curves/meltCurve_sp_Q9Y2A7_NCKP1_HUMAN_.pdf</v>
      </c>
      <c r="AA3071" t="s">
        <v>14525</v>
      </c>
      <c r="AB3071" t="s">
        <v>18310</v>
      </c>
    </row>
    <row r="3072" spans="1:28" x14ac:dyDescent="0.25">
      <c r="A3072" t="s">
        <v>3076</v>
      </c>
      <c r="B3072">
        <v>0.98876768158843997</v>
      </c>
      <c r="C3072">
        <v>1.1948050026777199</v>
      </c>
      <c r="D3072">
        <v>0.86811397666972501</v>
      </c>
      <c r="E3072">
        <v>0.79437000080296105</v>
      </c>
      <c r="F3072">
        <v>0.90830300777750905</v>
      </c>
      <c r="G3072">
        <v>0.64956149027905197</v>
      </c>
      <c r="H3072">
        <v>0.51971585258323605</v>
      </c>
      <c r="I3072">
        <v>0.692193808296653</v>
      </c>
      <c r="J3072">
        <v>0.79827774925514905</v>
      </c>
      <c r="K3072">
        <v>0.93583350662171605</v>
      </c>
      <c r="L3072">
        <v>1183.5443964961501</v>
      </c>
      <c r="M3072">
        <v>24.469891443357401</v>
      </c>
      <c r="O3072">
        <v>48.047803480619898</v>
      </c>
      <c r="P3072">
        <v>-3.3298445569447298E-2</v>
      </c>
      <c r="Q3072">
        <v>0.73847138310770299</v>
      </c>
      <c r="R3072">
        <v>0.47657612826830897</v>
      </c>
      <c r="S3072" t="s">
        <v>6904</v>
      </c>
      <c r="T3072" t="s">
        <v>7662</v>
      </c>
      <c r="U3072" t="s">
        <v>7662</v>
      </c>
      <c r="V3072" t="s">
        <v>7662</v>
      </c>
      <c r="W3072">
        <v>11</v>
      </c>
      <c r="X3072" t="s">
        <v>10734</v>
      </c>
      <c r="Y3072">
        <v>0.81383268367811867</v>
      </c>
      <c r="Z3072" t="str">
        <f>HYPERLINK("Melting_Curves/meltCurve_sp_Q9Y2B0_CNPY2_HUMAN_.pdf", "Melting_Curves/meltCurve_sp_Q9Y2B0_CNPY2_HUMAN_.pdf")</f>
        <v>Melting_Curves/meltCurve_sp_Q9Y2B0_CNPY2_HUMAN_.pdf</v>
      </c>
      <c r="AA3072" t="s">
        <v>14526</v>
      </c>
      <c r="AB3072" t="s">
        <v>18311</v>
      </c>
    </row>
    <row r="3073" spans="1:28" x14ac:dyDescent="0.25">
      <c r="A3073" t="s">
        <v>3077</v>
      </c>
      <c r="B3073">
        <v>0.98876768158843997</v>
      </c>
      <c r="C3073">
        <v>1.09367643524684</v>
      </c>
      <c r="D3073">
        <v>1.0500849500550999</v>
      </c>
      <c r="E3073">
        <v>0.610714297067528</v>
      </c>
      <c r="F3073">
        <v>0.317542997334406</v>
      </c>
      <c r="G3073">
        <v>0.20873718585367601</v>
      </c>
      <c r="H3073">
        <v>0.103280400785806</v>
      </c>
      <c r="I3073">
        <v>4.4641026617861602E-2</v>
      </c>
      <c r="J3073">
        <v>8.8802085216122706E-2</v>
      </c>
      <c r="K3073">
        <v>6.2284855653072999E-2</v>
      </c>
      <c r="L3073">
        <v>1428.5490914130201</v>
      </c>
      <c r="M3073">
        <v>28.0918287473208</v>
      </c>
      <c r="N3073">
        <v>51.209957396870998</v>
      </c>
      <c r="O3073">
        <v>50.597230655658102</v>
      </c>
      <c r="P3073">
        <v>-0.12645528443689699</v>
      </c>
      <c r="Q3073">
        <v>8.8954574444263093E-2</v>
      </c>
      <c r="R3073">
        <v>0.98289974616157405</v>
      </c>
      <c r="S3073" t="s">
        <v>6905</v>
      </c>
      <c r="T3073" t="s">
        <v>7662</v>
      </c>
      <c r="U3073" t="s">
        <v>7662</v>
      </c>
      <c r="V3073" t="s">
        <v>7662</v>
      </c>
      <c r="W3073">
        <v>1</v>
      </c>
      <c r="X3073" t="s">
        <v>10735</v>
      </c>
      <c r="Y3073">
        <v>0.42505325383690118</v>
      </c>
      <c r="Z3073" t="str">
        <f>HYPERLINK("Melting_Curves/meltCurve_sp_Q9Y2D4_EXC6B_HUMAN_.pdf", "Melting_Curves/meltCurve_sp_Q9Y2D4_EXC6B_HUMAN_.pdf")</f>
        <v>Melting_Curves/meltCurve_sp_Q9Y2D4_EXC6B_HUMAN_.pdf</v>
      </c>
      <c r="AA3073" t="s">
        <v>14527</v>
      </c>
      <c r="AB3073" t="s">
        <v>18312</v>
      </c>
    </row>
    <row r="3074" spans="1:28" x14ac:dyDescent="0.25">
      <c r="A3074" t="s">
        <v>3078</v>
      </c>
      <c r="B3074">
        <v>0.98876768158843997</v>
      </c>
      <c r="C3074">
        <v>1.0799774369836801</v>
      </c>
      <c r="D3074">
        <v>0.91627465057387503</v>
      </c>
      <c r="E3074">
        <v>0.78914171836622604</v>
      </c>
      <c r="F3074">
        <v>0.90750522972080605</v>
      </c>
      <c r="G3074">
        <v>0.62126092383925102</v>
      </c>
      <c r="H3074">
        <v>0.48913767542127201</v>
      </c>
      <c r="I3074">
        <v>0.54832054196884705</v>
      </c>
      <c r="J3074">
        <v>0.74117748486328205</v>
      </c>
      <c r="K3074">
        <v>0.80910230992047705</v>
      </c>
      <c r="L3074">
        <v>1010.4282723917</v>
      </c>
      <c r="M3074">
        <v>19.785857180981498</v>
      </c>
      <c r="O3074">
        <v>50.555127074865702</v>
      </c>
      <c r="P3074">
        <v>-3.47224311220444E-2</v>
      </c>
      <c r="Q3074">
        <v>0.64513292888331497</v>
      </c>
      <c r="R3074">
        <v>0.65532665652130495</v>
      </c>
      <c r="S3074" t="s">
        <v>6906</v>
      </c>
      <c r="T3074" t="s">
        <v>7662</v>
      </c>
      <c r="U3074" t="s">
        <v>7662</v>
      </c>
      <c r="V3074" t="s">
        <v>7662</v>
      </c>
      <c r="W3074">
        <v>31</v>
      </c>
      <c r="X3074" t="s">
        <v>10736</v>
      </c>
      <c r="Y3074">
        <v>0.78108274530046684</v>
      </c>
      <c r="Z3074" t="str">
        <f>HYPERLINK("Melting_Curves/meltCurve_sp_Q9Y2D5_6_AKAP2_HUMAN_.pdf", "Melting_Curves/meltCurve_sp_Q9Y2D5_6_AKAP2_HUMAN_.pdf")</f>
        <v>Melting_Curves/meltCurve_sp_Q9Y2D5_6_AKAP2_HUMAN_.pdf</v>
      </c>
      <c r="AA3074" t="s">
        <v>14528</v>
      </c>
      <c r="AB3074" t="s">
        <v>18313</v>
      </c>
    </row>
    <row r="3075" spans="1:28" x14ac:dyDescent="0.25">
      <c r="A3075" t="s">
        <v>3079</v>
      </c>
      <c r="B3075">
        <v>0.98876768158843997</v>
      </c>
      <c r="C3075">
        <v>1.0383718081143201</v>
      </c>
      <c r="D3075">
        <v>1.1216727792032599</v>
      </c>
      <c r="E3075">
        <v>0.80393604210219205</v>
      </c>
      <c r="F3075">
        <v>0.52540536512713298</v>
      </c>
      <c r="G3075">
        <v>0.327983305892034</v>
      </c>
      <c r="H3075">
        <v>0.20694037971972601</v>
      </c>
      <c r="I3075">
        <v>0.24475972964173301</v>
      </c>
      <c r="J3075">
        <v>0.39208537148768802</v>
      </c>
      <c r="K3075">
        <v>0.229375459896138</v>
      </c>
      <c r="L3075">
        <v>1696.1590438994001</v>
      </c>
      <c r="M3075">
        <v>32.707526857416902</v>
      </c>
      <c r="N3075">
        <v>53.135090606691797</v>
      </c>
      <c r="O3075">
        <v>51.665678498221403</v>
      </c>
      <c r="P3075">
        <v>-0.11519524162789301</v>
      </c>
      <c r="Q3075">
        <v>0.27214165612431801</v>
      </c>
      <c r="R3075">
        <v>0.96435564842916199</v>
      </c>
      <c r="S3075" t="s">
        <v>6907</v>
      </c>
      <c r="T3075" t="s">
        <v>7662</v>
      </c>
      <c r="U3075" t="s">
        <v>7662</v>
      </c>
      <c r="V3075" t="s">
        <v>7662</v>
      </c>
      <c r="W3075">
        <v>3</v>
      </c>
      <c r="X3075" t="s">
        <v>10737</v>
      </c>
      <c r="Y3075">
        <v>0.56375492477174538</v>
      </c>
      <c r="Z3075" t="str">
        <f>HYPERLINK("Melting_Curves/meltCurve_sp_Q9Y2E4_DIP2C_HUMAN_.pdf", "Melting_Curves/meltCurve_sp_Q9Y2E4_DIP2C_HUMAN_.pdf")</f>
        <v>Melting_Curves/meltCurve_sp_Q9Y2E4_DIP2C_HUMAN_.pdf</v>
      </c>
      <c r="AA3075" t="s">
        <v>14529</v>
      </c>
      <c r="AB3075" t="s">
        <v>18314</v>
      </c>
    </row>
    <row r="3076" spans="1:28" x14ac:dyDescent="0.25">
      <c r="A3076" t="s">
        <v>3080</v>
      </c>
      <c r="B3076">
        <v>0.98876768158843997</v>
      </c>
      <c r="C3076">
        <v>0.98678733546811304</v>
      </c>
      <c r="D3076">
        <v>0.86847849604911698</v>
      </c>
      <c r="E3076">
        <v>0.65771305298454996</v>
      </c>
      <c r="F3076">
        <v>0.69074611541993003</v>
      </c>
      <c r="G3076">
        <v>0.47324474450346099</v>
      </c>
      <c r="H3076">
        <v>0.350481053161178</v>
      </c>
      <c r="I3076">
        <v>0.37723195600804499</v>
      </c>
      <c r="J3076">
        <v>0.49127977759291602</v>
      </c>
      <c r="K3076">
        <v>0.50362835361952596</v>
      </c>
      <c r="L3076">
        <v>797.38525395054296</v>
      </c>
      <c r="M3076">
        <v>15.9656540454154</v>
      </c>
      <c r="N3076">
        <v>56.599680583953898</v>
      </c>
      <c r="O3076">
        <v>49.179959510316301</v>
      </c>
      <c r="P3076">
        <v>-4.6790968893513897E-2</v>
      </c>
      <c r="Q3076">
        <v>0.42351356294533399</v>
      </c>
      <c r="R3076">
        <v>0.92652794617571399</v>
      </c>
      <c r="S3076" t="s">
        <v>6908</v>
      </c>
      <c r="T3076" t="s">
        <v>7662</v>
      </c>
      <c r="U3076" t="s">
        <v>7662</v>
      </c>
      <c r="V3076" t="s">
        <v>7662</v>
      </c>
      <c r="W3076">
        <v>11</v>
      </c>
      <c r="X3076" t="s">
        <v>10738</v>
      </c>
      <c r="Y3076">
        <v>0.6269028924583675</v>
      </c>
      <c r="Z3076" t="str">
        <f>HYPERLINK("Melting_Curves/meltCurve_sp_Q9Y2H5_PKHA6_HUMAN_.pdf", "Melting_Curves/meltCurve_sp_Q9Y2H5_PKHA6_HUMAN_.pdf")</f>
        <v>Melting_Curves/meltCurve_sp_Q9Y2H5_PKHA6_HUMAN_.pdf</v>
      </c>
      <c r="AA3076" t="s">
        <v>14530</v>
      </c>
      <c r="AB3076" t="s">
        <v>18315</v>
      </c>
    </row>
    <row r="3077" spans="1:28" x14ac:dyDescent="0.25">
      <c r="A3077" t="s">
        <v>3081</v>
      </c>
      <c r="B3077">
        <v>0.98876768158843997</v>
      </c>
      <c r="C3077">
        <v>1.0303645729491799</v>
      </c>
      <c r="D3077">
        <v>0.88208520452823103</v>
      </c>
      <c r="E3077">
        <v>0.65841248196067204</v>
      </c>
      <c r="F3077">
        <v>0.19032001076084501</v>
      </c>
      <c r="G3077">
        <v>0.12163085047346001</v>
      </c>
      <c r="H3077">
        <v>0.108623137854202</v>
      </c>
      <c r="I3077">
        <v>5.1620569574501E-2</v>
      </c>
      <c r="J3077">
        <v>0.12233581393701599</v>
      </c>
      <c r="K3077">
        <v>1.8502561044259701E-2</v>
      </c>
      <c r="L3077">
        <v>1797.8137065037799</v>
      </c>
      <c r="M3077">
        <v>35.5551701233369</v>
      </c>
      <c r="N3077">
        <v>50.800453160150703</v>
      </c>
      <c r="O3077">
        <v>50.404909585458597</v>
      </c>
      <c r="P3077">
        <v>-0.16290296862119699</v>
      </c>
      <c r="Q3077">
        <v>7.6243304472199E-2</v>
      </c>
      <c r="R3077">
        <v>0.98770619012191296</v>
      </c>
      <c r="S3077" t="s">
        <v>6909</v>
      </c>
      <c r="T3077" t="s">
        <v>7662</v>
      </c>
      <c r="U3077" t="s">
        <v>7662</v>
      </c>
      <c r="V3077" t="s">
        <v>7662</v>
      </c>
      <c r="W3077">
        <v>2</v>
      </c>
      <c r="X3077" t="s">
        <v>10739</v>
      </c>
      <c r="Y3077">
        <v>0.40562537707970098</v>
      </c>
      <c r="Z3077" t="str">
        <f>HYPERLINK("Melting_Curves/meltCurve_sp_Q9Y2I1_4_NISCH_HUMAN_.pdf", "Melting_Curves/meltCurve_sp_Q9Y2I1_4_NISCH_HUMAN_.pdf")</f>
        <v>Melting_Curves/meltCurve_sp_Q9Y2I1_4_NISCH_HUMAN_.pdf</v>
      </c>
      <c r="AA3077" t="s">
        <v>14531</v>
      </c>
      <c r="AB3077" t="s">
        <v>18316</v>
      </c>
    </row>
    <row r="3078" spans="1:28" x14ac:dyDescent="0.25">
      <c r="A3078" t="s">
        <v>3082</v>
      </c>
      <c r="B3078">
        <v>0.98876768158843997</v>
      </c>
      <c r="C3078">
        <v>1.0429752950022599</v>
      </c>
      <c r="D3078">
        <v>1.0085703370318699</v>
      </c>
      <c r="E3078">
        <v>0.59789180991760604</v>
      </c>
      <c r="F3078">
        <v>0.21190929177493001</v>
      </c>
      <c r="G3078">
        <v>0.13622034694785301</v>
      </c>
      <c r="H3078">
        <v>9.3548749297191799E-2</v>
      </c>
      <c r="I3078">
        <v>6.8584490088512307E-2</v>
      </c>
      <c r="J3078">
        <v>0.13826465089728099</v>
      </c>
      <c r="K3078">
        <v>0.13291759349256199</v>
      </c>
      <c r="L3078">
        <v>2107.0650982133802</v>
      </c>
      <c r="M3078">
        <v>41.929836919960998</v>
      </c>
      <c r="N3078">
        <v>50.562793858174501</v>
      </c>
      <c r="O3078">
        <v>50.138266845177597</v>
      </c>
      <c r="P3078">
        <v>-0.18533255070107299</v>
      </c>
      <c r="Q3078">
        <v>0.113544220713169</v>
      </c>
      <c r="R3078">
        <v>0.99591329996198497</v>
      </c>
      <c r="S3078" t="s">
        <v>6910</v>
      </c>
      <c r="T3078" t="s">
        <v>7662</v>
      </c>
      <c r="U3078" t="s">
        <v>7662</v>
      </c>
      <c r="V3078" t="s">
        <v>7662</v>
      </c>
      <c r="W3078">
        <v>3</v>
      </c>
      <c r="X3078" t="s">
        <v>10740</v>
      </c>
      <c r="Y3078">
        <v>0.41928133977604581</v>
      </c>
      <c r="Z3078" t="str">
        <f>HYPERLINK("Melting_Curves/meltCurve_sp_Q9Y2L5_2_TPPC8_HUMAN_.pdf", "Melting_Curves/meltCurve_sp_Q9Y2L5_2_TPPC8_HUMAN_.pdf")</f>
        <v>Melting_Curves/meltCurve_sp_Q9Y2L5_2_TPPC8_HUMAN_.pdf</v>
      </c>
      <c r="AA3078" t="s">
        <v>14532</v>
      </c>
      <c r="AB3078" t="s">
        <v>18317</v>
      </c>
    </row>
    <row r="3079" spans="1:28" x14ac:dyDescent="0.25">
      <c r="A3079" t="s">
        <v>3083</v>
      </c>
      <c r="B3079">
        <v>0.98876768158843997</v>
      </c>
      <c r="C3079">
        <v>0.82668715862166697</v>
      </c>
      <c r="D3079">
        <v>0.82175433516157903</v>
      </c>
      <c r="E3079">
        <v>0.44054460866233103</v>
      </c>
      <c r="F3079">
        <v>0.12745542439215199</v>
      </c>
      <c r="G3079">
        <v>0.129439257373473</v>
      </c>
      <c r="H3079">
        <v>7.6091827332810599E-2</v>
      </c>
      <c r="I3079">
        <v>6.5080804088510497E-2</v>
      </c>
      <c r="J3079">
        <v>8.3299789372834401E-2</v>
      </c>
      <c r="K3079">
        <v>6.3291111809150799E-2</v>
      </c>
      <c r="L3079">
        <v>1001.24985009619</v>
      </c>
      <c r="M3079">
        <v>20.579072414164699</v>
      </c>
      <c r="N3079">
        <v>48.962735151821299</v>
      </c>
      <c r="O3079">
        <v>48.201362105544803</v>
      </c>
      <c r="P3079">
        <v>-0.10023913066199</v>
      </c>
      <c r="Q3079">
        <v>6.0886495772909201E-2</v>
      </c>
      <c r="R3079">
        <v>0.98095024590246205</v>
      </c>
      <c r="S3079" t="s">
        <v>6911</v>
      </c>
      <c r="T3079" t="s">
        <v>7662</v>
      </c>
      <c r="U3079" t="s">
        <v>7662</v>
      </c>
      <c r="V3079" t="s">
        <v>7662</v>
      </c>
      <c r="W3079">
        <v>3</v>
      </c>
      <c r="X3079" t="s">
        <v>10741</v>
      </c>
      <c r="Y3079">
        <v>0.34423113185658938</v>
      </c>
      <c r="Z3079" t="str">
        <f>HYPERLINK("Melting_Curves/meltCurve_sp_Q9Y2P5_S27A5_HUMAN_.pdf", "Melting_Curves/meltCurve_sp_Q9Y2P5_S27A5_HUMAN_.pdf")</f>
        <v>Melting_Curves/meltCurve_sp_Q9Y2P5_S27A5_HUMAN_.pdf</v>
      </c>
      <c r="AA3079" t="s">
        <v>14533</v>
      </c>
      <c r="AB3079" t="s">
        <v>18318</v>
      </c>
    </row>
    <row r="3080" spans="1:28" x14ac:dyDescent="0.25">
      <c r="A3080" t="s">
        <v>3084</v>
      </c>
      <c r="B3080">
        <v>0.98876768158843997</v>
      </c>
      <c r="C3080">
        <v>0.78492672450839895</v>
      </c>
      <c r="D3080">
        <v>0.79675919269071604</v>
      </c>
      <c r="E3080">
        <v>0.43453909080458097</v>
      </c>
      <c r="F3080">
        <v>0.144042993293513</v>
      </c>
      <c r="G3080">
        <v>4.4973968556395197E-2</v>
      </c>
      <c r="H3080">
        <v>2.4369488927465498E-2</v>
      </c>
      <c r="I3080">
        <v>2.12221828386886E-2</v>
      </c>
      <c r="J3080">
        <v>2.3506305376647E-2</v>
      </c>
      <c r="K3080">
        <v>2.2602219646009201E-2</v>
      </c>
      <c r="L3080">
        <v>852.07963367574098</v>
      </c>
      <c r="M3080">
        <v>17.472339759431701</v>
      </c>
      <c r="N3080">
        <v>48.767344306672797</v>
      </c>
      <c r="O3080">
        <v>48.141976998017803</v>
      </c>
      <c r="P3080">
        <v>-9.0738425046729604E-2</v>
      </c>
      <c r="Q3080">
        <v>0</v>
      </c>
      <c r="R3080">
        <v>0.98057791431990404</v>
      </c>
      <c r="S3080" t="s">
        <v>6912</v>
      </c>
      <c r="T3080" t="s">
        <v>7662</v>
      </c>
      <c r="U3080" t="s">
        <v>7662</v>
      </c>
      <c r="V3080" t="s">
        <v>7662</v>
      </c>
      <c r="W3080">
        <v>13</v>
      </c>
      <c r="X3080" t="s">
        <v>10742</v>
      </c>
      <c r="Y3080">
        <v>0.31071791719835079</v>
      </c>
      <c r="Z3080" t="str">
        <f>HYPERLINK("Melting_Curves/meltCurve_sp_Q9Y2Q3_GSTK1_HUMAN_.pdf", "Melting_Curves/meltCurve_sp_Q9Y2Q3_GSTK1_HUMAN_.pdf")</f>
        <v>Melting_Curves/meltCurve_sp_Q9Y2Q3_GSTK1_HUMAN_.pdf</v>
      </c>
      <c r="AA3080" t="s">
        <v>14534</v>
      </c>
      <c r="AB3080" t="s">
        <v>18319</v>
      </c>
    </row>
    <row r="3081" spans="1:28" x14ac:dyDescent="0.25">
      <c r="A3081" t="s">
        <v>3085</v>
      </c>
      <c r="B3081">
        <v>0.98876768158843997</v>
      </c>
      <c r="C3081">
        <v>1.06111797694876</v>
      </c>
      <c r="D3081">
        <v>0.88246462396535197</v>
      </c>
      <c r="E3081">
        <v>0.702303048191668</v>
      </c>
      <c r="F3081">
        <v>0.74748837958704695</v>
      </c>
      <c r="G3081">
        <v>0.46935219585148702</v>
      </c>
      <c r="H3081">
        <v>0.31059338383081803</v>
      </c>
      <c r="I3081">
        <v>0.21888412749759201</v>
      </c>
      <c r="J3081">
        <v>0.15735524429074901</v>
      </c>
      <c r="K3081">
        <v>0.10009887930928101</v>
      </c>
      <c r="L3081">
        <v>598.18959851739999</v>
      </c>
      <c r="M3081">
        <v>10.5987497098495</v>
      </c>
      <c r="N3081">
        <v>56.439641205500998</v>
      </c>
      <c r="O3081">
        <v>54.541598885248902</v>
      </c>
      <c r="P3081">
        <v>-4.8599952249002799E-2</v>
      </c>
      <c r="Q3081">
        <v>0</v>
      </c>
      <c r="R3081">
        <v>0.97739271584055798</v>
      </c>
      <c r="S3081" t="s">
        <v>6913</v>
      </c>
      <c r="T3081" t="s">
        <v>7662</v>
      </c>
      <c r="U3081" t="s">
        <v>7662</v>
      </c>
      <c r="V3081" t="s">
        <v>7662</v>
      </c>
      <c r="W3081">
        <v>3</v>
      </c>
      <c r="X3081" t="s">
        <v>10743</v>
      </c>
      <c r="Y3081">
        <v>0.56702673119668279</v>
      </c>
      <c r="Z3081" t="str">
        <f>HYPERLINK("Melting_Curves/meltCurve_sp_Q9Y2Q5_LTOR2_HUMAN_.pdf", "Melting_Curves/meltCurve_sp_Q9Y2Q5_LTOR2_HUMAN_.pdf")</f>
        <v>Melting_Curves/meltCurve_sp_Q9Y2Q5_LTOR2_HUMAN_.pdf</v>
      </c>
      <c r="AA3081" t="s">
        <v>14535</v>
      </c>
      <c r="AB3081" t="s">
        <v>18320</v>
      </c>
    </row>
    <row r="3082" spans="1:28" x14ac:dyDescent="0.25">
      <c r="A3082" t="s">
        <v>3086</v>
      </c>
      <c r="B3082">
        <v>0.98876768158843997</v>
      </c>
      <c r="C3082">
        <v>1.33066359723113</v>
      </c>
      <c r="D3082">
        <v>1.04994343280597</v>
      </c>
      <c r="E3082">
        <v>0.75712847499644598</v>
      </c>
      <c r="F3082">
        <v>1.2689401431930301</v>
      </c>
      <c r="G3082">
        <v>0.561454573802462</v>
      </c>
      <c r="H3082">
        <v>0.27296519224035198</v>
      </c>
      <c r="I3082">
        <v>0.21771662387687399</v>
      </c>
      <c r="J3082">
        <v>0.32240328564340798</v>
      </c>
      <c r="K3082">
        <v>0.209735017764345</v>
      </c>
      <c r="L3082">
        <v>14229.4402712998</v>
      </c>
      <c r="M3082">
        <v>250</v>
      </c>
      <c r="N3082">
        <v>57.0813131482182</v>
      </c>
      <c r="O3082">
        <v>56.914122350418403</v>
      </c>
      <c r="P3082">
        <v>-0.81734440430655897</v>
      </c>
      <c r="Q3082">
        <v>0.25570501735755002</v>
      </c>
      <c r="R3082">
        <v>0.85604324812982702</v>
      </c>
      <c r="S3082" t="s">
        <v>6914</v>
      </c>
      <c r="T3082" t="s">
        <v>7662</v>
      </c>
      <c r="U3082" t="s">
        <v>7662</v>
      </c>
      <c r="V3082" t="s">
        <v>7662</v>
      </c>
      <c r="W3082">
        <v>3</v>
      </c>
      <c r="X3082" t="s">
        <v>10744</v>
      </c>
      <c r="Y3082">
        <v>0.67550618793182671</v>
      </c>
      <c r="Z3082" t="str">
        <f>HYPERLINK("Melting_Curves/meltCurve_sp_Q9Y2Q9_RT28_HUMAN_.pdf", "Melting_Curves/meltCurve_sp_Q9Y2Q9_RT28_HUMAN_.pdf")</f>
        <v>Melting_Curves/meltCurve_sp_Q9Y2Q9_RT28_HUMAN_.pdf</v>
      </c>
      <c r="AA3082" t="s">
        <v>14536</v>
      </c>
      <c r="AB3082" t="s">
        <v>18321</v>
      </c>
    </row>
    <row r="3083" spans="1:28" x14ac:dyDescent="0.25">
      <c r="A3083" t="s">
        <v>3087</v>
      </c>
      <c r="B3083">
        <v>0.98876768158843997</v>
      </c>
      <c r="C3083">
        <v>1.08213388099152</v>
      </c>
      <c r="D3083">
        <v>0.86515325542499899</v>
      </c>
      <c r="E3083">
        <v>0.689793749933169</v>
      </c>
      <c r="F3083">
        <v>0.82123130852145698</v>
      </c>
      <c r="G3083">
        <v>0.75869501134675998</v>
      </c>
      <c r="H3083">
        <v>0.51975306017231704</v>
      </c>
      <c r="I3083">
        <v>0.53246470250712796</v>
      </c>
      <c r="J3083">
        <v>1.0893950225223901</v>
      </c>
      <c r="K3083">
        <v>1.1616552295932301</v>
      </c>
      <c r="L3083">
        <v>11469.1865872408</v>
      </c>
      <c r="M3083">
        <v>250</v>
      </c>
      <c r="O3083">
        <v>45.873807426697901</v>
      </c>
      <c r="P3083">
        <v>-0.27774404871467401</v>
      </c>
      <c r="Q3083">
        <v>0.79614115430796395</v>
      </c>
      <c r="R3083">
        <v>0.18368835113659601</v>
      </c>
      <c r="S3083" t="s">
        <v>6915</v>
      </c>
      <c r="T3083" t="s">
        <v>7662</v>
      </c>
      <c r="U3083" t="s">
        <v>7662</v>
      </c>
      <c r="V3083" t="s">
        <v>7662</v>
      </c>
      <c r="W3083">
        <v>1</v>
      </c>
      <c r="X3083" t="s">
        <v>10745</v>
      </c>
      <c r="Y3083">
        <v>0.8360917918277665</v>
      </c>
      <c r="Z3083" t="str">
        <f>HYPERLINK("Melting_Curves/meltCurve_sp_Q9Y2R0_COA3_HUMAN_.pdf", "Melting_Curves/meltCurve_sp_Q9Y2R0_COA3_HUMAN_.pdf")</f>
        <v>Melting_Curves/meltCurve_sp_Q9Y2R0_COA3_HUMAN_.pdf</v>
      </c>
      <c r="AA3083" t="s">
        <v>14537</v>
      </c>
      <c r="AB3083" t="s">
        <v>18322</v>
      </c>
    </row>
    <row r="3084" spans="1:28" x14ac:dyDescent="0.25">
      <c r="A3084" t="s">
        <v>3088</v>
      </c>
      <c r="B3084">
        <v>0.98876768158843997</v>
      </c>
      <c r="C3084">
        <v>0.92049249051276505</v>
      </c>
      <c r="D3084">
        <v>0.88778712198461296</v>
      </c>
      <c r="E3084">
        <v>0.75202643388415102</v>
      </c>
      <c r="F3084">
        <v>0.173250410388294</v>
      </c>
      <c r="G3084">
        <v>6.9955553726370204E-2</v>
      </c>
      <c r="H3084">
        <v>3.6748471551163897E-2</v>
      </c>
      <c r="I3084">
        <v>3.00274495103478E-2</v>
      </c>
      <c r="J3084">
        <v>3.4249865434971001E-2</v>
      </c>
      <c r="K3084">
        <v>2.7533509266508199E-2</v>
      </c>
      <c r="L3084">
        <v>2409.0376834010799</v>
      </c>
      <c r="M3084">
        <v>47.169117229852098</v>
      </c>
      <c r="N3084">
        <v>51.1551306350879</v>
      </c>
      <c r="O3084">
        <v>50.980806237682103</v>
      </c>
      <c r="P3084">
        <v>-0.22280910197123099</v>
      </c>
      <c r="Q3084">
        <v>3.6744709670914803E-2</v>
      </c>
      <c r="R3084">
        <v>0.98877137475972998</v>
      </c>
      <c r="S3084" t="s">
        <v>6916</v>
      </c>
      <c r="T3084" t="s">
        <v>7662</v>
      </c>
      <c r="U3084" t="s">
        <v>7662</v>
      </c>
      <c r="V3084" t="s">
        <v>7662</v>
      </c>
      <c r="W3084">
        <v>24</v>
      </c>
      <c r="X3084" t="s">
        <v>10746</v>
      </c>
      <c r="Y3084">
        <v>0.39470125973849829</v>
      </c>
      <c r="Z3084" t="str">
        <f>HYPERLINK("Melting_Curves/meltCurve_sp_Q9Y2S2_CRYL1_HUMAN_.pdf", "Melting_Curves/meltCurve_sp_Q9Y2S2_CRYL1_HUMAN_.pdf")</f>
        <v>Melting_Curves/meltCurve_sp_Q9Y2S2_CRYL1_HUMAN_.pdf</v>
      </c>
      <c r="AA3084" t="s">
        <v>14538</v>
      </c>
      <c r="AB3084" t="s">
        <v>18323</v>
      </c>
    </row>
    <row r="3085" spans="1:28" x14ac:dyDescent="0.25">
      <c r="A3085" t="s">
        <v>3089</v>
      </c>
      <c r="B3085">
        <v>0.98876768158843997</v>
      </c>
      <c r="C3085">
        <v>1.23656831025639</v>
      </c>
      <c r="D3085">
        <v>0.90754855739506302</v>
      </c>
      <c r="E3085">
        <v>0.80971110172031402</v>
      </c>
      <c r="F3085">
        <v>1.0237159172421999</v>
      </c>
      <c r="G3085">
        <v>0.808794063020708</v>
      </c>
      <c r="H3085">
        <v>0.60336284323161704</v>
      </c>
      <c r="I3085">
        <v>0.69074907761386195</v>
      </c>
      <c r="J3085">
        <v>0.86682212752336496</v>
      </c>
      <c r="K3085">
        <v>1.15733926495892</v>
      </c>
      <c r="L3085">
        <v>11476.979314473099</v>
      </c>
      <c r="M3085">
        <v>250</v>
      </c>
      <c r="O3085">
        <v>45.904979843710699</v>
      </c>
      <c r="P3085">
        <v>-0.202185042426478</v>
      </c>
      <c r="Q3085">
        <v>0.85149919667254503</v>
      </c>
      <c r="R3085">
        <v>0.22982124643604299</v>
      </c>
      <c r="S3085" t="s">
        <v>6917</v>
      </c>
      <c r="T3085" t="s">
        <v>7662</v>
      </c>
      <c r="U3085" t="s">
        <v>7662</v>
      </c>
      <c r="V3085" t="s">
        <v>7662</v>
      </c>
      <c r="W3085">
        <v>4</v>
      </c>
      <c r="X3085" t="s">
        <v>10747</v>
      </c>
      <c r="Y3085">
        <v>0.8807555096640961</v>
      </c>
      <c r="Z3085" t="str">
        <f>HYPERLINK("Melting_Curves/meltCurve_sp_Q9Y2S6_TMA7_HUMAN_.pdf", "Melting_Curves/meltCurve_sp_Q9Y2S6_TMA7_HUMAN_.pdf")</f>
        <v>Melting_Curves/meltCurve_sp_Q9Y2S6_TMA7_HUMAN_.pdf</v>
      </c>
      <c r="AA3085" t="s">
        <v>14539</v>
      </c>
      <c r="AB3085" t="s">
        <v>18324</v>
      </c>
    </row>
    <row r="3086" spans="1:28" x14ac:dyDescent="0.25">
      <c r="A3086" t="s">
        <v>3090</v>
      </c>
      <c r="B3086">
        <v>0.98876768158843997</v>
      </c>
      <c r="C3086">
        <v>1.0550327616036801</v>
      </c>
      <c r="D3086">
        <v>0.83002668688016601</v>
      </c>
      <c r="E3086">
        <v>0.63866609557114196</v>
      </c>
      <c r="F3086">
        <v>0.30395024269495602</v>
      </c>
      <c r="G3086">
        <v>9.4971169620196194E-2</v>
      </c>
      <c r="H3086">
        <v>5.2756765563495497E-2</v>
      </c>
      <c r="I3086">
        <v>4.3382440136304601E-2</v>
      </c>
      <c r="J3086">
        <v>4.8269595238560198E-2</v>
      </c>
      <c r="K3086">
        <v>3.47483157483763E-2</v>
      </c>
      <c r="L3086">
        <v>1077.83211495571</v>
      </c>
      <c r="M3086">
        <v>21.202019567499001</v>
      </c>
      <c r="N3086">
        <v>50.975106739843199</v>
      </c>
      <c r="O3086">
        <v>50.390538087183799</v>
      </c>
      <c r="P3086">
        <v>-0.102240564920687</v>
      </c>
      <c r="Q3086">
        <v>2.8050380066055699E-2</v>
      </c>
      <c r="R3086">
        <v>0.99158846541389301</v>
      </c>
      <c r="S3086" t="s">
        <v>6918</v>
      </c>
      <c r="T3086" t="s">
        <v>7662</v>
      </c>
      <c r="U3086" t="s">
        <v>7662</v>
      </c>
      <c r="V3086" t="s">
        <v>7662</v>
      </c>
      <c r="W3086">
        <v>12</v>
      </c>
      <c r="X3086" t="s">
        <v>10748</v>
      </c>
      <c r="Y3086">
        <v>0.39120899437247869</v>
      </c>
      <c r="Z3086" t="str">
        <f>HYPERLINK("Melting_Curves/meltCurve_sp_Q9Y2S7_PDIP2_HUMAN_.pdf", "Melting_Curves/meltCurve_sp_Q9Y2S7_PDIP2_HUMAN_.pdf")</f>
        <v>Melting_Curves/meltCurve_sp_Q9Y2S7_PDIP2_HUMAN_.pdf</v>
      </c>
      <c r="AA3086" t="s">
        <v>14540</v>
      </c>
      <c r="AB3086" t="s">
        <v>18325</v>
      </c>
    </row>
    <row r="3087" spans="1:28" x14ac:dyDescent="0.25">
      <c r="A3087" t="s">
        <v>3091</v>
      </c>
      <c r="B3087">
        <v>0.98876768158843997</v>
      </c>
      <c r="C3087">
        <v>1.1072752428113599</v>
      </c>
      <c r="D3087">
        <v>0.90624708311308899</v>
      </c>
      <c r="E3087">
        <v>0.63865380260548199</v>
      </c>
      <c r="F3087">
        <v>0.42587906480506199</v>
      </c>
      <c r="G3087">
        <v>0.19029834280994901</v>
      </c>
      <c r="H3087">
        <v>9.7801164314065006E-2</v>
      </c>
      <c r="I3087">
        <v>7.1173760472596104E-2</v>
      </c>
      <c r="J3087">
        <v>8.0069190651739397E-2</v>
      </c>
      <c r="K3087">
        <v>5.3024954080625297E-2</v>
      </c>
      <c r="L3087">
        <v>1005.53717542922</v>
      </c>
      <c r="M3087">
        <v>19.506575687327501</v>
      </c>
      <c r="N3087">
        <v>51.875380801041203</v>
      </c>
      <c r="O3087">
        <v>51.016037148719903</v>
      </c>
      <c r="P3087">
        <v>-9.0067586686061393E-2</v>
      </c>
      <c r="Q3087">
        <v>5.7809754458409301E-2</v>
      </c>
      <c r="R3087">
        <v>0.98904587633406404</v>
      </c>
      <c r="S3087" t="s">
        <v>6919</v>
      </c>
      <c r="T3087" t="s">
        <v>7662</v>
      </c>
      <c r="U3087" t="s">
        <v>7662</v>
      </c>
      <c r="V3087" t="s">
        <v>7662</v>
      </c>
      <c r="W3087">
        <v>6</v>
      </c>
      <c r="X3087" t="s">
        <v>10749</v>
      </c>
      <c r="Y3087">
        <v>0.43417708719267611</v>
      </c>
      <c r="Z3087" t="str">
        <f>HYPERLINK("Melting_Curves/meltCurve_sp_Q9Y2T2_AP3M1_HUMAN_.pdf", "Melting_Curves/meltCurve_sp_Q9Y2T2_AP3M1_HUMAN_.pdf")</f>
        <v>Melting_Curves/meltCurve_sp_Q9Y2T2_AP3M1_HUMAN_.pdf</v>
      </c>
      <c r="AA3087" t="s">
        <v>14541</v>
      </c>
      <c r="AB3087" t="s">
        <v>18326</v>
      </c>
    </row>
    <row r="3088" spans="1:28" x14ac:dyDescent="0.25">
      <c r="A3088" t="s">
        <v>3092</v>
      </c>
      <c r="B3088">
        <v>0.98876768158843997</v>
      </c>
      <c r="C3088">
        <v>0.856404100647431</v>
      </c>
      <c r="D3088">
        <v>0.92045407740042395</v>
      </c>
      <c r="E3088">
        <v>0.78318849184482098</v>
      </c>
      <c r="F3088">
        <v>0.64980328502312401</v>
      </c>
      <c r="G3088">
        <v>0.46170202653651998</v>
      </c>
      <c r="H3088">
        <v>0.38982158267203598</v>
      </c>
      <c r="I3088">
        <v>0.44166431937436601</v>
      </c>
      <c r="J3088">
        <v>0.369043681397001</v>
      </c>
      <c r="K3088">
        <v>0.216874097781451</v>
      </c>
      <c r="L3088">
        <v>486.55860134233802</v>
      </c>
      <c r="M3088">
        <v>8.8911751881832295</v>
      </c>
      <c r="N3088">
        <v>57.715127898009499</v>
      </c>
      <c r="O3088">
        <v>52.1677780016783</v>
      </c>
      <c r="P3088">
        <v>-3.4768626347889998E-2</v>
      </c>
      <c r="Q3088">
        <v>0.18461940576887301</v>
      </c>
      <c r="R3088">
        <v>0.95648894933394801</v>
      </c>
      <c r="S3088" t="s">
        <v>6920</v>
      </c>
      <c r="T3088" t="s">
        <v>7662</v>
      </c>
      <c r="U3088" t="s">
        <v>7662</v>
      </c>
      <c r="V3088" t="s">
        <v>7662</v>
      </c>
      <c r="W3088">
        <v>19</v>
      </c>
      <c r="X3088" t="s">
        <v>10750</v>
      </c>
      <c r="Y3088">
        <v>0.60795086901885931</v>
      </c>
      <c r="Z3088" t="str">
        <f>HYPERLINK("Melting_Curves/meltCurve_sp_Q9Y2T3_3_GUAD_HUMAN_.pdf", "Melting_Curves/meltCurve_sp_Q9Y2T3_3_GUAD_HUMAN_.pdf")</f>
        <v>Melting_Curves/meltCurve_sp_Q9Y2T3_3_GUAD_HUMAN_.pdf</v>
      </c>
      <c r="AA3088" t="s">
        <v>14542</v>
      </c>
      <c r="AB3088" t="s">
        <v>18327</v>
      </c>
    </row>
    <row r="3089" spans="1:28" x14ac:dyDescent="0.25">
      <c r="A3089" t="s">
        <v>3093</v>
      </c>
      <c r="B3089">
        <v>0.98876768158843997</v>
      </c>
      <c r="C3089">
        <v>1.0183917825844999</v>
      </c>
      <c r="D3089">
        <v>0.86090900462466102</v>
      </c>
      <c r="E3089">
        <v>0.70473146300275702</v>
      </c>
      <c r="F3089">
        <v>0.64909782100684499</v>
      </c>
      <c r="G3089">
        <v>0.43543864077144101</v>
      </c>
      <c r="H3089">
        <v>0.39474529193426</v>
      </c>
      <c r="I3089">
        <v>0.55131305432623801</v>
      </c>
      <c r="J3089">
        <v>0.412404464970895</v>
      </c>
      <c r="K3089">
        <v>0.60484909757113503</v>
      </c>
      <c r="L3089">
        <v>977.12048228930098</v>
      </c>
      <c r="M3089">
        <v>19.805058785860201</v>
      </c>
      <c r="N3089">
        <v>58.750903013498501</v>
      </c>
      <c r="O3089">
        <v>48.842171948447998</v>
      </c>
      <c r="P3089">
        <v>-5.2809768134519E-2</v>
      </c>
      <c r="Q3089">
        <v>0.479071173940467</v>
      </c>
      <c r="R3089">
        <v>0.90006639196286498</v>
      </c>
      <c r="S3089" t="s">
        <v>6921</v>
      </c>
      <c r="T3089" t="s">
        <v>7662</v>
      </c>
      <c r="U3089" t="s">
        <v>7662</v>
      </c>
      <c r="V3089" t="s">
        <v>7662</v>
      </c>
      <c r="W3089">
        <v>1</v>
      </c>
      <c r="X3089" t="s">
        <v>10751</v>
      </c>
      <c r="Y3089">
        <v>0.64862144711546144</v>
      </c>
      <c r="Z3089" t="str">
        <f>HYPERLINK("Melting_Curves/meltCurve_sp_Q9Y2U8_MAN1_HUMAN_.pdf", "Melting_Curves/meltCurve_sp_Q9Y2U8_MAN1_HUMAN_.pdf")</f>
        <v>Melting_Curves/meltCurve_sp_Q9Y2U8_MAN1_HUMAN_.pdf</v>
      </c>
      <c r="AA3089" t="s">
        <v>14543</v>
      </c>
      <c r="AB3089" t="s">
        <v>18328</v>
      </c>
    </row>
    <row r="3090" spans="1:28" x14ac:dyDescent="0.25">
      <c r="A3090" t="s">
        <v>3094</v>
      </c>
      <c r="B3090">
        <v>0.98876768158843997</v>
      </c>
      <c r="C3090">
        <v>1.2777620763336199</v>
      </c>
      <c r="D3090">
        <v>0.91562983603808701</v>
      </c>
      <c r="E3090">
        <v>0.88072070948686998</v>
      </c>
      <c r="F3090">
        <v>1.5048811533084001</v>
      </c>
      <c r="G3090">
        <v>0.95920401201452699</v>
      </c>
      <c r="H3090">
        <v>0.78310296769294496</v>
      </c>
      <c r="I3090">
        <v>0.88721755395118196</v>
      </c>
      <c r="J3090">
        <v>1.01020479776247</v>
      </c>
      <c r="K3090">
        <v>1.2494262482827101</v>
      </c>
      <c r="L3090">
        <v>10289.216212187401</v>
      </c>
      <c r="M3090">
        <v>250</v>
      </c>
      <c r="O3090">
        <v>41.154231066668103</v>
      </c>
      <c r="P3090">
        <v>7.8994269296987996E-2</v>
      </c>
      <c r="Q3090">
        <v>1.05201517454435</v>
      </c>
      <c r="R3090">
        <v>7.6084108032657997E-3</v>
      </c>
      <c r="S3090" t="s">
        <v>6922</v>
      </c>
      <c r="T3090" t="s">
        <v>7662</v>
      </c>
      <c r="U3090" t="s">
        <v>7662</v>
      </c>
      <c r="V3090" t="s">
        <v>7662</v>
      </c>
      <c r="W3090">
        <v>9</v>
      </c>
      <c r="X3090" t="s">
        <v>10752</v>
      </c>
      <c r="Y3090">
        <v>1.050005406245919</v>
      </c>
      <c r="Z3090" t="str">
        <f>HYPERLINK("Melting_Curves/meltCurve_sp_Q9Y2V2_CHSP1_HUMAN_.pdf", "Melting_Curves/meltCurve_sp_Q9Y2V2_CHSP1_HUMAN_.pdf")</f>
        <v>Melting_Curves/meltCurve_sp_Q9Y2V2_CHSP1_HUMAN_.pdf</v>
      </c>
      <c r="AA3090" t="s">
        <v>14544</v>
      </c>
      <c r="AB3090" t="s">
        <v>18329</v>
      </c>
    </row>
    <row r="3091" spans="1:28" x14ac:dyDescent="0.25">
      <c r="A3091" t="s">
        <v>3095</v>
      </c>
      <c r="B3091">
        <v>0.98876768158843997</v>
      </c>
      <c r="C3091">
        <v>1.04514069563718</v>
      </c>
      <c r="D3091">
        <v>0.884573106278013</v>
      </c>
      <c r="E3091">
        <v>0.75755401969594505</v>
      </c>
      <c r="F3091">
        <v>0.863203165103551</v>
      </c>
      <c r="G3091">
        <v>0.65046498638094097</v>
      </c>
      <c r="H3091">
        <v>0.51905124260045099</v>
      </c>
      <c r="I3091">
        <v>0.62054403782732503</v>
      </c>
      <c r="J3091">
        <v>0.74059841015324701</v>
      </c>
      <c r="K3091">
        <v>0.96357194239258404</v>
      </c>
      <c r="L3091">
        <v>1121.6107751511199</v>
      </c>
      <c r="M3091">
        <v>23.5637793887051</v>
      </c>
      <c r="O3091">
        <v>47.260079233984001</v>
      </c>
      <c r="P3091">
        <v>-3.5467424410470398E-2</v>
      </c>
      <c r="Q3091">
        <v>0.71546748728473197</v>
      </c>
      <c r="R3091">
        <v>0.49802984751471602</v>
      </c>
      <c r="S3091" t="s">
        <v>6923</v>
      </c>
      <c r="T3091" t="s">
        <v>7662</v>
      </c>
      <c r="U3091" t="s">
        <v>7662</v>
      </c>
      <c r="V3091" t="s">
        <v>7662</v>
      </c>
      <c r="W3091">
        <v>12</v>
      </c>
      <c r="X3091" t="s">
        <v>10753</v>
      </c>
      <c r="Y3091">
        <v>0.79040218991265898</v>
      </c>
      <c r="Z3091" t="str">
        <f>HYPERLINK("Melting_Curves/meltCurve_sp_Q9Y2W1_TR150_HUMAN_.pdf", "Melting_Curves/meltCurve_sp_Q9Y2W1_TR150_HUMAN_.pdf")</f>
        <v>Melting_Curves/meltCurve_sp_Q9Y2W1_TR150_HUMAN_.pdf</v>
      </c>
      <c r="AA3091" t="s">
        <v>14545</v>
      </c>
      <c r="AB3091" t="s">
        <v>18330</v>
      </c>
    </row>
    <row r="3092" spans="1:28" x14ac:dyDescent="0.25">
      <c r="A3092" t="s">
        <v>3096</v>
      </c>
      <c r="B3092">
        <v>0.98876768158843997</v>
      </c>
      <c r="C3092">
        <v>0.97797908798356603</v>
      </c>
      <c r="D3092">
        <v>0.97398641313693501</v>
      </c>
      <c r="E3092">
        <v>0.79521794213216801</v>
      </c>
      <c r="F3092">
        <v>0.85434751800401298</v>
      </c>
      <c r="G3092">
        <v>0.62259411150248201</v>
      </c>
      <c r="H3092">
        <v>0.51691055705969402</v>
      </c>
      <c r="I3092">
        <v>0.514890843747559</v>
      </c>
      <c r="J3092">
        <v>0.85143301246653702</v>
      </c>
      <c r="K3092">
        <v>0.681257767303455</v>
      </c>
      <c r="L3092">
        <v>1064.3317462887401</v>
      </c>
      <c r="M3092">
        <v>20.896481695464299</v>
      </c>
      <c r="O3092">
        <v>50.473968364562303</v>
      </c>
      <c r="P3092">
        <v>-3.7448561242950297E-2</v>
      </c>
      <c r="Q3092">
        <v>0.63819254041057605</v>
      </c>
      <c r="R3092">
        <v>0.679926760131358</v>
      </c>
      <c r="S3092" t="s">
        <v>6924</v>
      </c>
      <c r="T3092" t="s">
        <v>7662</v>
      </c>
      <c r="U3092" t="s">
        <v>7662</v>
      </c>
      <c r="V3092" t="s">
        <v>7662</v>
      </c>
      <c r="W3092">
        <v>1</v>
      </c>
      <c r="X3092" t="s">
        <v>10754</v>
      </c>
      <c r="Y3092">
        <v>0.77467768363897871</v>
      </c>
      <c r="Z3092" t="str">
        <f>HYPERLINK("Melting_Curves/meltCurve_sp_Q9Y2X3_NOP58_HUMAN_.pdf", "Melting_Curves/meltCurve_sp_Q9Y2X3_NOP58_HUMAN_.pdf")</f>
        <v>Melting_Curves/meltCurve_sp_Q9Y2X3_NOP58_HUMAN_.pdf</v>
      </c>
      <c r="AA3092" t="s">
        <v>14546</v>
      </c>
      <c r="AB3092" t="s">
        <v>18331</v>
      </c>
    </row>
    <row r="3093" spans="1:28" x14ac:dyDescent="0.25">
      <c r="A3093" t="s">
        <v>3097</v>
      </c>
      <c r="B3093">
        <v>0.98876768158843997</v>
      </c>
      <c r="C3093">
        <v>1.0731553588076801</v>
      </c>
      <c r="D3093">
        <v>0.855025993380645</v>
      </c>
      <c r="E3093">
        <v>0.65105770194671797</v>
      </c>
      <c r="F3093">
        <v>0.82323801164594401</v>
      </c>
      <c r="G3093">
        <v>0.59739105843019302</v>
      </c>
      <c r="H3093">
        <v>0.41711848081289699</v>
      </c>
      <c r="I3093">
        <v>0.32990063139538001</v>
      </c>
      <c r="J3093">
        <v>0.33912761783849699</v>
      </c>
      <c r="K3093">
        <v>0.25705447708572898</v>
      </c>
      <c r="L3093">
        <v>473.040939671692</v>
      </c>
      <c r="M3093">
        <v>8.1654387385710905</v>
      </c>
      <c r="N3093">
        <v>59.146525056798303</v>
      </c>
      <c r="O3093">
        <v>54.768428745577197</v>
      </c>
      <c r="P3093">
        <v>-3.4431912281688903E-2</v>
      </c>
      <c r="Q3093">
        <v>7.7179777979907799E-2</v>
      </c>
      <c r="R3093">
        <v>0.92509322422977402</v>
      </c>
      <c r="S3093" t="s">
        <v>6925</v>
      </c>
      <c r="T3093" t="s">
        <v>7662</v>
      </c>
      <c r="U3093" t="s">
        <v>7662</v>
      </c>
      <c r="V3093" t="s">
        <v>7662</v>
      </c>
      <c r="W3093">
        <v>14</v>
      </c>
      <c r="X3093" t="s">
        <v>10755</v>
      </c>
      <c r="Y3093">
        <v>0.63327765136397463</v>
      </c>
      <c r="Z3093" t="str">
        <f>HYPERLINK("Melting_Curves/meltCurve_sp_Q9Y2Z0_SUGT1_HUMAN_.pdf", "Melting_Curves/meltCurve_sp_Q9Y2Z0_SUGT1_HUMAN_.pdf")</f>
        <v>Melting_Curves/meltCurve_sp_Q9Y2Z0_SUGT1_HUMAN_.pdf</v>
      </c>
      <c r="AA3093" t="s">
        <v>14547</v>
      </c>
      <c r="AB3093" t="s">
        <v>18332</v>
      </c>
    </row>
    <row r="3094" spans="1:28" x14ac:dyDescent="0.25">
      <c r="A3094" t="s">
        <v>3098</v>
      </c>
      <c r="B3094">
        <v>0.98876768158843997</v>
      </c>
      <c r="C3094">
        <v>0.97619389982334703</v>
      </c>
      <c r="D3094">
        <v>0.97425490624241196</v>
      </c>
      <c r="E3094">
        <v>0.79646466058937904</v>
      </c>
      <c r="F3094">
        <v>0.96844554877296896</v>
      </c>
      <c r="G3094">
        <v>0.643835917918677</v>
      </c>
      <c r="H3094">
        <v>0.38283627089558397</v>
      </c>
      <c r="I3094">
        <v>0.253889814433858</v>
      </c>
      <c r="J3094">
        <v>0.498864923752043</v>
      </c>
      <c r="K3094">
        <v>0.36123084163637198</v>
      </c>
      <c r="L3094">
        <v>2452.5729825892499</v>
      </c>
      <c r="M3094">
        <v>43.326633187588399</v>
      </c>
      <c r="N3094">
        <v>58.395116589461203</v>
      </c>
      <c r="O3094">
        <v>56.4863983068986</v>
      </c>
      <c r="P3094">
        <v>-0.121311854538161</v>
      </c>
      <c r="Q3094">
        <v>0.36736747415001503</v>
      </c>
      <c r="R3094">
        <v>0.90528032662036395</v>
      </c>
      <c r="S3094" t="s">
        <v>6926</v>
      </c>
      <c r="T3094" t="s">
        <v>7662</v>
      </c>
      <c r="U3094" t="s">
        <v>7662</v>
      </c>
      <c r="V3094" t="s">
        <v>7662</v>
      </c>
      <c r="W3094">
        <v>1</v>
      </c>
      <c r="X3094" t="s">
        <v>10756</v>
      </c>
      <c r="Y3094">
        <v>0.71965956267573938</v>
      </c>
      <c r="Z3094" t="str">
        <f>HYPERLINK("Melting_Curves/meltCurve_sp_Q9Y2Z2_4_MTO1_HUMAN_.pdf", "Melting_Curves/meltCurve_sp_Q9Y2Z2_4_MTO1_HUMAN_.pdf")</f>
        <v>Melting_Curves/meltCurve_sp_Q9Y2Z2_4_MTO1_HUMAN_.pdf</v>
      </c>
      <c r="AA3094" t="s">
        <v>14548</v>
      </c>
      <c r="AB3094" t="s">
        <v>18333</v>
      </c>
    </row>
    <row r="3095" spans="1:28" x14ac:dyDescent="0.25">
      <c r="A3095" t="s">
        <v>3099</v>
      </c>
      <c r="B3095">
        <v>0.98876768158843997</v>
      </c>
      <c r="C3095">
        <v>0.935653552615061</v>
      </c>
      <c r="D3095">
        <v>0.82443504879125695</v>
      </c>
      <c r="E3095">
        <v>0.42790980302423198</v>
      </c>
      <c r="F3095">
        <v>0.173217533520266</v>
      </c>
      <c r="G3095">
        <v>8.7169632338127495E-2</v>
      </c>
      <c r="H3095">
        <v>4.6601808235251903E-2</v>
      </c>
      <c r="I3095">
        <v>4.0682908686472202E-2</v>
      </c>
      <c r="J3095">
        <v>4.5704833056633698E-2</v>
      </c>
      <c r="K3095">
        <v>3.6875703849287199E-2</v>
      </c>
      <c r="L3095">
        <v>1085.40346220682</v>
      </c>
      <c r="M3095">
        <v>22.131000476092499</v>
      </c>
      <c r="N3095">
        <v>49.213978551035801</v>
      </c>
      <c r="O3095">
        <v>48.649308288798899</v>
      </c>
      <c r="P3095">
        <v>-0.109556482696471</v>
      </c>
      <c r="Q3095">
        <v>3.6694090688532098E-2</v>
      </c>
      <c r="R3095">
        <v>0.99913376547370003</v>
      </c>
      <c r="S3095" t="s">
        <v>6927</v>
      </c>
      <c r="T3095" t="s">
        <v>7662</v>
      </c>
      <c r="U3095" t="s">
        <v>7662</v>
      </c>
      <c r="V3095" t="s">
        <v>7662</v>
      </c>
      <c r="W3095">
        <v>10</v>
      </c>
      <c r="X3095" t="s">
        <v>10757</v>
      </c>
      <c r="Y3095">
        <v>0.33808434265935261</v>
      </c>
      <c r="Z3095" t="str">
        <f>HYPERLINK("Melting_Curves/meltCurve_sp_Q9Y2Z4_SYYM_HUMAN_.pdf", "Melting_Curves/meltCurve_sp_Q9Y2Z4_SYYM_HUMAN_.pdf")</f>
        <v>Melting_Curves/meltCurve_sp_Q9Y2Z4_SYYM_HUMAN_.pdf</v>
      </c>
      <c r="AA3095" t="s">
        <v>14549</v>
      </c>
      <c r="AB3095" t="s">
        <v>18334</v>
      </c>
    </row>
    <row r="3096" spans="1:28" x14ac:dyDescent="0.25">
      <c r="A3096" t="s">
        <v>3100</v>
      </c>
      <c r="B3096">
        <v>0.98876768158843997</v>
      </c>
      <c r="C3096">
        <v>0.86595806369124495</v>
      </c>
      <c r="D3096">
        <v>0.77270579915142101</v>
      </c>
      <c r="E3096">
        <v>0.49029118907518199</v>
      </c>
      <c r="F3096">
        <v>0.22428156508323599</v>
      </c>
      <c r="G3096">
        <v>0.133746129399993</v>
      </c>
      <c r="H3096">
        <v>0.12004428543031199</v>
      </c>
      <c r="I3096">
        <v>0.11897468931181999</v>
      </c>
      <c r="J3096">
        <v>0.115679697500696</v>
      </c>
      <c r="K3096">
        <v>4.8483110702636001E-2</v>
      </c>
      <c r="L3096">
        <v>825.48639229337198</v>
      </c>
      <c r="M3096">
        <v>16.900482800274698</v>
      </c>
      <c r="N3096">
        <v>49.333718459689401</v>
      </c>
      <c r="O3096">
        <v>48.1754746888545</v>
      </c>
      <c r="P3096">
        <v>-8.0934518002023795E-2</v>
      </c>
      <c r="Q3096">
        <v>7.7230546966478797E-2</v>
      </c>
      <c r="R3096">
        <v>0.99140312799737296</v>
      </c>
      <c r="S3096" t="s">
        <v>6928</v>
      </c>
      <c r="T3096" t="s">
        <v>7662</v>
      </c>
      <c r="U3096" t="s">
        <v>7662</v>
      </c>
      <c r="V3096" t="s">
        <v>7662</v>
      </c>
      <c r="W3096">
        <v>3</v>
      </c>
      <c r="X3096" t="s">
        <v>10758</v>
      </c>
      <c r="Y3096">
        <v>0.36743980935762349</v>
      </c>
      <c r="Z3096" t="str">
        <f>HYPERLINK("Melting_Curves/meltCurve_sp_Q9Y2Z9_3_COQ6_HUMAN_.pdf", "Melting_Curves/meltCurve_sp_Q9Y2Z9_3_COQ6_HUMAN_.pdf")</f>
        <v>Melting_Curves/meltCurve_sp_Q9Y2Z9_3_COQ6_HUMAN_.pdf</v>
      </c>
      <c r="AA3096" t="s">
        <v>14550</v>
      </c>
      <c r="AB3096" t="s">
        <v>18335</v>
      </c>
    </row>
    <row r="3097" spans="1:28" x14ac:dyDescent="0.25">
      <c r="A3097" t="s">
        <v>3101</v>
      </c>
      <c r="B3097">
        <v>0.98876768158843997</v>
      </c>
      <c r="C3097">
        <v>0.97280091182920703</v>
      </c>
      <c r="D3097">
        <v>0.88576888029853895</v>
      </c>
      <c r="E3097">
        <v>0.68183134105431897</v>
      </c>
      <c r="F3097">
        <v>0.41571807655950899</v>
      </c>
      <c r="G3097">
        <v>0.21748258670229501</v>
      </c>
      <c r="H3097">
        <v>6.2308475091483601E-2</v>
      </c>
      <c r="I3097">
        <v>4.24757592796563E-2</v>
      </c>
      <c r="J3097">
        <v>3.3386734918366801E-2</v>
      </c>
      <c r="K3097">
        <v>3.7301267595311299E-2</v>
      </c>
      <c r="L3097">
        <v>867.64562831894705</v>
      </c>
      <c r="M3097">
        <v>16.671974360331198</v>
      </c>
      <c r="N3097">
        <v>52.092525985894497</v>
      </c>
      <c r="O3097">
        <v>51.310714984473499</v>
      </c>
      <c r="P3097">
        <v>-8.0586721245579099E-2</v>
      </c>
      <c r="Q3097">
        <v>7.9911793646343099E-3</v>
      </c>
      <c r="R3097">
        <v>0.99867308591456905</v>
      </c>
      <c r="S3097" t="s">
        <v>6929</v>
      </c>
      <c r="T3097" t="s">
        <v>7662</v>
      </c>
      <c r="U3097" t="s">
        <v>7662</v>
      </c>
      <c r="V3097" t="s">
        <v>7662</v>
      </c>
      <c r="W3097">
        <v>4</v>
      </c>
      <c r="X3097" t="s">
        <v>10759</v>
      </c>
      <c r="Y3097">
        <v>0.42493459044288528</v>
      </c>
      <c r="Z3097" t="str">
        <f>HYPERLINK("Melting_Curves/meltCurve_sp_Q9Y303_NAGA_HUMAN_.pdf", "Melting_Curves/meltCurve_sp_Q9Y303_NAGA_HUMAN_.pdf")</f>
        <v>Melting_Curves/meltCurve_sp_Q9Y303_NAGA_HUMAN_.pdf</v>
      </c>
      <c r="AA3097" t="s">
        <v>14551</v>
      </c>
      <c r="AB3097" t="s">
        <v>18336</v>
      </c>
    </row>
    <row r="3098" spans="1:28" x14ac:dyDescent="0.25">
      <c r="A3098" t="s">
        <v>3102</v>
      </c>
      <c r="B3098">
        <v>0.98876768158843997</v>
      </c>
      <c r="C3098">
        <v>0.52213990183941295</v>
      </c>
      <c r="D3098">
        <v>0.36545533508193601</v>
      </c>
      <c r="E3098">
        <v>0.17770141329623901</v>
      </c>
      <c r="F3098">
        <v>9.3232289466849097E-2</v>
      </c>
      <c r="G3098">
        <v>5.4283831196135501E-2</v>
      </c>
      <c r="H3098">
        <v>3.59106863683296E-2</v>
      </c>
      <c r="I3098">
        <v>2.3706927153321001E-2</v>
      </c>
      <c r="J3098">
        <v>3.4650819875483199E-2</v>
      </c>
      <c r="K3098">
        <v>2.79371375521071E-2</v>
      </c>
      <c r="L3098">
        <v>811.66466104908602</v>
      </c>
      <c r="M3098">
        <v>18.460109204145599</v>
      </c>
      <c r="N3098">
        <v>44.169216633742202</v>
      </c>
      <c r="O3098">
        <v>43.462367751353298</v>
      </c>
      <c r="P3098">
        <v>-0.101918459020453</v>
      </c>
      <c r="Q3098">
        <v>4.0218540235346802E-2</v>
      </c>
      <c r="R3098">
        <v>0.96655176907560403</v>
      </c>
      <c r="S3098" t="s">
        <v>6930</v>
      </c>
      <c r="T3098" t="s">
        <v>7662</v>
      </c>
      <c r="U3098" t="s">
        <v>7662</v>
      </c>
      <c r="V3098" t="s">
        <v>7662</v>
      </c>
      <c r="W3098">
        <v>7</v>
      </c>
      <c r="X3098" t="s">
        <v>10760</v>
      </c>
      <c r="Y3098">
        <v>0.18965834818324609</v>
      </c>
      <c r="Z3098" t="str">
        <f>HYPERLINK("Melting_Curves/meltCurve_sp_Q9Y305_ACOT9_HUMAN_.pdf", "Melting_Curves/meltCurve_sp_Q9Y305_ACOT9_HUMAN_.pdf")</f>
        <v>Melting_Curves/meltCurve_sp_Q9Y305_ACOT9_HUMAN_.pdf</v>
      </c>
      <c r="AA3098" t="s">
        <v>14552</v>
      </c>
      <c r="AB3098" t="s">
        <v>18337</v>
      </c>
    </row>
    <row r="3099" spans="1:28" x14ac:dyDescent="0.25">
      <c r="A3099" t="s">
        <v>3103</v>
      </c>
      <c r="B3099">
        <v>0.98876768158843997</v>
      </c>
      <c r="C3099">
        <v>1.19266854332991</v>
      </c>
      <c r="D3099">
        <v>0.89919060816902496</v>
      </c>
      <c r="E3099">
        <v>0.72405212331878699</v>
      </c>
      <c r="F3099">
        <v>0.99040068839961704</v>
      </c>
      <c r="G3099">
        <v>0.25706417205068899</v>
      </c>
      <c r="H3099">
        <v>0.16016260130496601</v>
      </c>
      <c r="I3099">
        <v>0.157105791425804</v>
      </c>
      <c r="J3099">
        <v>0.24407417490778099</v>
      </c>
      <c r="K3099">
        <v>0.18796947804356501</v>
      </c>
      <c r="L3099">
        <v>5039.0753052748396</v>
      </c>
      <c r="M3099">
        <v>90.770971491550497</v>
      </c>
      <c r="N3099">
        <v>55.802691034179098</v>
      </c>
      <c r="O3099">
        <v>55.487244457987202</v>
      </c>
      <c r="P3099">
        <v>-0.33237809136427698</v>
      </c>
      <c r="Q3099">
        <v>0.18728456304517899</v>
      </c>
      <c r="R3099">
        <v>0.91764789662979596</v>
      </c>
      <c r="S3099" t="s">
        <v>6931</v>
      </c>
      <c r="T3099" t="s">
        <v>7662</v>
      </c>
      <c r="U3099" t="s">
        <v>7662</v>
      </c>
      <c r="V3099" t="s">
        <v>7662</v>
      </c>
      <c r="W3099">
        <v>1</v>
      </c>
      <c r="X3099" t="s">
        <v>10761</v>
      </c>
      <c r="Y3099">
        <v>0.60817296048031599</v>
      </c>
      <c r="Z3099" t="str">
        <f>HYPERLINK("Melting_Curves/meltCurve_sp_Q9Y312_AAR2_HUMAN_.pdf", "Melting_Curves/meltCurve_sp_Q9Y312_AAR2_HUMAN_.pdf")</f>
        <v>Melting_Curves/meltCurve_sp_Q9Y312_AAR2_HUMAN_.pdf</v>
      </c>
      <c r="AA3099" t="s">
        <v>14553</v>
      </c>
      <c r="AB3099" t="s">
        <v>18338</v>
      </c>
    </row>
    <row r="3100" spans="1:28" x14ac:dyDescent="0.25">
      <c r="A3100" t="s">
        <v>3104</v>
      </c>
      <c r="B3100">
        <v>0.98876768158843997</v>
      </c>
      <c r="C3100">
        <v>1.05946535138311</v>
      </c>
      <c r="D3100">
        <v>0.75884349452415301</v>
      </c>
      <c r="E3100">
        <v>0.36897172068367601</v>
      </c>
      <c r="F3100">
        <v>0.20461823819039399</v>
      </c>
      <c r="G3100">
        <v>9.0788651217827698E-2</v>
      </c>
      <c r="H3100">
        <v>7.6474655365148303E-2</v>
      </c>
      <c r="I3100">
        <v>6.96217134580151E-2</v>
      </c>
      <c r="J3100">
        <v>0.112958219711146</v>
      </c>
      <c r="K3100">
        <v>0.120512067137205</v>
      </c>
      <c r="L3100">
        <v>1212.7052228477</v>
      </c>
      <c r="M3100">
        <v>25.1171498475208</v>
      </c>
      <c r="N3100">
        <v>48.681480461983597</v>
      </c>
      <c r="O3100">
        <v>47.979027282031502</v>
      </c>
      <c r="P3100">
        <v>-0.118687842244092</v>
      </c>
      <c r="Q3100">
        <v>9.3137224454093795E-2</v>
      </c>
      <c r="R3100">
        <v>0.990016670782635</v>
      </c>
      <c r="S3100" t="s">
        <v>6932</v>
      </c>
      <c r="T3100" t="s">
        <v>7662</v>
      </c>
      <c r="U3100" t="s">
        <v>7662</v>
      </c>
      <c r="V3100" t="s">
        <v>7662</v>
      </c>
      <c r="W3100">
        <v>3</v>
      </c>
      <c r="X3100" t="s">
        <v>10762</v>
      </c>
      <c r="Y3100">
        <v>0.35142597013235211</v>
      </c>
      <c r="Z3100" t="str">
        <f>HYPERLINK("Melting_Curves/meltCurve_sp_Q9Y314_NOSIP_HUMAN_.pdf", "Melting_Curves/meltCurve_sp_Q9Y314_NOSIP_HUMAN_.pdf")</f>
        <v>Melting_Curves/meltCurve_sp_Q9Y314_NOSIP_HUMAN_.pdf</v>
      </c>
      <c r="AA3100" t="s">
        <v>14554</v>
      </c>
      <c r="AB3100" t="s">
        <v>18339</v>
      </c>
    </row>
    <row r="3101" spans="1:28" x14ac:dyDescent="0.25">
      <c r="A3101" t="s">
        <v>3105</v>
      </c>
      <c r="B3101">
        <v>0.98876768158843997</v>
      </c>
      <c r="C3101">
        <v>1.0206882542865701</v>
      </c>
      <c r="D3101">
        <v>1.17825689006601</v>
      </c>
      <c r="E3101">
        <v>1.0994107071058901</v>
      </c>
      <c r="F3101">
        <v>0.70751728396154101</v>
      </c>
      <c r="G3101">
        <v>0.465688147322252</v>
      </c>
      <c r="H3101">
        <v>0.350004771557755</v>
      </c>
      <c r="I3101">
        <v>0.165149807574963</v>
      </c>
      <c r="J3101">
        <v>0.13325998986589199</v>
      </c>
      <c r="K3101">
        <v>0.111990880028534</v>
      </c>
      <c r="L3101">
        <v>1212.2911172274601</v>
      </c>
      <c r="M3101">
        <v>21.627601351423699</v>
      </c>
      <c r="N3101">
        <v>56.819938883562003</v>
      </c>
      <c r="O3101">
        <v>55.580346114715098</v>
      </c>
      <c r="P3101">
        <v>-8.4967821470969901E-2</v>
      </c>
      <c r="Q3101">
        <v>0.12659235630989901</v>
      </c>
      <c r="R3101">
        <v>0.95103993543448295</v>
      </c>
      <c r="S3101" t="s">
        <v>6933</v>
      </c>
      <c r="T3101" t="s">
        <v>7662</v>
      </c>
      <c r="U3101" t="s">
        <v>7662</v>
      </c>
      <c r="V3101" t="s">
        <v>7662</v>
      </c>
      <c r="W3101">
        <v>8</v>
      </c>
      <c r="X3101" t="s">
        <v>10763</v>
      </c>
      <c r="Y3101">
        <v>0.60400471242026854</v>
      </c>
      <c r="Z3101" t="str">
        <f>HYPERLINK("Melting_Curves/meltCurve_sp_Q9Y315_DEOC_HUMAN_.pdf", "Melting_Curves/meltCurve_sp_Q9Y315_DEOC_HUMAN_.pdf")</f>
        <v>Melting_Curves/meltCurve_sp_Q9Y315_DEOC_HUMAN_.pdf</v>
      </c>
      <c r="AA3101" t="s">
        <v>14555</v>
      </c>
      <c r="AB3101" t="s">
        <v>18340</v>
      </c>
    </row>
    <row r="3102" spans="1:28" x14ac:dyDescent="0.25">
      <c r="A3102" t="s">
        <v>3106</v>
      </c>
      <c r="B3102">
        <v>0.98876768158843997</v>
      </c>
      <c r="C3102">
        <v>1.06645357372178</v>
      </c>
      <c r="D3102">
        <v>0.88614898754397697</v>
      </c>
      <c r="E3102">
        <v>0.75286120843971405</v>
      </c>
      <c r="F3102">
        <v>0.57782146683132296</v>
      </c>
      <c r="G3102">
        <v>0.17440689796391001</v>
      </c>
      <c r="H3102">
        <v>7.8989095604315704E-2</v>
      </c>
      <c r="I3102">
        <v>6.9819064272828496E-2</v>
      </c>
      <c r="J3102">
        <v>7.7277560333463696E-2</v>
      </c>
      <c r="K3102">
        <v>9.8059282586925506E-2</v>
      </c>
      <c r="L3102">
        <v>1115.6329981384799</v>
      </c>
      <c r="M3102">
        <v>21.105546830999099</v>
      </c>
      <c r="N3102">
        <v>53.1487190366622</v>
      </c>
      <c r="O3102">
        <v>52.392019962789497</v>
      </c>
      <c r="P3102">
        <v>-9.5252524309270101E-2</v>
      </c>
      <c r="Q3102">
        <v>5.42124503784688E-2</v>
      </c>
      <c r="R3102">
        <v>0.98682582354334203</v>
      </c>
      <c r="S3102" t="s">
        <v>6934</v>
      </c>
      <c r="T3102" t="s">
        <v>7662</v>
      </c>
      <c r="U3102" t="s">
        <v>7662</v>
      </c>
      <c r="V3102" t="s">
        <v>7662</v>
      </c>
      <c r="W3102">
        <v>4</v>
      </c>
      <c r="X3102" t="s">
        <v>10764</v>
      </c>
      <c r="Y3102">
        <v>0.47148815800723848</v>
      </c>
      <c r="Z3102" t="str">
        <f>HYPERLINK("Melting_Curves/meltCurve_sp_Q9Y316_MEMO1_HUMAN_.pdf", "Melting_Curves/meltCurve_sp_Q9Y316_MEMO1_HUMAN_.pdf")</f>
        <v>Melting_Curves/meltCurve_sp_Q9Y316_MEMO1_HUMAN_.pdf</v>
      </c>
      <c r="AA3102" t="s">
        <v>14556</v>
      </c>
      <c r="AB3102" t="s">
        <v>18341</v>
      </c>
    </row>
    <row r="3103" spans="1:28" x14ac:dyDescent="0.25">
      <c r="A3103" t="s">
        <v>3107</v>
      </c>
      <c r="B3103">
        <v>0.98876768158843997</v>
      </c>
      <c r="C3103">
        <v>1.0582371296387401</v>
      </c>
      <c r="D3103">
        <v>0.87242192101907001</v>
      </c>
      <c r="E3103">
        <v>0.75047066295071896</v>
      </c>
      <c r="F3103">
        <v>0.73131261983482398</v>
      </c>
      <c r="G3103">
        <v>0.47252956512273397</v>
      </c>
      <c r="H3103">
        <v>0.25703397740425799</v>
      </c>
      <c r="I3103">
        <v>9.5687239642761199E-2</v>
      </c>
      <c r="J3103">
        <v>0.19422221407262799</v>
      </c>
      <c r="K3103">
        <v>8.7294671252729106E-2</v>
      </c>
      <c r="L3103">
        <v>676.60763642886002</v>
      </c>
      <c r="M3103">
        <v>12.077196838737301</v>
      </c>
      <c r="N3103">
        <v>56.049331780601797</v>
      </c>
      <c r="O3103">
        <v>54.553906879549103</v>
      </c>
      <c r="P3103">
        <v>-5.5205024615625098E-2</v>
      </c>
      <c r="Q3103">
        <v>2.7679895606676601E-3</v>
      </c>
      <c r="R3103">
        <v>0.97482821317379398</v>
      </c>
      <c r="S3103" t="s">
        <v>6935</v>
      </c>
      <c r="T3103" t="s">
        <v>7662</v>
      </c>
      <c r="U3103" t="s">
        <v>7662</v>
      </c>
      <c r="V3103" t="s">
        <v>7662</v>
      </c>
      <c r="W3103">
        <v>11</v>
      </c>
      <c r="X3103" t="s">
        <v>10765</v>
      </c>
      <c r="Y3103">
        <v>0.55560862433306601</v>
      </c>
      <c r="Z3103" t="str">
        <f>HYPERLINK("Melting_Curves/meltCurve_sp_Q9Y376_CAB39_HUMAN_.pdf", "Melting_Curves/meltCurve_sp_Q9Y376_CAB39_HUMAN_.pdf")</f>
        <v>Melting_Curves/meltCurve_sp_Q9Y376_CAB39_HUMAN_.pdf</v>
      </c>
      <c r="AA3103" t="s">
        <v>14557</v>
      </c>
      <c r="AB3103" t="s">
        <v>18342</v>
      </c>
    </row>
    <row r="3104" spans="1:28" x14ac:dyDescent="0.25">
      <c r="A3104" t="s">
        <v>3108</v>
      </c>
      <c r="B3104">
        <v>0.98876768158843997</v>
      </c>
      <c r="C3104">
        <v>0.99596974325818299</v>
      </c>
      <c r="D3104">
        <v>0.95907454872591902</v>
      </c>
      <c r="E3104">
        <v>0.73345367200800704</v>
      </c>
      <c r="F3104">
        <v>0.65130742673764497</v>
      </c>
      <c r="G3104">
        <v>0.46569755051607697</v>
      </c>
      <c r="H3104">
        <v>0.33820471800021301</v>
      </c>
      <c r="I3104">
        <v>0.37028829713142197</v>
      </c>
      <c r="J3104">
        <v>0.42312363001209302</v>
      </c>
      <c r="K3104">
        <v>0.56172654398313704</v>
      </c>
      <c r="L3104">
        <v>1113.44240747206</v>
      </c>
      <c r="M3104">
        <v>21.849587283399099</v>
      </c>
      <c r="N3104">
        <v>55.6871239804711</v>
      </c>
      <c r="O3104">
        <v>50.538321639530601</v>
      </c>
      <c r="P3104">
        <v>-6.24987994033709E-2</v>
      </c>
      <c r="Q3104">
        <v>0.42177177240881097</v>
      </c>
      <c r="R3104">
        <v>0.93879640169385503</v>
      </c>
      <c r="S3104" t="s">
        <v>6936</v>
      </c>
      <c r="T3104" t="s">
        <v>7662</v>
      </c>
      <c r="U3104" t="s">
        <v>7662</v>
      </c>
      <c r="V3104" t="s">
        <v>7662</v>
      </c>
      <c r="W3104">
        <v>9</v>
      </c>
      <c r="X3104" t="s">
        <v>10766</v>
      </c>
      <c r="Y3104">
        <v>0.63979337469227437</v>
      </c>
      <c r="Z3104" t="str">
        <f>HYPERLINK("Melting_Curves/meltCurve_sp_Q9Y383_LC7L2_HUMAN_.pdf", "Melting_Curves/meltCurve_sp_Q9Y383_LC7L2_HUMAN_.pdf")</f>
        <v>Melting_Curves/meltCurve_sp_Q9Y383_LC7L2_HUMAN_.pdf</v>
      </c>
      <c r="AA3104" t="s">
        <v>14558</v>
      </c>
      <c r="AB3104" t="s">
        <v>18343</v>
      </c>
    </row>
    <row r="3105" spans="1:28" x14ac:dyDescent="0.25">
      <c r="A3105" t="s">
        <v>3109</v>
      </c>
      <c r="B3105">
        <v>0.98876768158843997</v>
      </c>
      <c r="C3105">
        <v>1.2391275067162699</v>
      </c>
      <c r="D3105">
        <v>0.82236856699069905</v>
      </c>
      <c r="E3105">
        <v>0.84748808073619597</v>
      </c>
      <c r="F3105">
        <v>1.03516170462131</v>
      </c>
      <c r="G3105">
        <v>0.62011929022983403</v>
      </c>
      <c r="H3105">
        <v>0.33324482831262903</v>
      </c>
      <c r="I3105">
        <v>0.26383677017193602</v>
      </c>
      <c r="J3105">
        <v>0.34958968980908101</v>
      </c>
      <c r="K3105">
        <v>0.42733489323725499</v>
      </c>
      <c r="L3105">
        <v>14231.918421156301</v>
      </c>
      <c r="M3105">
        <v>250</v>
      </c>
      <c r="N3105">
        <v>57.193422786372302</v>
      </c>
      <c r="O3105">
        <v>56.924030719511499</v>
      </c>
      <c r="P3105">
        <v>-0.72080549402767302</v>
      </c>
      <c r="Q3105">
        <v>0.34350153573996101</v>
      </c>
      <c r="R3105">
        <v>0.87926361898940697</v>
      </c>
      <c r="S3105" t="s">
        <v>6937</v>
      </c>
      <c r="T3105" t="s">
        <v>7662</v>
      </c>
      <c r="U3105" t="s">
        <v>7662</v>
      </c>
      <c r="V3105" t="s">
        <v>7662</v>
      </c>
      <c r="W3105">
        <v>2</v>
      </c>
      <c r="X3105" t="s">
        <v>10767</v>
      </c>
      <c r="Y3105">
        <v>0.7140001838994543</v>
      </c>
      <c r="Z3105" t="str">
        <f>HYPERLINK("Melting_Curves/meltCurve_sp_Q9Y385_UB2J1_HUMAN_.pdf", "Melting_Curves/meltCurve_sp_Q9Y385_UB2J1_HUMAN_.pdf")</f>
        <v>Melting_Curves/meltCurve_sp_Q9Y385_UB2J1_HUMAN_.pdf</v>
      </c>
      <c r="AA3105" t="s">
        <v>14559</v>
      </c>
      <c r="AB3105" t="s">
        <v>18344</v>
      </c>
    </row>
    <row r="3106" spans="1:28" x14ac:dyDescent="0.25">
      <c r="A3106" t="s">
        <v>3110</v>
      </c>
      <c r="B3106">
        <v>0.98876768158843997</v>
      </c>
      <c r="C3106">
        <v>0.81069209701441103</v>
      </c>
      <c r="D3106">
        <v>0.72458739309318398</v>
      </c>
      <c r="E3106">
        <v>0.22216598404861301</v>
      </c>
      <c r="F3106">
        <v>8.4468606770791599E-2</v>
      </c>
      <c r="G3106">
        <v>5.8708573692175699E-2</v>
      </c>
      <c r="H3106">
        <v>3.07859309954596E-2</v>
      </c>
      <c r="I3106">
        <v>1.03735625084759E-2</v>
      </c>
      <c r="J3106">
        <v>1.6697925853070499E-2</v>
      </c>
      <c r="K3106">
        <v>3.22619503010892E-2</v>
      </c>
      <c r="L3106">
        <v>1026.1574100077501</v>
      </c>
      <c r="M3106">
        <v>21.674978836766499</v>
      </c>
      <c r="N3106">
        <v>47.416139358873899</v>
      </c>
      <c r="O3106">
        <v>46.945490448664799</v>
      </c>
      <c r="P3106">
        <v>-0.113529495111388</v>
      </c>
      <c r="Q3106">
        <v>1.6456409177288099E-2</v>
      </c>
      <c r="R3106">
        <v>0.98842784054466604</v>
      </c>
      <c r="S3106" t="s">
        <v>6938</v>
      </c>
      <c r="T3106" t="s">
        <v>7662</v>
      </c>
      <c r="U3106" t="s">
        <v>7662</v>
      </c>
      <c r="V3106" t="s">
        <v>7662</v>
      </c>
      <c r="W3106">
        <v>1</v>
      </c>
      <c r="X3106" t="s">
        <v>10768</v>
      </c>
      <c r="Y3106">
        <v>0.26912195901802022</v>
      </c>
      <c r="Z3106" t="str">
        <f>HYPERLINK("Melting_Curves/meltCurve_sp_Q9Y399_RT02_HUMAN_.pdf", "Melting_Curves/meltCurve_sp_Q9Y399_RT02_HUMAN_.pdf")</f>
        <v>Melting_Curves/meltCurve_sp_Q9Y399_RT02_HUMAN_.pdf</v>
      </c>
      <c r="AA3106" t="s">
        <v>14560</v>
      </c>
      <c r="AB3106" t="s">
        <v>18345</v>
      </c>
    </row>
    <row r="3107" spans="1:28" x14ac:dyDescent="0.25">
      <c r="A3107" t="s">
        <v>3111</v>
      </c>
      <c r="B3107">
        <v>0.98876768158843997</v>
      </c>
      <c r="C3107">
        <v>1.0526306167300801</v>
      </c>
      <c r="D3107">
        <v>0.87085565958284605</v>
      </c>
      <c r="E3107">
        <v>0.745042958388348</v>
      </c>
      <c r="F3107">
        <v>0.616349074179942</v>
      </c>
      <c r="G3107">
        <v>0.24672185210015601</v>
      </c>
      <c r="H3107">
        <v>0.124280477351184</v>
      </c>
      <c r="I3107">
        <v>0.103501115432309</v>
      </c>
      <c r="J3107">
        <v>0.102882767234953</v>
      </c>
      <c r="K3107">
        <v>9.13708824132341E-2</v>
      </c>
      <c r="L3107">
        <v>927.95811743971603</v>
      </c>
      <c r="M3107">
        <v>17.427811623337401</v>
      </c>
      <c r="N3107">
        <v>53.634186498974699</v>
      </c>
      <c r="O3107">
        <v>52.559603400432998</v>
      </c>
      <c r="P3107">
        <v>-7.79857820977546E-2</v>
      </c>
      <c r="Q3107">
        <v>5.9280145301084497E-2</v>
      </c>
      <c r="R3107">
        <v>0.98758358368059196</v>
      </c>
      <c r="S3107" t="s">
        <v>6939</v>
      </c>
      <c r="T3107" t="s">
        <v>7662</v>
      </c>
      <c r="U3107" t="s">
        <v>7662</v>
      </c>
      <c r="V3107" t="s">
        <v>7662</v>
      </c>
      <c r="W3107">
        <v>7</v>
      </c>
      <c r="X3107" t="s">
        <v>10769</v>
      </c>
      <c r="Y3107">
        <v>0.49075142896877821</v>
      </c>
      <c r="Z3107" t="str">
        <f>HYPERLINK("Melting_Curves/meltCurve_sp_Q9Y3A5_SBDS_HUMAN_.pdf", "Melting_Curves/meltCurve_sp_Q9Y3A5_SBDS_HUMAN_.pdf")</f>
        <v>Melting_Curves/meltCurve_sp_Q9Y3A5_SBDS_HUMAN_.pdf</v>
      </c>
      <c r="AA3107" t="s">
        <v>14561</v>
      </c>
      <c r="AB3107" t="s">
        <v>18346</v>
      </c>
    </row>
    <row r="3108" spans="1:28" x14ac:dyDescent="0.25">
      <c r="A3108" t="s">
        <v>3112</v>
      </c>
      <c r="B3108">
        <v>0.98876768158843997</v>
      </c>
      <c r="C3108">
        <v>0.98764606851116099</v>
      </c>
      <c r="D3108">
        <v>0.82732421831665903</v>
      </c>
      <c r="E3108">
        <v>0.67262477729352099</v>
      </c>
      <c r="F3108">
        <v>0.91178457947416702</v>
      </c>
      <c r="G3108">
        <v>0.47656181536797998</v>
      </c>
      <c r="H3108">
        <v>0.42546864870916101</v>
      </c>
      <c r="I3108">
        <v>0.45393352202257198</v>
      </c>
      <c r="J3108">
        <v>0.84277846542075396</v>
      </c>
      <c r="K3108">
        <v>0.73664734947300003</v>
      </c>
      <c r="L3108">
        <v>804.37403334411295</v>
      </c>
      <c r="M3108">
        <v>16.8381819311229</v>
      </c>
      <c r="O3108">
        <v>47.112300950852998</v>
      </c>
      <c r="P3108">
        <v>-3.4757452846294903E-2</v>
      </c>
      <c r="Q3108">
        <v>0.61102717847021504</v>
      </c>
      <c r="R3108">
        <v>0.47962284023429103</v>
      </c>
      <c r="S3108" t="s">
        <v>6940</v>
      </c>
      <c r="T3108" t="s">
        <v>7662</v>
      </c>
      <c r="U3108" t="s">
        <v>7662</v>
      </c>
      <c r="V3108" t="s">
        <v>7662</v>
      </c>
      <c r="W3108">
        <v>1</v>
      </c>
      <c r="X3108" t="s">
        <v>10770</v>
      </c>
      <c r="Y3108">
        <v>0.71977691550341893</v>
      </c>
      <c r="Z3108" t="str">
        <f>HYPERLINK("Melting_Curves/meltCurve_sp_Q9Y3B9_RRP15_HUMAN_.pdf", "Melting_Curves/meltCurve_sp_Q9Y3B9_RRP15_HUMAN_.pdf")</f>
        <v>Melting_Curves/meltCurve_sp_Q9Y3B9_RRP15_HUMAN_.pdf</v>
      </c>
      <c r="AA3108" t="s">
        <v>14562</v>
      </c>
      <c r="AB3108" t="s">
        <v>18347</v>
      </c>
    </row>
    <row r="3109" spans="1:28" x14ac:dyDescent="0.25">
      <c r="A3109" t="s">
        <v>3113</v>
      </c>
      <c r="B3109">
        <v>0.98876768158843997</v>
      </c>
      <c r="C3109">
        <v>1.05854738837752</v>
      </c>
      <c r="D3109">
        <v>0.933631051591437</v>
      </c>
      <c r="E3109">
        <v>0.76169727766650297</v>
      </c>
      <c r="F3109">
        <v>0.679096861735482</v>
      </c>
      <c r="G3109">
        <v>0.44623199073393399</v>
      </c>
      <c r="H3109">
        <v>0.40134550544090197</v>
      </c>
      <c r="I3109">
        <v>0.36257913493961302</v>
      </c>
      <c r="J3109">
        <v>0.65017623793901902</v>
      </c>
      <c r="K3109">
        <v>0.53826534975068197</v>
      </c>
      <c r="L3109">
        <v>1240.97150004372</v>
      </c>
      <c r="M3109">
        <v>24.4615956867077</v>
      </c>
      <c r="N3109">
        <v>58.271884185759099</v>
      </c>
      <c r="O3109">
        <v>50.396019990548098</v>
      </c>
      <c r="P3109">
        <v>-6.3234709853820306E-2</v>
      </c>
      <c r="Q3109">
        <v>0.47890055277252602</v>
      </c>
      <c r="R3109">
        <v>0.87915076639029799</v>
      </c>
      <c r="S3109" t="s">
        <v>6941</v>
      </c>
      <c r="T3109" t="s">
        <v>7662</v>
      </c>
      <c r="U3109" t="s">
        <v>7662</v>
      </c>
      <c r="V3109" t="s">
        <v>7662</v>
      </c>
      <c r="W3109">
        <v>3</v>
      </c>
      <c r="X3109" t="s">
        <v>10771</v>
      </c>
      <c r="Y3109">
        <v>0.67020527761170379</v>
      </c>
      <c r="Z3109" t="str">
        <f>HYPERLINK("Melting_Curves/meltCurve_sp_Q9Y3C1_NOP16_HUMAN_.pdf", "Melting_Curves/meltCurve_sp_Q9Y3C1_NOP16_HUMAN_.pdf")</f>
        <v>Melting_Curves/meltCurve_sp_Q9Y3C1_NOP16_HUMAN_.pdf</v>
      </c>
      <c r="AA3109" t="s">
        <v>14563</v>
      </c>
      <c r="AB3109" t="s">
        <v>18348</v>
      </c>
    </row>
    <row r="3110" spans="1:28" x14ac:dyDescent="0.25">
      <c r="A3110" t="s">
        <v>3114</v>
      </c>
      <c r="B3110">
        <v>0.98876768158843997</v>
      </c>
      <c r="C3110">
        <v>0.90094895807564801</v>
      </c>
      <c r="D3110">
        <v>0.95338241781899402</v>
      </c>
      <c r="E3110">
        <v>0.668778332237565</v>
      </c>
      <c r="F3110">
        <v>0.34434641662200399</v>
      </c>
      <c r="G3110">
        <v>0.159155009591646</v>
      </c>
      <c r="H3110">
        <v>0.107994573336991</v>
      </c>
      <c r="I3110">
        <v>7.5136184051201094E-2</v>
      </c>
      <c r="J3110">
        <v>0.117577845051468</v>
      </c>
      <c r="K3110">
        <v>5.4160043280498199E-2</v>
      </c>
      <c r="L3110">
        <v>1214.20375455269</v>
      </c>
      <c r="M3110">
        <v>23.753823608626501</v>
      </c>
      <c r="N3110">
        <v>51.4977734703225</v>
      </c>
      <c r="O3110">
        <v>50.758005658553898</v>
      </c>
      <c r="P3110">
        <v>-0.107555191927851</v>
      </c>
      <c r="Q3110">
        <v>8.0704481533556E-2</v>
      </c>
      <c r="R3110">
        <v>0.99239982235089297</v>
      </c>
      <c r="S3110" t="s">
        <v>6942</v>
      </c>
      <c r="T3110" t="s">
        <v>7662</v>
      </c>
      <c r="U3110" t="s">
        <v>7662</v>
      </c>
      <c r="V3110" t="s">
        <v>7662</v>
      </c>
      <c r="W3110">
        <v>2</v>
      </c>
      <c r="X3110" t="s">
        <v>10772</v>
      </c>
      <c r="Y3110">
        <v>0.43052764062695381</v>
      </c>
      <c r="Z3110" t="str">
        <f>HYPERLINK("Melting_Curves/meltCurve_sp_Q9Y3C4_2_TPRKB_HUMAN_.pdf", "Melting_Curves/meltCurve_sp_Q9Y3C4_2_TPRKB_HUMAN_.pdf")</f>
        <v>Melting_Curves/meltCurve_sp_Q9Y3C4_2_TPRKB_HUMAN_.pdf</v>
      </c>
      <c r="AA3110" t="s">
        <v>14564</v>
      </c>
      <c r="AB3110" t="s">
        <v>18349</v>
      </c>
    </row>
    <row r="3111" spans="1:28" x14ac:dyDescent="0.25">
      <c r="A3111" t="s">
        <v>3115</v>
      </c>
      <c r="B3111">
        <v>0.98876768158843997</v>
      </c>
      <c r="C3111">
        <v>1.1459228483752599</v>
      </c>
      <c r="D3111">
        <v>0.78449461163950096</v>
      </c>
      <c r="E3111">
        <v>0.45564603408743898</v>
      </c>
      <c r="F3111">
        <v>0.21608884307856199</v>
      </c>
      <c r="G3111">
        <v>0.10171280477757901</v>
      </c>
      <c r="H3111">
        <v>4.4731434136617003E-2</v>
      </c>
      <c r="I3111">
        <v>3.3178845743389702E-2</v>
      </c>
      <c r="J3111">
        <v>3.6592436351347297E-2</v>
      </c>
      <c r="K3111">
        <v>3.1249473210026499E-2</v>
      </c>
      <c r="L3111">
        <v>1118.0723394337699</v>
      </c>
      <c r="M3111">
        <v>22.6393098467918</v>
      </c>
      <c r="N3111">
        <v>49.555145711479199</v>
      </c>
      <c r="O3111">
        <v>49.005858974245498</v>
      </c>
      <c r="P3111">
        <v>-0.11120883724088899</v>
      </c>
      <c r="Q3111">
        <v>3.7113070589901501E-2</v>
      </c>
      <c r="R3111">
        <v>0.979024330617557</v>
      </c>
      <c r="S3111" t="s">
        <v>6943</v>
      </c>
      <c r="T3111" t="s">
        <v>7662</v>
      </c>
      <c r="U3111" t="s">
        <v>7662</v>
      </c>
      <c r="V3111" t="s">
        <v>7662</v>
      </c>
      <c r="W3111">
        <v>5</v>
      </c>
      <c r="X3111" t="s">
        <v>10773</v>
      </c>
      <c r="Y3111">
        <v>0.34885066672320109</v>
      </c>
      <c r="Z3111" t="str">
        <f>HYPERLINK("Melting_Curves/meltCurve_sp_Q9Y3C6_PPIL1_HUMAN_.pdf", "Melting_Curves/meltCurve_sp_Q9Y3C6_PPIL1_HUMAN_.pdf")</f>
        <v>Melting_Curves/meltCurve_sp_Q9Y3C6_PPIL1_HUMAN_.pdf</v>
      </c>
      <c r="AA3111" t="s">
        <v>14565</v>
      </c>
      <c r="AB3111" t="s">
        <v>18350</v>
      </c>
    </row>
    <row r="3112" spans="1:28" x14ac:dyDescent="0.25">
      <c r="A3112" t="s">
        <v>3116</v>
      </c>
      <c r="B3112">
        <v>0.98876768158843997</v>
      </c>
      <c r="C3112">
        <v>1.1285550977877301</v>
      </c>
      <c r="D3112">
        <v>0.87609999240623804</v>
      </c>
      <c r="E3112">
        <v>0.77045595163463898</v>
      </c>
      <c r="F3112">
        <v>0.89995527472766002</v>
      </c>
      <c r="G3112">
        <v>0.55807327009895902</v>
      </c>
      <c r="H3112">
        <v>0.28690970182797998</v>
      </c>
      <c r="I3112">
        <v>0.136827112014341</v>
      </c>
      <c r="J3112">
        <v>0.112796441770418</v>
      </c>
      <c r="K3112">
        <v>0.103653083278636</v>
      </c>
      <c r="L3112">
        <v>885.84817468148901</v>
      </c>
      <c r="M3112">
        <v>15.3743032868238</v>
      </c>
      <c r="N3112">
        <v>57.669874938610199</v>
      </c>
      <c r="O3112">
        <v>56.670341429388102</v>
      </c>
      <c r="P3112">
        <v>-6.7370567020581099E-2</v>
      </c>
      <c r="Q3112">
        <v>6.7681683361984603E-3</v>
      </c>
      <c r="R3112">
        <v>0.95487051569186598</v>
      </c>
      <c r="S3112" t="s">
        <v>6944</v>
      </c>
      <c r="T3112" t="s">
        <v>7662</v>
      </c>
      <c r="U3112" t="s">
        <v>7662</v>
      </c>
      <c r="V3112" t="s">
        <v>7662</v>
      </c>
      <c r="W3112">
        <v>7</v>
      </c>
      <c r="X3112" t="s">
        <v>10774</v>
      </c>
      <c r="Y3112">
        <v>0.60425651475831244</v>
      </c>
      <c r="Z3112" t="str">
        <f>HYPERLINK("Melting_Curves/meltCurve_sp_Q9Y3C8_UFC1_HUMAN_.pdf", "Melting_Curves/meltCurve_sp_Q9Y3C8_UFC1_HUMAN_.pdf")</f>
        <v>Melting_Curves/meltCurve_sp_Q9Y3C8_UFC1_HUMAN_.pdf</v>
      </c>
      <c r="AA3112" t="s">
        <v>14566</v>
      </c>
      <c r="AB3112" t="s">
        <v>18351</v>
      </c>
    </row>
    <row r="3113" spans="1:28" x14ac:dyDescent="0.25">
      <c r="A3113" t="s">
        <v>3117</v>
      </c>
      <c r="B3113">
        <v>0.98876768158843997</v>
      </c>
      <c r="C3113">
        <v>1.44987953011921</v>
      </c>
      <c r="D3113">
        <v>1.26270391363389</v>
      </c>
      <c r="E3113">
        <v>0.52218536556029505</v>
      </c>
      <c r="F3113">
        <v>0.46625112989070699</v>
      </c>
      <c r="G3113">
        <v>0.247767824528101</v>
      </c>
      <c r="H3113">
        <v>0.26257886615283899</v>
      </c>
      <c r="I3113">
        <v>7.3629793158274406E-2</v>
      </c>
      <c r="J3113">
        <v>0.12824197678509699</v>
      </c>
      <c r="K3113">
        <v>0</v>
      </c>
      <c r="L3113">
        <v>1360.92461882257</v>
      </c>
      <c r="M3113">
        <v>26.601756292611199</v>
      </c>
      <c r="N3113">
        <v>51.750614337447303</v>
      </c>
      <c r="O3113">
        <v>50.872720504171802</v>
      </c>
      <c r="P3113">
        <v>-0.113593449910768</v>
      </c>
      <c r="Q3113">
        <v>0.13107284818298101</v>
      </c>
      <c r="R3113">
        <v>0.84270166079879905</v>
      </c>
      <c r="S3113" t="s">
        <v>6945</v>
      </c>
      <c r="T3113" t="s">
        <v>7662</v>
      </c>
      <c r="U3113" t="s">
        <v>7662</v>
      </c>
      <c r="V3113" t="s">
        <v>7662</v>
      </c>
      <c r="W3113">
        <v>1</v>
      </c>
      <c r="X3113" t="s">
        <v>10775</v>
      </c>
      <c r="Y3113">
        <v>0.46124869795366102</v>
      </c>
      <c r="Z3113" t="str">
        <f>HYPERLINK("Melting_Curves/meltCurve_sp_Q9Y3D0_MIP18_HUMAN_.pdf", "Melting_Curves/meltCurve_sp_Q9Y3D0_MIP18_HUMAN_.pdf")</f>
        <v>Melting_Curves/meltCurve_sp_Q9Y3D0_MIP18_HUMAN_.pdf</v>
      </c>
      <c r="AA3113" t="s">
        <v>14567</v>
      </c>
      <c r="AB3113" t="s">
        <v>18352</v>
      </c>
    </row>
    <row r="3114" spans="1:28" x14ac:dyDescent="0.25">
      <c r="A3114" t="s">
        <v>3118</v>
      </c>
      <c r="B3114">
        <v>0.98876768158843997</v>
      </c>
      <c r="C3114">
        <v>1.10850888964738</v>
      </c>
      <c r="D3114">
        <v>0.759615683812637</v>
      </c>
      <c r="E3114">
        <v>0.62513424316847199</v>
      </c>
      <c r="F3114">
        <v>0.81378837467244602</v>
      </c>
      <c r="G3114">
        <v>0.56959983574966899</v>
      </c>
      <c r="H3114">
        <v>0.45485867260902901</v>
      </c>
      <c r="I3114">
        <v>0.59214083945787399</v>
      </c>
      <c r="J3114">
        <v>0.722345120990322</v>
      </c>
      <c r="K3114">
        <v>0.857659981907271</v>
      </c>
      <c r="L3114">
        <v>11458.4418622824</v>
      </c>
      <c r="M3114">
        <v>250</v>
      </c>
      <c r="O3114">
        <v>45.830834354505399</v>
      </c>
      <c r="P3114">
        <v>-0.46063672760263902</v>
      </c>
      <c r="Q3114">
        <v>0.66221815115369398</v>
      </c>
      <c r="R3114">
        <v>0.62853718865909003</v>
      </c>
      <c r="S3114" t="s">
        <v>6946</v>
      </c>
      <c r="T3114" t="s">
        <v>7662</v>
      </c>
      <c r="U3114" t="s">
        <v>7662</v>
      </c>
      <c r="V3114" t="s">
        <v>7662</v>
      </c>
      <c r="W3114">
        <v>8</v>
      </c>
      <c r="X3114" t="s">
        <v>10776</v>
      </c>
      <c r="Y3114">
        <v>0.72793001332110363</v>
      </c>
      <c r="Z3114" t="str">
        <f>HYPERLINK("Melting_Curves/meltCurve_sp_Q9Y3D2_MSRB2_HUMAN_.pdf", "Melting_Curves/meltCurve_sp_Q9Y3D2_MSRB2_HUMAN_.pdf")</f>
        <v>Melting_Curves/meltCurve_sp_Q9Y3D2_MSRB2_HUMAN_.pdf</v>
      </c>
      <c r="AA3114" t="s">
        <v>14568</v>
      </c>
      <c r="AB3114" t="s">
        <v>18353</v>
      </c>
    </row>
    <row r="3115" spans="1:28" x14ac:dyDescent="0.25">
      <c r="A3115" t="s">
        <v>3119</v>
      </c>
      <c r="B3115">
        <v>0.98876768158843997</v>
      </c>
      <c r="C3115">
        <v>1.05216185540958</v>
      </c>
      <c r="D3115">
        <v>0.89198433981868797</v>
      </c>
      <c r="E3115">
        <v>0.28908639384310297</v>
      </c>
      <c r="F3115">
        <v>0.61138244541346598</v>
      </c>
      <c r="G3115">
        <v>0.38141726451243002</v>
      </c>
      <c r="H3115">
        <v>0.33266960963175402</v>
      </c>
      <c r="I3115">
        <v>0.39625850325894602</v>
      </c>
      <c r="J3115">
        <v>0.40166758429793398</v>
      </c>
      <c r="K3115">
        <v>0.41487127242062999</v>
      </c>
      <c r="L3115">
        <v>11569.3770349639</v>
      </c>
      <c r="M3115">
        <v>250</v>
      </c>
      <c r="N3115">
        <v>46.584834346733103</v>
      </c>
      <c r="O3115">
        <v>46.274546700861897</v>
      </c>
      <c r="P3115">
        <v>-0.80510299637891103</v>
      </c>
      <c r="Q3115">
        <v>0.40390758160741802</v>
      </c>
      <c r="R3115">
        <v>0.91537950145095703</v>
      </c>
      <c r="S3115" t="s">
        <v>6947</v>
      </c>
      <c r="T3115" t="s">
        <v>7662</v>
      </c>
      <c r="U3115" t="s">
        <v>7662</v>
      </c>
      <c r="V3115" t="s">
        <v>7662</v>
      </c>
      <c r="W3115">
        <v>2</v>
      </c>
      <c r="X3115" t="s">
        <v>10777</v>
      </c>
      <c r="Y3115">
        <v>0.52868849431752263</v>
      </c>
      <c r="Z3115" t="str">
        <f>HYPERLINK("Melting_Curves/meltCurve_sp_Q9Y3D6_FIS1_HUMAN_.pdf", "Melting_Curves/meltCurve_sp_Q9Y3D6_FIS1_HUMAN_.pdf")</f>
        <v>Melting_Curves/meltCurve_sp_Q9Y3D6_FIS1_HUMAN_.pdf</v>
      </c>
      <c r="AA3115" t="s">
        <v>14569</v>
      </c>
      <c r="AB3115" t="s">
        <v>18354</v>
      </c>
    </row>
    <row r="3116" spans="1:28" x14ac:dyDescent="0.25">
      <c r="A3116" t="s">
        <v>3120</v>
      </c>
      <c r="B3116">
        <v>0.98876768158843997</v>
      </c>
      <c r="C3116">
        <v>1.05474760521393</v>
      </c>
      <c r="D3116">
        <v>0.87012853240573096</v>
      </c>
      <c r="E3116">
        <v>0.77651733624048802</v>
      </c>
      <c r="F3116">
        <v>0.81137485108056695</v>
      </c>
      <c r="G3116">
        <v>0.58792627840242795</v>
      </c>
      <c r="H3116">
        <v>0.47290675060147302</v>
      </c>
      <c r="I3116">
        <v>0.52115206587662699</v>
      </c>
      <c r="J3116">
        <v>0.85999576785640897</v>
      </c>
      <c r="K3116">
        <v>0.60371281855207704</v>
      </c>
      <c r="L3116">
        <v>907.70419960729703</v>
      </c>
      <c r="M3116">
        <v>18.244336565336202</v>
      </c>
      <c r="O3116">
        <v>49.166472418848102</v>
      </c>
      <c r="P3116">
        <v>-3.6059755068936203E-2</v>
      </c>
      <c r="Q3116">
        <v>0.61130995012344302</v>
      </c>
      <c r="R3116">
        <v>0.67498428066221505</v>
      </c>
      <c r="S3116" t="s">
        <v>6948</v>
      </c>
      <c r="T3116" t="s">
        <v>7662</v>
      </c>
      <c r="U3116" t="s">
        <v>7662</v>
      </c>
      <c r="V3116" t="s">
        <v>7662</v>
      </c>
      <c r="W3116">
        <v>4</v>
      </c>
      <c r="X3116" t="s">
        <v>10778</v>
      </c>
      <c r="Y3116">
        <v>0.74414892886957529</v>
      </c>
      <c r="Z3116" t="str">
        <f>HYPERLINK("Melting_Curves/meltCurve_sp_Q9Y3E2_BOLA1_HUMAN_.pdf", "Melting_Curves/meltCurve_sp_Q9Y3E2_BOLA1_HUMAN_.pdf")</f>
        <v>Melting_Curves/meltCurve_sp_Q9Y3E2_BOLA1_HUMAN_.pdf</v>
      </c>
      <c r="AA3116" t="s">
        <v>14570</v>
      </c>
      <c r="AB3116" t="s">
        <v>18355</v>
      </c>
    </row>
    <row r="3117" spans="1:28" x14ac:dyDescent="0.25">
      <c r="A3117" t="s">
        <v>3121</v>
      </c>
      <c r="B3117">
        <v>0.98876768158843997</v>
      </c>
      <c r="C3117">
        <v>0.96151141695175102</v>
      </c>
      <c r="D3117">
        <v>0.78225397973229804</v>
      </c>
      <c r="E3117">
        <v>0.60901594775083401</v>
      </c>
      <c r="F3117">
        <v>0.74814787979929998</v>
      </c>
      <c r="G3117">
        <v>0.465103682259425</v>
      </c>
      <c r="H3117">
        <v>0.329938962736474</v>
      </c>
      <c r="I3117">
        <v>0.188832917958731</v>
      </c>
      <c r="J3117">
        <v>5.6380464344268799E-2</v>
      </c>
      <c r="K3117">
        <v>8.7281640748205297E-2</v>
      </c>
      <c r="L3117">
        <v>527.11580449123699</v>
      </c>
      <c r="M3117">
        <v>9.5409743739454207</v>
      </c>
      <c r="N3117">
        <v>55.247586225079203</v>
      </c>
      <c r="O3117">
        <v>52.983960950064201</v>
      </c>
      <c r="P3117">
        <v>-4.5044419724104799E-2</v>
      </c>
      <c r="Q3117">
        <v>0</v>
      </c>
      <c r="R3117">
        <v>0.94456916886661602</v>
      </c>
      <c r="S3117" t="s">
        <v>6949</v>
      </c>
      <c r="T3117" t="s">
        <v>7662</v>
      </c>
      <c r="U3117" t="s">
        <v>7662</v>
      </c>
      <c r="V3117" t="s">
        <v>7662</v>
      </c>
      <c r="W3117">
        <v>2</v>
      </c>
      <c r="X3117" t="s">
        <v>10779</v>
      </c>
      <c r="Y3117">
        <v>0.53329456593184998</v>
      </c>
      <c r="Z3117" t="str">
        <f>HYPERLINK("Melting_Curves/meltCurve_sp_Q9Y3E7_4_CHMP3_HUMAN_.pdf", "Melting_Curves/meltCurve_sp_Q9Y3E7_4_CHMP3_HUMAN_.pdf")</f>
        <v>Melting_Curves/meltCurve_sp_Q9Y3E7_4_CHMP3_HUMAN_.pdf</v>
      </c>
      <c r="AA3117" t="s">
        <v>14571</v>
      </c>
      <c r="AB3117" t="s">
        <v>18356</v>
      </c>
    </row>
    <row r="3118" spans="1:28" x14ac:dyDescent="0.25">
      <c r="A3118" t="s">
        <v>3122</v>
      </c>
      <c r="B3118">
        <v>0.98876768158843997</v>
      </c>
      <c r="C3118">
        <v>0.95371941508855895</v>
      </c>
      <c r="D3118">
        <v>0.83470163789476104</v>
      </c>
      <c r="E3118">
        <v>0.69480765875578898</v>
      </c>
      <c r="F3118">
        <v>0.74576992484667504</v>
      </c>
      <c r="G3118">
        <v>0.37014279249690901</v>
      </c>
      <c r="H3118">
        <v>0.10565568416538799</v>
      </c>
      <c r="I3118">
        <v>5.3287181663096497E-2</v>
      </c>
      <c r="J3118">
        <v>5.2839676059287299E-2</v>
      </c>
      <c r="K3118">
        <v>4.9279015880541198E-2</v>
      </c>
      <c r="L3118">
        <v>788.586016796644</v>
      </c>
      <c r="M3118">
        <v>14.4535379265721</v>
      </c>
      <c r="N3118">
        <v>54.560068364493901</v>
      </c>
      <c r="O3118">
        <v>53.547539619094202</v>
      </c>
      <c r="P3118">
        <v>-6.7487818158386101E-2</v>
      </c>
      <c r="Q3118">
        <v>0</v>
      </c>
      <c r="R3118">
        <v>0.965992741678391</v>
      </c>
      <c r="S3118" t="s">
        <v>6950</v>
      </c>
      <c r="T3118" t="s">
        <v>7662</v>
      </c>
      <c r="U3118" t="s">
        <v>7662</v>
      </c>
      <c r="V3118" t="s">
        <v>7662</v>
      </c>
      <c r="W3118">
        <v>12</v>
      </c>
      <c r="X3118" t="s">
        <v>10780</v>
      </c>
      <c r="Y3118">
        <v>0.50603452627482859</v>
      </c>
      <c r="Z3118" t="str">
        <f>HYPERLINK("Melting_Curves/meltCurve_sp_Q9Y3F4_STRAP_HUMAN_.pdf", "Melting_Curves/meltCurve_sp_Q9Y3F4_STRAP_HUMAN_.pdf")</f>
        <v>Melting_Curves/meltCurve_sp_Q9Y3F4_STRAP_HUMAN_.pdf</v>
      </c>
      <c r="AA3118" t="s">
        <v>14572</v>
      </c>
      <c r="AB3118" t="s">
        <v>18357</v>
      </c>
    </row>
    <row r="3119" spans="1:28" x14ac:dyDescent="0.25">
      <c r="A3119" t="s">
        <v>3123</v>
      </c>
      <c r="B3119">
        <v>0.98876768158843997</v>
      </c>
      <c r="C3119">
        <v>0.90263647290187199</v>
      </c>
      <c r="D3119">
        <v>0.86416572048776397</v>
      </c>
      <c r="E3119">
        <v>0.480374387636476</v>
      </c>
      <c r="F3119">
        <v>0.19468754049979101</v>
      </c>
      <c r="G3119">
        <v>0.114350899583798</v>
      </c>
      <c r="H3119">
        <v>6.9356593976179701E-2</v>
      </c>
      <c r="I3119">
        <v>5.40136951594751E-2</v>
      </c>
      <c r="J3119">
        <v>5.2692944919150997E-2</v>
      </c>
      <c r="K3119">
        <v>4.7515106149781598E-2</v>
      </c>
      <c r="L3119">
        <v>1090.31796493862</v>
      </c>
      <c r="M3119">
        <v>22.0547537782038</v>
      </c>
      <c r="N3119">
        <v>49.671581587728902</v>
      </c>
      <c r="O3119">
        <v>49.035835538569103</v>
      </c>
      <c r="P3119">
        <v>-0.10688032606510001</v>
      </c>
      <c r="Q3119">
        <v>4.9484264609006297E-2</v>
      </c>
      <c r="R3119">
        <v>0.99568659588706698</v>
      </c>
      <c r="S3119" t="s">
        <v>6951</v>
      </c>
      <c r="T3119" t="s">
        <v>7662</v>
      </c>
      <c r="U3119" t="s">
        <v>7662</v>
      </c>
      <c r="V3119" t="s">
        <v>7662</v>
      </c>
      <c r="W3119">
        <v>12</v>
      </c>
      <c r="X3119" t="s">
        <v>10781</v>
      </c>
      <c r="Y3119">
        <v>0.3593817516031807</v>
      </c>
      <c r="Z3119" t="str">
        <f>HYPERLINK("Melting_Curves/meltCurve_sp_Q9Y3I0_RTCB_HUMAN_.pdf", "Melting_Curves/meltCurve_sp_Q9Y3I0_RTCB_HUMAN_.pdf")</f>
        <v>Melting_Curves/meltCurve_sp_Q9Y3I0_RTCB_HUMAN_.pdf</v>
      </c>
      <c r="AA3119" t="s">
        <v>14573</v>
      </c>
      <c r="AB3119" t="s">
        <v>18358</v>
      </c>
    </row>
    <row r="3120" spans="1:28" x14ac:dyDescent="0.25">
      <c r="A3120" t="s">
        <v>3124</v>
      </c>
      <c r="B3120">
        <v>0.98876768158843997</v>
      </c>
      <c r="C3120">
        <v>1.0468105373366401</v>
      </c>
      <c r="D3120">
        <v>0.85570030091197202</v>
      </c>
      <c r="E3120">
        <v>0.669464927237722</v>
      </c>
      <c r="F3120">
        <v>0.52264238764754101</v>
      </c>
      <c r="G3120">
        <v>0.30552738784467398</v>
      </c>
      <c r="H3120">
        <v>0.17736001318639799</v>
      </c>
      <c r="I3120">
        <v>0.15504489753370199</v>
      </c>
      <c r="J3120">
        <v>0.18361748871727601</v>
      </c>
      <c r="K3120">
        <v>0.122669260485626</v>
      </c>
      <c r="L3120">
        <v>789.35985537769102</v>
      </c>
      <c r="M3120">
        <v>15.182585677969101</v>
      </c>
      <c r="N3120">
        <v>52.929889404545499</v>
      </c>
      <c r="O3120">
        <v>51.114197880118702</v>
      </c>
      <c r="P3120">
        <v>-6.5499562382243706E-2</v>
      </c>
      <c r="Q3120">
        <v>0.11803295549173699</v>
      </c>
      <c r="R3120">
        <v>0.99055064786610303</v>
      </c>
      <c r="S3120" t="s">
        <v>6952</v>
      </c>
      <c r="T3120" t="s">
        <v>7662</v>
      </c>
      <c r="U3120" t="s">
        <v>7662</v>
      </c>
      <c r="V3120" t="s">
        <v>7662</v>
      </c>
      <c r="W3120">
        <v>4</v>
      </c>
      <c r="X3120" t="s">
        <v>10782</v>
      </c>
      <c r="Y3120">
        <v>0.48991994321763849</v>
      </c>
      <c r="Z3120" t="str">
        <f>HYPERLINK("Melting_Curves/meltCurve_sp_Q9Y3I1_3_FBX7_HUMAN_.pdf", "Melting_Curves/meltCurve_sp_Q9Y3I1_3_FBX7_HUMAN_.pdf")</f>
        <v>Melting_Curves/meltCurve_sp_Q9Y3I1_3_FBX7_HUMAN_.pdf</v>
      </c>
      <c r="AA3120" t="s">
        <v>14574</v>
      </c>
      <c r="AB3120" t="s">
        <v>18359</v>
      </c>
    </row>
    <row r="3121" spans="1:28" x14ac:dyDescent="0.25">
      <c r="A3121" t="s">
        <v>3125</v>
      </c>
      <c r="B3121">
        <v>0.98876768158843997</v>
      </c>
      <c r="C3121">
        <v>0.923663326398241</v>
      </c>
      <c r="D3121">
        <v>0.74316426232319999</v>
      </c>
      <c r="E3121">
        <v>0.50466693788370398</v>
      </c>
      <c r="F3121">
        <v>0.59511957933084503</v>
      </c>
      <c r="G3121">
        <v>0.42480089221835099</v>
      </c>
      <c r="H3121">
        <v>0.299879286767603</v>
      </c>
      <c r="I3121">
        <v>0.30835790853240103</v>
      </c>
      <c r="J3121">
        <v>0.28646163828729498</v>
      </c>
      <c r="K3121">
        <v>0.22026374039084401</v>
      </c>
      <c r="L3121">
        <v>499.24672128664599</v>
      </c>
      <c r="M3121">
        <v>9.9481147800938796</v>
      </c>
      <c r="N3121">
        <v>53.1160145739033</v>
      </c>
      <c r="O3121">
        <v>48.283509759087103</v>
      </c>
      <c r="P3121">
        <v>-4.0649390468698803E-2</v>
      </c>
      <c r="Q3121">
        <v>0.211218631744375</v>
      </c>
      <c r="R3121">
        <v>0.95821675198998102</v>
      </c>
      <c r="S3121" t="s">
        <v>6953</v>
      </c>
      <c r="T3121" t="s">
        <v>7662</v>
      </c>
      <c r="U3121" t="s">
        <v>7662</v>
      </c>
      <c r="V3121" t="s">
        <v>7662</v>
      </c>
      <c r="W3121">
        <v>2</v>
      </c>
      <c r="X3121" t="s">
        <v>10783</v>
      </c>
      <c r="Y3121">
        <v>0.51438288607645277</v>
      </c>
      <c r="Z3121" t="str">
        <f>HYPERLINK("Melting_Curves/meltCurve_sp_Q9Y3L5_RAP2C_HUMAN_.pdf", "Melting_Curves/meltCurve_sp_Q9Y3L5_RAP2C_HUMAN_.pdf")</f>
        <v>Melting_Curves/meltCurve_sp_Q9Y3L5_RAP2C_HUMAN_.pdf</v>
      </c>
      <c r="AA3121" t="s">
        <v>14575</v>
      </c>
      <c r="AB3121" t="s">
        <v>18360</v>
      </c>
    </row>
    <row r="3122" spans="1:28" x14ac:dyDescent="0.25">
      <c r="A3122" t="s">
        <v>3126</v>
      </c>
      <c r="B3122">
        <v>0.98876768158843997</v>
      </c>
      <c r="C3122">
        <v>0.98072858703086496</v>
      </c>
      <c r="D3122">
        <v>0.99640785160108503</v>
      </c>
      <c r="E3122">
        <v>0.87594615600018899</v>
      </c>
      <c r="F3122">
        <v>0.66397460679829401</v>
      </c>
      <c r="G3122">
        <v>0.25564795131045198</v>
      </c>
      <c r="H3122">
        <v>7.0614280737500604E-2</v>
      </c>
      <c r="I3122">
        <v>4.1632960295602803E-2</v>
      </c>
      <c r="J3122">
        <v>4.4289492410630397E-2</v>
      </c>
      <c r="K3122">
        <v>6.4099381985325096E-2</v>
      </c>
      <c r="L3122">
        <v>1369.7148772344201</v>
      </c>
      <c r="M3122">
        <v>25.267817687181001</v>
      </c>
      <c r="N3122">
        <v>54.365304402752997</v>
      </c>
      <c r="O3122">
        <v>53.871785946585497</v>
      </c>
      <c r="P3122">
        <v>-0.11312404796771899</v>
      </c>
      <c r="Q3122">
        <v>3.5276521449925602E-2</v>
      </c>
      <c r="R3122">
        <v>0.99867861890425402</v>
      </c>
      <c r="S3122" t="s">
        <v>6954</v>
      </c>
      <c r="T3122" t="s">
        <v>7662</v>
      </c>
      <c r="U3122" t="s">
        <v>7662</v>
      </c>
      <c r="V3122" t="s">
        <v>7662</v>
      </c>
      <c r="W3122">
        <v>6</v>
      </c>
      <c r="X3122" t="s">
        <v>10784</v>
      </c>
      <c r="Y3122">
        <v>0.5009263216462494</v>
      </c>
      <c r="Z3122" t="str">
        <f>HYPERLINK("Melting_Curves/meltCurve_sp_Q9Y3P9_RBGP1_HUMAN_.pdf", "Melting_Curves/meltCurve_sp_Q9Y3P9_RBGP1_HUMAN_.pdf")</f>
        <v>Melting_Curves/meltCurve_sp_Q9Y3P9_RBGP1_HUMAN_.pdf</v>
      </c>
      <c r="AA3122" t="s">
        <v>14576</v>
      </c>
      <c r="AB3122" t="s">
        <v>18361</v>
      </c>
    </row>
    <row r="3123" spans="1:28" x14ac:dyDescent="0.25">
      <c r="A3123" t="s">
        <v>3127</v>
      </c>
      <c r="B3123">
        <v>0.98876768158843997</v>
      </c>
      <c r="C3123">
        <v>1.05615327504587</v>
      </c>
      <c r="D3123">
        <v>0.91829229117273903</v>
      </c>
      <c r="E3123">
        <v>0.80526924254685694</v>
      </c>
      <c r="F3123">
        <v>0.81986772325082602</v>
      </c>
      <c r="G3123">
        <v>0.55995259788782803</v>
      </c>
      <c r="H3123">
        <v>0.49856578253970901</v>
      </c>
      <c r="I3123">
        <v>0.57895022614071501</v>
      </c>
      <c r="J3123">
        <v>0.83201936708338597</v>
      </c>
      <c r="K3123">
        <v>0.89851567046255398</v>
      </c>
      <c r="L3123">
        <v>1234.3601468908</v>
      </c>
      <c r="M3123">
        <v>25.0473923443788</v>
      </c>
      <c r="O3123">
        <v>48.970076848094898</v>
      </c>
      <c r="P3123">
        <v>-4.0260905281086397E-2</v>
      </c>
      <c r="Q3123">
        <v>0.68514833224330496</v>
      </c>
      <c r="R3123">
        <v>0.54914112689162098</v>
      </c>
      <c r="S3123" t="s">
        <v>6955</v>
      </c>
      <c r="T3123" t="s">
        <v>7662</v>
      </c>
      <c r="U3123" t="s">
        <v>7662</v>
      </c>
      <c r="V3123" t="s">
        <v>7662</v>
      </c>
      <c r="W3123">
        <v>3</v>
      </c>
      <c r="X3123" t="s">
        <v>10785</v>
      </c>
      <c r="Y3123">
        <v>0.78533761233932298</v>
      </c>
      <c r="Z3123" t="str">
        <f>HYPERLINK("Melting_Curves/meltCurve_sp_Q9Y3S2_ZN330_HUMAN_.pdf", "Melting_Curves/meltCurve_sp_Q9Y3S2_ZN330_HUMAN_.pdf")</f>
        <v>Melting_Curves/meltCurve_sp_Q9Y3S2_ZN330_HUMAN_.pdf</v>
      </c>
      <c r="AA3123" t="s">
        <v>14577</v>
      </c>
      <c r="AB3123" t="s">
        <v>18362</v>
      </c>
    </row>
    <row r="3124" spans="1:28" x14ac:dyDescent="0.25">
      <c r="A3124" t="s">
        <v>3128</v>
      </c>
      <c r="B3124">
        <v>0.98876768158843997</v>
      </c>
      <c r="C3124">
        <v>0.982275566538509</v>
      </c>
      <c r="D3124">
        <v>0.94474682807115495</v>
      </c>
      <c r="E3124">
        <v>0.74655157371249303</v>
      </c>
      <c r="F3124">
        <v>0.74129871563135896</v>
      </c>
      <c r="G3124">
        <v>0.56976138334689697</v>
      </c>
      <c r="H3124">
        <v>0.46733437162847502</v>
      </c>
      <c r="I3124">
        <v>0.480557609275858</v>
      </c>
      <c r="J3124">
        <v>0.67266692756178004</v>
      </c>
      <c r="K3124">
        <v>0.67865600836651796</v>
      </c>
      <c r="L3124">
        <v>1057.0135805734601</v>
      </c>
      <c r="M3124">
        <v>21.196205968868998</v>
      </c>
      <c r="O3124">
        <v>49.4305454636742</v>
      </c>
      <c r="P3124">
        <v>-4.5676517542114797E-2</v>
      </c>
      <c r="Q3124">
        <v>0.57393186301596499</v>
      </c>
      <c r="R3124">
        <v>0.85123985043774997</v>
      </c>
      <c r="S3124" t="s">
        <v>6956</v>
      </c>
      <c r="T3124" t="s">
        <v>7662</v>
      </c>
      <c r="U3124" t="s">
        <v>7662</v>
      </c>
      <c r="V3124" t="s">
        <v>7662</v>
      </c>
      <c r="W3124">
        <v>3</v>
      </c>
      <c r="X3124" t="s">
        <v>10786</v>
      </c>
      <c r="Y3124">
        <v>0.71937295227089781</v>
      </c>
      <c r="Z3124" t="str">
        <f>HYPERLINK("Melting_Curves/meltCurve_sp_Q9Y3X0_CCDC9_HUMAN_.pdf", "Melting_Curves/meltCurve_sp_Q9Y3X0_CCDC9_HUMAN_.pdf")</f>
        <v>Melting_Curves/meltCurve_sp_Q9Y3X0_CCDC9_HUMAN_.pdf</v>
      </c>
      <c r="AA3124" t="s">
        <v>14578</v>
      </c>
      <c r="AB3124" t="s">
        <v>18363</v>
      </c>
    </row>
    <row r="3125" spans="1:28" x14ac:dyDescent="0.25">
      <c r="A3125" t="s">
        <v>3129</v>
      </c>
      <c r="B3125">
        <v>0.98876768158843997</v>
      </c>
      <c r="C3125">
        <v>0.89323505723971097</v>
      </c>
      <c r="D3125">
        <v>0.95100623965503694</v>
      </c>
      <c r="E3125">
        <v>0.86799287392296898</v>
      </c>
      <c r="F3125">
        <v>0.76836215901612703</v>
      </c>
      <c r="G3125">
        <v>0.67219742311515696</v>
      </c>
      <c r="H3125">
        <v>0.49282220342404798</v>
      </c>
      <c r="I3125">
        <v>0.64593070775521699</v>
      </c>
      <c r="J3125">
        <v>0.56521552448377899</v>
      </c>
      <c r="K3125">
        <v>1.0874933509143401</v>
      </c>
      <c r="L3125">
        <v>1345.41274215164</v>
      </c>
      <c r="M3125">
        <v>26.813259354655301</v>
      </c>
      <c r="O3125">
        <v>49.900533335201601</v>
      </c>
      <c r="P3125">
        <v>-4.1185368790099798E-2</v>
      </c>
      <c r="Q3125">
        <v>0.69341272540297705</v>
      </c>
      <c r="R3125">
        <v>0.33728570890385701</v>
      </c>
      <c r="S3125" t="s">
        <v>6957</v>
      </c>
      <c r="T3125" t="s">
        <v>7662</v>
      </c>
      <c r="U3125" t="s">
        <v>7662</v>
      </c>
      <c r="V3125" t="s">
        <v>7662</v>
      </c>
      <c r="W3125">
        <v>1</v>
      </c>
      <c r="X3125" t="s">
        <v>10787</v>
      </c>
      <c r="Y3125">
        <v>0.79980394110764541</v>
      </c>
      <c r="Z3125" t="str">
        <f>HYPERLINK("Melting_Curves/meltCurve_sp_Q9Y3Y2_4_CHTOP_HUMAN_.pdf", "Melting_Curves/meltCurve_sp_Q9Y3Y2_4_CHTOP_HUMAN_.pdf")</f>
        <v>Melting_Curves/meltCurve_sp_Q9Y3Y2_4_CHTOP_HUMAN_.pdf</v>
      </c>
      <c r="AA3125" t="s">
        <v>14579</v>
      </c>
      <c r="AB3125" t="s">
        <v>18364</v>
      </c>
    </row>
    <row r="3126" spans="1:28" x14ac:dyDescent="0.25">
      <c r="A3126" t="s">
        <v>3130</v>
      </c>
      <c r="B3126">
        <v>0.98876768158843997</v>
      </c>
      <c r="C3126">
        <v>0.58348741201914001</v>
      </c>
      <c r="D3126">
        <v>0.34164347819791702</v>
      </c>
      <c r="E3126">
        <v>0.207797160509201</v>
      </c>
      <c r="F3126">
        <v>8.1460155822821206E-2</v>
      </c>
      <c r="G3126">
        <v>0</v>
      </c>
      <c r="H3126">
        <v>6.09345694326573E-2</v>
      </c>
      <c r="I3126">
        <v>3.6933545120880498E-2</v>
      </c>
      <c r="J3126">
        <v>0</v>
      </c>
      <c r="K3126">
        <v>0</v>
      </c>
      <c r="L3126">
        <v>814.56641964649498</v>
      </c>
      <c r="M3126">
        <v>18.388523094354401</v>
      </c>
      <c r="N3126">
        <v>44.424111448188498</v>
      </c>
      <c r="O3126">
        <v>43.783629319351299</v>
      </c>
      <c r="P3126">
        <v>-0.10232196275005701</v>
      </c>
      <c r="Q3126">
        <v>2.5517457739552499E-2</v>
      </c>
      <c r="R3126">
        <v>0.97224670094805499</v>
      </c>
      <c r="S3126" t="s">
        <v>6958</v>
      </c>
      <c r="T3126" t="s">
        <v>7662</v>
      </c>
      <c r="U3126" t="s">
        <v>7662</v>
      </c>
      <c r="V3126" t="s">
        <v>7662</v>
      </c>
      <c r="W3126">
        <v>4</v>
      </c>
      <c r="X3126" t="s">
        <v>10788</v>
      </c>
      <c r="Y3126">
        <v>0.1870174524189579</v>
      </c>
      <c r="Z3126" t="str">
        <f>HYPERLINK("Melting_Curves/meltCurve_sp_Q9Y3Z3_4_SAMH1_HUMAN_.pdf", "Melting_Curves/meltCurve_sp_Q9Y3Z3_4_SAMH1_HUMAN_.pdf")</f>
        <v>Melting_Curves/meltCurve_sp_Q9Y3Z3_4_SAMH1_HUMAN_.pdf</v>
      </c>
      <c r="AA3126" t="s">
        <v>14580</v>
      </c>
      <c r="AB3126" t="s">
        <v>18365</v>
      </c>
    </row>
    <row r="3127" spans="1:28" x14ac:dyDescent="0.25">
      <c r="A3127" t="s">
        <v>3131</v>
      </c>
      <c r="B3127">
        <v>0.98876768158843997</v>
      </c>
      <c r="C3127">
        <v>1.04771149714483</v>
      </c>
      <c r="D3127">
        <v>0.84674098005708698</v>
      </c>
      <c r="E3127">
        <v>0.68558258020539498</v>
      </c>
      <c r="F3127">
        <v>0.71062409172970997</v>
      </c>
      <c r="G3127">
        <v>0.48751903551857501</v>
      </c>
      <c r="H3127">
        <v>0.361902523768382</v>
      </c>
      <c r="I3127">
        <v>0.362109617587203</v>
      </c>
      <c r="J3127">
        <v>0.60857137944478201</v>
      </c>
      <c r="K3127">
        <v>0.47312445693166399</v>
      </c>
      <c r="L3127">
        <v>831.28759123983195</v>
      </c>
      <c r="M3127">
        <v>16.593208722385</v>
      </c>
      <c r="N3127">
        <v>57.870762547905002</v>
      </c>
      <c r="O3127">
        <v>49.387393270067101</v>
      </c>
      <c r="P3127">
        <v>-4.65227637967758E-2</v>
      </c>
      <c r="Q3127">
        <v>0.44616333433205402</v>
      </c>
      <c r="R3127">
        <v>0.87294866690954498</v>
      </c>
      <c r="S3127" t="s">
        <v>6959</v>
      </c>
      <c r="T3127" t="s">
        <v>7662</v>
      </c>
      <c r="U3127" t="s">
        <v>7662</v>
      </c>
      <c r="V3127" t="s">
        <v>7662</v>
      </c>
      <c r="W3127">
        <v>3</v>
      </c>
      <c r="X3127" t="s">
        <v>10789</v>
      </c>
      <c r="Y3127">
        <v>0.64356411849299799</v>
      </c>
      <c r="Z3127" t="str">
        <f>HYPERLINK("Melting_Curves/meltCurve_sp_Q9Y450_4_HBS1L_HUMAN_.pdf", "Melting_Curves/meltCurve_sp_Q9Y450_4_HBS1L_HUMAN_.pdf")</f>
        <v>Melting_Curves/meltCurve_sp_Q9Y450_4_HBS1L_HUMAN_.pdf</v>
      </c>
      <c r="AA3127" t="s">
        <v>14581</v>
      </c>
      <c r="AB3127" t="s">
        <v>18366</v>
      </c>
    </row>
    <row r="3128" spans="1:28" x14ac:dyDescent="0.25">
      <c r="A3128" t="s">
        <v>3132</v>
      </c>
      <c r="B3128">
        <v>0.98876768158843997</v>
      </c>
      <c r="C3128">
        <v>0.92996710468101595</v>
      </c>
      <c r="D3128">
        <v>1.0623015894798999</v>
      </c>
      <c r="E3128">
        <v>0.91519473677859797</v>
      </c>
      <c r="F3128">
        <v>0.32040466388377298</v>
      </c>
      <c r="G3128">
        <v>0.18841329935135201</v>
      </c>
      <c r="H3128">
        <v>6.8351527268388307E-2</v>
      </c>
      <c r="I3128">
        <v>5.8027397562184002E-2</v>
      </c>
      <c r="J3128">
        <v>6.4326294734956602E-2</v>
      </c>
      <c r="K3128">
        <v>5.5555985639393499E-2</v>
      </c>
      <c r="L3128">
        <v>2805.7370082830398</v>
      </c>
      <c r="M3128">
        <v>53.944776809158803</v>
      </c>
      <c r="N3128">
        <v>52.189184540325797</v>
      </c>
      <c r="O3128">
        <v>51.939951109044898</v>
      </c>
      <c r="P3128">
        <v>-0.237843232288552</v>
      </c>
      <c r="Q3128">
        <v>8.3984818854252893E-2</v>
      </c>
      <c r="R3128">
        <v>0.98855856840158296</v>
      </c>
      <c r="S3128" t="s">
        <v>6960</v>
      </c>
      <c r="T3128" t="s">
        <v>7662</v>
      </c>
      <c r="U3128" t="s">
        <v>7662</v>
      </c>
      <c r="V3128" t="s">
        <v>7662</v>
      </c>
      <c r="W3128">
        <v>95</v>
      </c>
      <c r="X3128" t="s">
        <v>10790</v>
      </c>
      <c r="Y3128">
        <v>0.45253933486921022</v>
      </c>
      <c r="Z3128" t="str">
        <f>HYPERLINK("Melting_Curves/meltCurve_sp_Q9Y490_TLN1_HUMAN_.pdf", "Melting_Curves/meltCurve_sp_Q9Y490_TLN1_HUMAN_.pdf")</f>
        <v>Melting_Curves/meltCurve_sp_Q9Y490_TLN1_HUMAN_.pdf</v>
      </c>
      <c r="AA3128" t="s">
        <v>14582</v>
      </c>
      <c r="AB3128" t="s">
        <v>18367</v>
      </c>
    </row>
    <row r="3129" spans="1:28" x14ac:dyDescent="0.25">
      <c r="A3129" t="s">
        <v>3133</v>
      </c>
      <c r="B3129">
        <v>0.98876768158843997</v>
      </c>
      <c r="C3129">
        <v>0.96344144632341999</v>
      </c>
      <c r="D3129">
        <v>1.0042247988784401</v>
      </c>
      <c r="E3129">
        <v>0.79520805911091397</v>
      </c>
      <c r="F3129">
        <v>0.49122327242799302</v>
      </c>
      <c r="G3129">
        <v>0.26723594252909799</v>
      </c>
      <c r="H3129">
        <v>0.168057810594439</v>
      </c>
      <c r="I3129">
        <v>0.13891566070884101</v>
      </c>
      <c r="J3129">
        <v>0.162750684628655</v>
      </c>
      <c r="K3129">
        <v>0.13092846762013</v>
      </c>
      <c r="L3129">
        <v>1284.77840555133</v>
      </c>
      <c r="M3129">
        <v>24.551711041313201</v>
      </c>
      <c r="N3129">
        <v>53.059567360980303</v>
      </c>
      <c r="O3129">
        <v>51.986027344726303</v>
      </c>
      <c r="P3129">
        <v>-0.101146354005283</v>
      </c>
      <c r="Q3129">
        <v>0.14333935806359999</v>
      </c>
      <c r="R3129">
        <v>0.99730134633944101</v>
      </c>
      <c r="S3129" t="s">
        <v>6961</v>
      </c>
      <c r="T3129" t="s">
        <v>7662</v>
      </c>
      <c r="U3129" t="s">
        <v>7662</v>
      </c>
      <c r="V3129" t="s">
        <v>7662</v>
      </c>
      <c r="W3129">
        <v>6</v>
      </c>
      <c r="X3129" t="s">
        <v>10791</v>
      </c>
      <c r="Y3129">
        <v>0.50353210873286791</v>
      </c>
      <c r="Z3129" t="str">
        <f>HYPERLINK("Melting_Curves/meltCurve_sp_Q9Y4B6_3_VPRBP_HUMAN_.pdf", "Melting_Curves/meltCurve_sp_Q9Y4B6_3_VPRBP_HUMAN_.pdf")</f>
        <v>Melting_Curves/meltCurve_sp_Q9Y4B6_3_VPRBP_HUMAN_.pdf</v>
      </c>
      <c r="AA3129" t="s">
        <v>14583</v>
      </c>
      <c r="AB3129" t="s">
        <v>18368</v>
      </c>
    </row>
    <row r="3130" spans="1:28" x14ac:dyDescent="0.25">
      <c r="A3130" t="s">
        <v>3134</v>
      </c>
      <c r="B3130">
        <v>0.98876768158843997</v>
      </c>
      <c r="C3130">
        <v>0.75863438997990995</v>
      </c>
      <c r="D3130">
        <v>0.51392771180952002</v>
      </c>
      <c r="E3130">
        <v>0.23344698431953601</v>
      </c>
      <c r="F3130">
        <v>0.14007733665504701</v>
      </c>
      <c r="G3130">
        <v>7.9402526310662705E-2</v>
      </c>
      <c r="H3130">
        <v>6.2419614959521301E-2</v>
      </c>
      <c r="I3130">
        <v>5.1277189030014103E-2</v>
      </c>
      <c r="J3130">
        <v>6.6847088041846997E-2</v>
      </c>
      <c r="K3130">
        <v>5.3709225866884397E-2</v>
      </c>
      <c r="L3130">
        <v>827.35092757418704</v>
      </c>
      <c r="M3130">
        <v>18.0497334322563</v>
      </c>
      <c r="N3130">
        <v>46.137300065325903</v>
      </c>
      <c r="O3130">
        <v>45.285766428719</v>
      </c>
      <c r="P3130">
        <v>-9.4130719102153301E-2</v>
      </c>
      <c r="Q3130">
        <v>5.5371377098515501E-2</v>
      </c>
      <c r="R3130">
        <v>0.99631149705088395</v>
      </c>
      <c r="S3130" t="s">
        <v>6962</v>
      </c>
      <c r="T3130" t="s">
        <v>7662</v>
      </c>
      <c r="U3130" t="s">
        <v>7662</v>
      </c>
      <c r="V3130" t="s">
        <v>7662</v>
      </c>
      <c r="W3130">
        <v>6</v>
      </c>
      <c r="X3130" t="s">
        <v>10792</v>
      </c>
      <c r="Y3130">
        <v>0.25784348559364773</v>
      </c>
      <c r="Z3130" t="str">
        <f>HYPERLINK("Melting_Curves/meltCurve_sp_Q9Y4C2_2_F115A_HUMAN_.pdf", "Melting_Curves/meltCurve_sp_Q9Y4C2_2_F115A_HUMAN_.pdf")</f>
        <v>Melting_Curves/meltCurve_sp_Q9Y4C2_2_F115A_HUMAN_.pdf</v>
      </c>
      <c r="AA3130" t="s">
        <v>14584</v>
      </c>
      <c r="AB3130" t="s">
        <v>18369</v>
      </c>
    </row>
    <row r="3131" spans="1:28" x14ac:dyDescent="0.25">
      <c r="A3131" t="s">
        <v>3135</v>
      </c>
      <c r="B3131">
        <v>0.98876768158843997</v>
      </c>
      <c r="C3131">
        <v>1.03885386036878</v>
      </c>
      <c r="D3131">
        <v>0.93011148854236203</v>
      </c>
      <c r="E3131">
        <v>0.78768700749390297</v>
      </c>
      <c r="F3131">
        <v>0.35053518013139501</v>
      </c>
      <c r="G3131">
        <v>0.15709382127311</v>
      </c>
      <c r="H3131">
        <v>8.6870994276799299E-2</v>
      </c>
      <c r="I3131">
        <v>6.9215472069762696E-2</v>
      </c>
      <c r="J3131">
        <v>6.6992419155062599E-2</v>
      </c>
      <c r="K3131">
        <v>5.85039917565826E-2</v>
      </c>
      <c r="L3131">
        <v>1595.10763022065</v>
      </c>
      <c r="M3131">
        <v>30.8250274100584</v>
      </c>
      <c r="N3131">
        <v>52.011301109483803</v>
      </c>
      <c r="O3131">
        <v>51.530836780886297</v>
      </c>
      <c r="P3131">
        <v>-0.13871172804065299</v>
      </c>
      <c r="Q3131">
        <v>7.2456374879659599E-2</v>
      </c>
      <c r="R3131">
        <v>0.99585108913463505</v>
      </c>
      <c r="S3131" t="s">
        <v>6963</v>
      </c>
      <c r="T3131" t="s">
        <v>7662</v>
      </c>
      <c r="U3131" t="s">
        <v>7662</v>
      </c>
      <c r="V3131" t="s">
        <v>7662</v>
      </c>
      <c r="W3131">
        <v>13</v>
      </c>
      <c r="X3131" t="s">
        <v>10793</v>
      </c>
      <c r="Y3131">
        <v>0.44124903428248707</v>
      </c>
      <c r="Z3131" t="str">
        <f>HYPERLINK("Melting_Curves/meltCurve_sp_Q9Y4E8_UBP15_HUMAN_.pdf", "Melting_Curves/meltCurve_sp_Q9Y4E8_UBP15_HUMAN_.pdf")</f>
        <v>Melting_Curves/meltCurve_sp_Q9Y4E8_UBP15_HUMAN_.pdf</v>
      </c>
      <c r="AA3131" t="s">
        <v>14585</v>
      </c>
      <c r="AB3131" t="s">
        <v>18370</v>
      </c>
    </row>
    <row r="3132" spans="1:28" x14ac:dyDescent="0.25">
      <c r="A3132" t="s">
        <v>3136</v>
      </c>
      <c r="B3132">
        <v>0.98876768158843997</v>
      </c>
      <c r="C3132">
        <v>0.99181877560991005</v>
      </c>
      <c r="D3132">
        <v>0.84360160842843002</v>
      </c>
      <c r="E3132">
        <v>0.61875652512422297</v>
      </c>
      <c r="F3132">
        <v>0.38741464798577502</v>
      </c>
      <c r="G3132">
        <v>0.12286417234293601</v>
      </c>
      <c r="H3132">
        <v>7.8605519482519398E-2</v>
      </c>
      <c r="I3132">
        <v>7.3270268073343595E-2</v>
      </c>
      <c r="J3132">
        <v>9.3745072910017602E-2</v>
      </c>
      <c r="K3132">
        <v>5.7828374364152599E-2</v>
      </c>
      <c r="L3132">
        <v>937.51396387596901</v>
      </c>
      <c r="M3132">
        <v>18.406255228305302</v>
      </c>
      <c r="N3132">
        <v>51.228000577207901</v>
      </c>
      <c r="O3132">
        <v>50.344738958662703</v>
      </c>
      <c r="P3132">
        <v>-8.6831528970857996E-2</v>
      </c>
      <c r="Q3132">
        <v>5.0037602852900702E-2</v>
      </c>
      <c r="R3132">
        <v>0.99566417880234803</v>
      </c>
      <c r="S3132" t="s">
        <v>6964</v>
      </c>
      <c r="T3132" t="s">
        <v>7662</v>
      </c>
      <c r="U3132" t="s">
        <v>7662</v>
      </c>
      <c r="V3132" t="s">
        <v>7662</v>
      </c>
      <c r="W3132">
        <v>6</v>
      </c>
      <c r="X3132" t="s">
        <v>10794</v>
      </c>
      <c r="Y3132">
        <v>0.41166566327496917</v>
      </c>
      <c r="Z3132" t="str">
        <f>HYPERLINK("Melting_Curves/meltCurve_sp_Q9Y4F1_FARP1_HUMAN_.pdf", "Melting_Curves/meltCurve_sp_Q9Y4F1_FARP1_HUMAN_.pdf")</f>
        <v>Melting_Curves/meltCurve_sp_Q9Y4F1_FARP1_HUMAN_.pdf</v>
      </c>
      <c r="AA3132" t="s">
        <v>14586</v>
      </c>
      <c r="AB3132" t="s">
        <v>18371</v>
      </c>
    </row>
    <row r="3133" spans="1:28" x14ac:dyDescent="0.25">
      <c r="A3133" t="s">
        <v>3137</v>
      </c>
      <c r="B3133">
        <v>0.98876768158843997</v>
      </c>
      <c r="C3133">
        <v>0.91882359494918198</v>
      </c>
      <c r="D3133">
        <v>0.88106140357659701</v>
      </c>
      <c r="E3133">
        <v>0.67912855921821902</v>
      </c>
      <c r="F3133">
        <v>0.20084839699781901</v>
      </c>
      <c r="G3133">
        <v>0.113868777630991</v>
      </c>
      <c r="H3133">
        <v>5.9865343422618601E-2</v>
      </c>
      <c r="I3133">
        <v>6.1149826562256399E-2</v>
      </c>
      <c r="J3133">
        <v>4.9591423654814899E-2</v>
      </c>
      <c r="K3133">
        <v>6.9375334698897201E-2</v>
      </c>
      <c r="L3133">
        <v>1717.3255530845099</v>
      </c>
      <c r="M3133">
        <v>33.850270966234397</v>
      </c>
      <c r="N3133">
        <v>50.928968464107299</v>
      </c>
      <c r="O3133">
        <v>50.556912905303399</v>
      </c>
      <c r="P3133">
        <v>-0.15716692749698599</v>
      </c>
      <c r="Q3133">
        <v>6.1060076239632201E-2</v>
      </c>
      <c r="R3133">
        <v>0.98771643377273799</v>
      </c>
      <c r="S3133" t="s">
        <v>6965</v>
      </c>
      <c r="T3133" t="s">
        <v>7662</v>
      </c>
      <c r="U3133" t="s">
        <v>7662</v>
      </c>
      <c r="V3133" t="s">
        <v>7662</v>
      </c>
      <c r="W3133">
        <v>17</v>
      </c>
      <c r="X3133" t="s">
        <v>10795</v>
      </c>
      <c r="Y3133">
        <v>0.40159111398985881</v>
      </c>
      <c r="Z3133" t="str">
        <f>HYPERLINK("Melting_Curves/meltCurve_sp_Q9Y4G6_TLN2_HUMAN_.pdf", "Melting_Curves/meltCurve_sp_Q9Y4G6_TLN2_HUMAN_.pdf")</f>
        <v>Melting_Curves/meltCurve_sp_Q9Y4G6_TLN2_HUMAN_.pdf</v>
      </c>
      <c r="AA3133" t="s">
        <v>14587</v>
      </c>
      <c r="AB3133" t="s">
        <v>18372</v>
      </c>
    </row>
    <row r="3134" spans="1:28" x14ac:dyDescent="0.25">
      <c r="A3134" t="s">
        <v>3138</v>
      </c>
      <c r="B3134">
        <v>0.98876768158843997</v>
      </c>
      <c r="C3134">
        <v>0.91730355563858601</v>
      </c>
      <c r="D3134">
        <v>0.84344712855581405</v>
      </c>
      <c r="E3134">
        <v>0.62988746190390399</v>
      </c>
      <c r="F3134">
        <v>0.58832883089952603</v>
      </c>
      <c r="G3134">
        <v>0.407576081104911</v>
      </c>
      <c r="H3134">
        <v>0.36907025586584802</v>
      </c>
      <c r="I3134">
        <v>0.43007523884119597</v>
      </c>
      <c r="J3134">
        <v>0.52951968597071797</v>
      </c>
      <c r="K3134">
        <v>0.69388545487006104</v>
      </c>
      <c r="L3134">
        <v>997.81183896158802</v>
      </c>
      <c r="M3134">
        <v>20.969274697964298</v>
      </c>
      <c r="N3134">
        <v>58.645843448649998</v>
      </c>
      <c r="O3134">
        <v>47.158065647136603</v>
      </c>
      <c r="P3134">
        <v>-5.6648766914822499E-2</v>
      </c>
      <c r="Q3134">
        <v>0.49042142369848002</v>
      </c>
      <c r="R3134">
        <v>0.82408352839013299</v>
      </c>
      <c r="S3134" t="s">
        <v>6966</v>
      </c>
      <c r="T3134" t="s">
        <v>7662</v>
      </c>
      <c r="U3134" t="s">
        <v>7662</v>
      </c>
      <c r="V3134" t="s">
        <v>7662</v>
      </c>
      <c r="W3134">
        <v>2</v>
      </c>
      <c r="X3134" t="s">
        <v>10796</v>
      </c>
      <c r="Y3134">
        <v>0.62585409648393064</v>
      </c>
      <c r="Z3134" t="str">
        <f>HYPERLINK("Melting_Curves/meltCurve_sp_Q9Y4H2_IRS2_HUMAN_.pdf", "Melting_Curves/meltCurve_sp_Q9Y4H2_IRS2_HUMAN_.pdf")</f>
        <v>Melting_Curves/meltCurve_sp_Q9Y4H2_IRS2_HUMAN_.pdf</v>
      </c>
      <c r="AA3134" t="s">
        <v>14588</v>
      </c>
      <c r="AB3134" t="s">
        <v>18373</v>
      </c>
    </row>
    <row r="3135" spans="1:28" x14ac:dyDescent="0.25">
      <c r="A3135" t="s">
        <v>3139</v>
      </c>
      <c r="B3135">
        <v>0.98876768158843997</v>
      </c>
      <c r="C3135">
        <v>1.08243405032587</v>
      </c>
      <c r="D3135">
        <v>0.91123119138043995</v>
      </c>
      <c r="E3135">
        <v>0.804485125140872</v>
      </c>
      <c r="F3135">
        <v>0.902288409382906</v>
      </c>
      <c r="G3135">
        <v>0.72071337112809197</v>
      </c>
      <c r="H3135">
        <v>0.568804464199402</v>
      </c>
      <c r="I3135">
        <v>0.68003465231753701</v>
      </c>
      <c r="J3135">
        <v>0.98149291789141901</v>
      </c>
      <c r="K3135">
        <v>1.02435518067999</v>
      </c>
      <c r="L3135">
        <v>11505.245946505</v>
      </c>
      <c r="M3135">
        <v>250</v>
      </c>
      <c r="O3135">
        <v>46.018038559651799</v>
      </c>
      <c r="P3135">
        <v>-0.25568891771128399</v>
      </c>
      <c r="Q3135">
        <v>0.81173915985659995</v>
      </c>
      <c r="R3135">
        <v>0.308747599005327</v>
      </c>
      <c r="S3135" t="s">
        <v>6967</v>
      </c>
      <c r="T3135" t="s">
        <v>7662</v>
      </c>
      <c r="U3135" t="s">
        <v>7662</v>
      </c>
      <c r="V3135" t="s">
        <v>7662</v>
      </c>
      <c r="W3135">
        <v>3</v>
      </c>
      <c r="X3135" t="s">
        <v>10797</v>
      </c>
      <c r="Y3135">
        <v>0.84953821382057726</v>
      </c>
      <c r="Z3135" t="str">
        <f>HYPERLINK("Melting_Curves/meltCurve_sp_Q9Y4K1_AIM1_HUMAN_.pdf", "Melting_Curves/meltCurve_sp_Q9Y4K1_AIM1_HUMAN_.pdf")</f>
        <v>Melting_Curves/meltCurve_sp_Q9Y4K1_AIM1_HUMAN_.pdf</v>
      </c>
      <c r="AA3135" t="s">
        <v>14589</v>
      </c>
      <c r="AB3135" t="s">
        <v>18374</v>
      </c>
    </row>
    <row r="3136" spans="1:28" x14ac:dyDescent="0.25">
      <c r="A3136" t="s">
        <v>3140</v>
      </c>
      <c r="B3136">
        <v>0.98876768158843997</v>
      </c>
      <c r="C3136">
        <v>1.2190656705237399</v>
      </c>
      <c r="D3136">
        <v>1.12434044488649</v>
      </c>
      <c r="E3136">
        <v>0.86871402203425196</v>
      </c>
      <c r="F3136">
        <v>0.19082998913379301</v>
      </c>
      <c r="G3136">
        <v>0.30276736690093398</v>
      </c>
      <c r="H3136">
        <v>0.15071215191752599</v>
      </c>
      <c r="I3136">
        <v>7.9932943136823004E-2</v>
      </c>
      <c r="J3136">
        <v>0.106751961947934</v>
      </c>
      <c r="K3136">
        <v>0</v>
      </c>
      <c r="L3136">
        <v>3741.6641990507501</v>
      </c>
      <c r="M3136">
        <v>73.104685116720702</v>
      </c>
      <c r="N3136">
        <v>51.389171945137498</v>
      </c>
      <c r="O3136">
        <v>51.144016278247598</v>
      </c>
      <c r="P3136">
        <v>-0.31179187545296899</v>
      </c>
      <c r="Q3136">
        <v>0.12748214638526101</v>
      </c>
      <c r="R3136">
        <v>0.94636092630494995</v>
      </c>
      <c r="S3136" t="s">
        <v>6968</v>
      </c>
      <c r="T3136" t="s">
        <v>7662</v>
      </c>
      <c r="U3136" t="s">
        <v>7662</v>
      </c>
      <c r="V3136" t="s">
        <v>7662</v>
      </c>
      <c r="W3136">
        <v>4</v>
      </c>
      <c r="X3136" t="s">
        <v>10798</v>
      </c>
      <c r="Y3136">
        <v>0.45362540456315681</v>
      </c>
      <c r="Z3136" t="str">
        <f>HYPERLINK("Melting_Curves/meltCurve_sp_Q9Y4K3_TRAF6_HUMAN_.pdf", "Melting_Curves/meltCurve_sp_Q9Y4K3_TRAF6_HUMAN_.pdf")</f>
        <v>Melting_Curves/meltCurve_sp_Q9Y4K3_TRAF6_HUMAN_.pdf</v>
      </c>
      <c r="AA3136" t="s">
        <v>14590</v>
      </c>
      <c r="AB3136" t="s">
        <v>18375</v>
      </c>
    </row>
    <row r="3137" spans="1:28" x14ac:dyDescent="0.25">
      <c r="A3137" t="s">
        <v>3141</v>
      </c>
      <c r="B3137">
        <v>0.98876768158843997</v>
      </c>
      <c r="C3137">
        <v>1.08035118387162</v>
      </c>
      <c r="D3137">
        <v>0.78500336858252195</v>
      </c>
      <c r="E3137">
        <v>0.54084084945816202</v>
      </c>
      <c r="F3137">
        <v>0.39546749377087798</v>
      </c>
      <c r="G3137">
        <v>0.209762944799329</v>
      </c>
      <c r="H3137">
        <v>0.16479685814687101</v>
      </c>
      <c r="I3137">
        <v>0.16254039133591</v>
      </c>
      <c r="J3137">
        <v>0.20673921236453199</v>
      </c>
      <c r="K3137">
        <v>0.250428987288075</v>
      </c>
      <c r="L3137">
        <v>993.40812221663396</v>
      </c>
      <c r="M3137">
        <v>20.1327526710066</v>
      </c>
      <c r="N3137">
        <v>50.533940041496997</v>
      </c>
      <c r="O3137">
        <v>48.863804177619102</v>
      </c>
      <c r="P3137">
        <v>-8.3549023324608299E-2</v>
      </c>
      <c r="Q3137">
        <v>0.18890503382575199</v>
      </c>
      <c r="R3137">
        <v>0.97568367630977404</v>
      </c>
      <c r="S3137" t="s">
        <v>6969</v>
      </c>
      <c r="T3137" t="s">
        <v>7662</v>
      </c>
      <c r="U3137" t="s">
        <v>7662</v>
      </c>
      <c r="V3137" t="s">
        <v>7662</v>
      </c>
      <c r="W3137">
        <v>4</v>
      </c>
      <c r="X3137" t="s">
        <v>10799</v>
      </c>
      <c r="Y3137">
        <v>0.45268485920217683</v>
      </c>
      <c r="Z3137" t="str">
        <f>HYPERLINK("Melting_Curves/meltCurve_sp_Q9Y4P8_3_WIPI2_HUMAN_.pdf", "Melting_Curves/meltCurve_sp_Q9Y4P8_3_WIPI2_HUMAN_.pdf")</f>
        <v>Melting_Curves/meltCurve_sp_Q9Y4P8_3_WIPI2_HUMAN_.pdf</v>
      </c>
      <c r="AA3137" t="s">
        <v>14591</v>
      </c>
      <c r="AB3137" t="s">
        <v>18376</v>
      </c>
    </row>
    <row r="3138" spans="1:28" x14ac:dyDescent="0.25">
      <c r="A3138" t="s">
        <v>3142</v>
      </c>
      <c r="B3138">
        <v>0.98876768158843997</v>
      </c>
      <c r="C3138">
        <v>1.1356211199928801</v>
      </c>
      <c r="D3138">
        <v>0.86428262861901395</v>
      </c>
      <c r="E3138">
        <v>0.55123386803518404</v>
      </c>
      <c r="F3138">
        <v>0.36776621373726998</v>
      </c>
      <c r="G3138">
        <v>0.16291093785498001</v>
      </c>
      <c r="H3138">
        <v>0.15185874606981201</v>
      </c>
      <c r="I3138">
        <v>0.16212150539464201</v>
      </c>
      <c r="J3138">
        <v>0.242873079155454</v>
      </c>
      <c r="K3138">
        <v>0.190298396553397</v>
      </c>
      <c r="L3138">
        <v>1243.1647207918199</v>
      </c>
      <c r="M3138">
        <v>24.995999565194399</v>
      </c>
      <c r="N3138">
        <v>50.632143260957299</v>
      </c>
      <c r="O3138">
        <v>49.419502428231098</v>
      </c>
      <c r="P3138">
        <v>-0.103817005346053</v>
      </c>
      <c r="Q3138">
        <v>0.178986142701344</v>
      </c>
      <c r="R3138">
        <v>0.97353811836051596</v>
      </c>
      <c r="S3138" t="s">
        <v>6970</v>
      </c>
      <c r="T3138" t="s">
        <v>7662</v>
      </c>
      <c r="U3138" t="s">
        <v>7662</v>
      </c>
      <c r="V3138" t="s">
        <v>7662</v>
      </c>
      <c r="W3138">
        <v>2</v>
      </c>
      <c r="X3138" t="s">
        <v>10800</v>
      </c>
      <c r="Y3138">
        <v>0.4527140160678832</v>
      </c>
      <c r="Z3138" t="str">
        <f>HYPERLINK("Melting_Curves/meltCurve_sp_Q9Y4U1_MMAC_HUMAN_.pdf", "Melting_Curves/meltCurve_sp_Q9Y4U1_MMAC_HUMAN_.pdf")</f>
        <v>Melting_Curves/meltCurve_sp_Q9Y4U1_MMAC_HUMAN_.pdf</v>
      </c>
      <c r="AA3138" t="s">
        <v>14592</v>
      </c>
      <c r="AB3138" t="s">
        <v>18377</v>
      </c>
    </row>
    <row r="3139" spans="1:28" x14ac:dyDescent="0.25">
      <c r="A3139" t="s">
        <v>3143</v>
      </c>
      <c r="B3139">
        <v>0.98876768158843997</v>
      </c>
      <c r="C3139">
        <v>0.93064931489556602</v>
      </c>
      <c r="D3139">
        <v>0.82077479792670005</v>
      </c>
      <c r="E3139">
        <v>0.47735682654983103</v>
      </c>
      <c r="F3139">
        <v>0.28618466847861901</v>
      </c>
      <c r="G3139">
        <v>0.15790361057420199</v>
      </c>
      <c r="H3139">
        <v>7.2413392723364098E-2</v>
      </c>
      <c r="I3139">
        <v>7.1765579804730598E-2</v>
      </c>
      <c r="J3139">
        <v>8.3906345604985999E-2</v>
      </c>
      <c r="K3139">
        <v>6.85457579425479E-2</v>
      </c>
      <c r="L3139">
        <v>884.81892089341102</v>
      </c>
      <c r="M3139">
        <v>17.879939555690601</v>
      </c>
      <c r="N3139">
        <v>49.8577738286657</v>
      </c>
      <c r="O3139">
        <v>48.880104907060698</v>
      </c>
      <c r="P3139">
        <v>-8.5754847177884203E-2</v>
      </c>
      <c r="Q3139">
        <v>6.23023290216103E-2</v>
      </c>
      <c r="R3139">
        <v>0.99898114672257798</v>
      </c>
      <c r="S3139" t="s">
        <v>6971</v>
      </c>
      <c r="T3139" t="s">
        <v>7662</v>
      </c>
      <c r="U3139" t="s">
        <v>7662</v>
      </c>
      <c r="V3139" t="s">
        <v>7662</v>
      </c>
      <c r="W3139">
        <v>4</v>
      </c>
      <c r="X3139" t="s">
        <v>10801</v>
      </c>
      <c r="Y3139">
        <v>0.37514244522178558</v>
      </c>
      <c r="Z3139" t="str">
        <f>HYPERLINK("Melting_Curves/meltCurve_sp_Q9Y4W6_AFG32_HUMAN_.pdf", "Melting_Curves/meltCurve_sp_Q9Y4W6_AFG32_HUMAN_.pdf")</f>
        <v>Melting_Curves/meltCurve_sp_Q9Y4W6_AFG32_HUMAN_.pdf</v>
      </c>
      <c r="AA3139" t="s">
        <v>14593</v>
      </c>
      <c r="AB3139" t="s">
        <v>18378</v>
      </c>
    </row>
    <row r="3140" spans="1:28" x14ac:dyDescent="0.25">
      <c r="A3140" t="s">
        <v>3144</v>
      </c>
      <c r="B3140">
        <v>0.98876768158843997</v>
      </c>
      <c r="C3140">
        <v>0.98689886278929495</v>
      </c>
      <c r="D3140">
        <v>0.85633866302606798</v>
      </c>
      <c r="E3140">
        <v>0.77204186457149504</v>
      </c>
      <c r="F3140">
        <v>0.78965204521049703</v>
      </c>
      <c r="G3140">
        <v>0.515933743118698</v>
      </c>
      <c r="H3140">
        <v>0.29857166702724203</v>
      </c>
      <c r="I3140">
        <v>0.137010928272745</v>
      </c>
      <c r="J3140">
        <v>9.8345960574140495E-2</v>
      </c>
      <c r="K3140">
        <v>9.9765022237157899E-2</v>
      </c>
      <c r="L3140">
        <v>715.24592122915101</v>
      </c>
      <c r="M3140">
        <v>12.602343768131</v>
      </c>
      <c r="N3140">
        <v>56.754990453251203</v>
      </c>
      <c r="O3140">
        <v>55.382792723999003</v>
      </c>
      <c r="P3140">
        <v>-5.68987743872678E-2</v>
      </c>
      <c r="Q3140">
        <v>0</v>
      </c>
      <c r="R3140">
        <v>0.97888097625756898</v>
      </c>
      <c r="S3140" t="s">
        <v>6972</v>
      </c>
      <c r="T3140" t="s">
        <v>7662</v>
      </c>
      <c r="U3140" t="s">
        <v>7662</v>
      </c>
      <c r="V3140" t="s">
        <v>7662</v>
      </c>
      <c r="W3140">
        <v>6</v>
      </c>
      <c r="X3140" t="s">
        <v>10802</v>
      </c>
      <c r="Y3140">
        <v>0.57612028700490003</v>
      </c>
      <c r="Z3140" t="str">
        <f>HYPERLINK("Melting_Curves/meltCurve_sp_Q9Y4X5_ARI1_HUMAN_.pdf", "Melting_Curves/meltCurve_sp_Q9Y4X5_ARI1_HUMAN_.pdf")</f>
        <v>Melting_Curves/meltCurve_sp_Q9Y4X5_ARI1_HUMAN_.pdf</v>
      </c>
      <c r="AA3140" t="s">
        <v>14594</v>
      </c>
      <c r="AB3140" t="s">
        <v>18379</v>
      </c>
    </row>
    <row r="3141" spans="1:28" x14ac:dyDescent="0.25">
      <c r="A3141" t="s">
        <v>3145</v>
      </c>
      <c r="B3141">
        <v>0.98876768158843997</v>
      </c>
      <c r="C3141">
        <v>0.91630638073150406</v>
      </c>
      <c r="D3141">
        <v>0.87327953454123797</v>
      </c>
      <c r="E3141">
        <v>0.79135484137882195</v>
      </c>
      <c r="F3141">
        <v>0.76214322407264301</v>
      </c>
      <c r="G3141">
        <v>0.51164650417548496</v>
      </c>
      <c r="H3141">
        <v>0.39327761426141999</v>
      </c>
      <c r="I3141">
        <v>0.36803474582775902</v>
      </c>
      <c r="J3141">
        <v>0.33279500417546998</v>
      </c>
      <c r="K3141">
        <v>0.28482979843251199</v>
      </c>
      <c r="L3141">
        <v>523.91068802479299</v>
      </c>
      <c r="M3141">
        <v>9.3863413325123606</v>
      </c>
      <c r="N3141">
        <v>58.455785125820199</v>
      </c>
      <c r="O3141">
        <v>53.4586164020251</v>
      </c>
      <c r="P3141">
        <v>-3.6335706230423502E-2</v>
      </c>
      <c r="Q3141">
        <v>0.17273216652846199</v>
      </c>
      <c r="R3141">
        <v>0.98375193941450201</v>
      </c>
      <c r="S3141" t="s">
        <v>6973</v>
      </c>
      <c r="T3141" t="s">
        <v>7662</v>
      </c>
      <c r="U3141" t="s">
        <v>7662</v>
      </c>
      <c r="V3141" t="s">
        <v>7662</v>
      </c>
      <c r="W3141">
        <v>4</v>
      </c>
      <c r="X3141" t="s">
        <v>10803</v>
      </c>
      <c r="Y3141">
        <v>0.62709079191689343</v>
      </c>
      <c r="Z3141" t="str">
        <f>HYPERLINK("Melting_Curves/meltCurve_sp_Q9Y4Z0_LSM4_HUMAN_.pdf", "Melting_Curves/meltCurve_sp_Q9Y4Z0_LSM4_HUMAN_.pdf")</f>
        <v>Melting_Curves/meltCurve_sp_Q9Y4Z0_LSM4_HUMAN_.pdf</v>
      </c>
      <c r="AA3141" t="s">
        <v>14595</v>
      </c>
      <c r="AB3141" t="s">
        <v>18380</v>
      </c>
    </row>
    <row r="3142" spans="1:28" x14ac:dyDescent="0.25">
      <c r="A3142" t="s">
        <v>3146</v>
      </c>
      <c r="B3142">
        <v>0.98876768158843997</v>
      </c>
      <c r="C3142">
        <v>1.14993816990052</v>
      </c>
      <c r="D3142">
        <v>0.90845376098905395</v>
      </c>
      <c r="E3142">
        <v>0.85530213726579596</v>
      </c>
      <c r="F3142">
        <v>1.0259791181845199</v>
      </c>
      <c r="G3142">
        <v>0.73236174617310401</v>
      </c>
      <c r="H3142">
        <v>0.59321948127507595</v>
      </c>
      <c r="I3142">
        <v>0.65832136484871595</v>
      </c>
      <c r="J3142">
        <v>0.97580933931135205</v>
      </c>
      <c r="K3142">
        <v>0.90272537271098996</v>
      </c>
      <c r="L3142">
        <v>13720.913527049401</v>
      </c>
      <c r="M3142">
        <v>250</v>
      </c>
      <c r="O3142">
        <v>54.880141944820103</v>
      </c>
      <c r="P3142">
        <v>-0.25910477155686801</v>
      </c>
      <c r="Q3142">
        <v>0.772484694110396</v>
      </c>
      <c r="R3142">
        <v>0.41661379034933999</v>
      </c>
      <c r="S3142" t="s">
        <v>6974</v>
      </c>
      <c r="T3142" t="s">
        <v>7662</v>
      </c>
      <c r="U3142" t="s">
        <v>7662</v>
      </c>
      <c r="V3142" t="s">
        <v>7662</v>
      </c>
      <c r="W3142">
        <v>4</v>
      </c>
      <c r="X3142" t="s">
        <v>10804</v>
      </c>
      <c r="Y3142">
        <v>0.88538191228130336</v>
      </c>
      <c r="Z3142" t="str">
        <f>HYPERLINK("Melting_Curves/meltCurve_sp_Q9Y508_RN114_HUMAN_.pdf", "Melting_Curves/meltCurve_sp_Q9Y508_RN114_HUMAN_.pdf")</f>
        <v>Melting_Curves/meltCurve_sp_Q9Y508_RN114_HUMAN_.pdf</v>
      </c>
      <c r="AA3142" t="s">
        <v>14596</v>
      </c>
      <c r="AB3142" t="s">
        <v>18381</v>
      </c>
    </row>
    <row r="3143" spans="1:28" x14ac:dyDescent="0.25">
      <c r="A3143" t="s">
        <v>3147</v>
      </c>
      <c r="B3143">
        <v>0.98876768158843997</v>
      </c>
      <c r="C3143">
        <v>1.0953123768285999</v>
      </c>
      <c r="D3143">
        <v>0.85851327303312097</v>
      </c>
      <c r="E3143">
        <v>0.71518760982195195</v>
      </c>
      <c r="F3143">
        <v>0.88792395231598098</v>
      </c>
      <c r="G3143">
        <v>0.65687560180830495</v>
      </c>
      <c r="H3143">
        <v>0.54146968846985599</v>
      </c>
      <c r="I3143">
        <v>0.614105668736599</v>
      </c>
      <c r="J3143">
        <v>0.78753071460229895</v>
      </c>
      <c r="K3143">
        <v>0.92407873604180801</v>
      </c>
      <c r="L3143">
        <v>11494.689448993</v>
      </c>
      <c r="M3143">
        <v>250</v>
      </c>
      <c r="O3143">
        <v>45.975815470488698</v>
      </c>
      <c r="P3143">
        <v>-0.36370597675676303</v>
      </c>
      <c r="Q3143">
        <v>0.73245313840593296</v>
      </c>
      <c r="R3143">
        <v>0.53394157488165706</v>
      </c>
      <c r="S3143" t="s">
        <v>6975</v>
      </c>
      <c r="T3143" t="s">
        <v>7662</v>
      </c>
      <c r="U3143" t="s">
        <v>7662</v>
      </c>
      <c r="V3143" t="s">
        <v>7662</v>
      </c>
      <c r="W3143">
        <v>29</v>
      </c>
      <c r="X3143" t="s">
        <v>10805</v>
      </c>
      <c r="Y3143">
        <v>0.78579465678322991</v>
      </c>
      <c r="Z3143" t="str">
        <f>HYPERLINK("Melting_Curves/meltCurve_sp_Q9Y520_4_PRC2C_HUMAN_.pdf", "Melting_Curves/meltCurve_sp_Q9Y520_4_PRC2C_HUMAN_.pdf")</f>
        <v>Melting_Curves/meltCurve_sp_Q9Y520_4_PRC2C_HUMAN_.pdf</v>
      </c>
      <c r="AA3143" t="s">
        <v>14597</v>
      </c>
      <c r="AB3143" t="s">
        <v>18382</v>
      </c>
    </row>
    <row r="3144" spans="1:28" x14ac:dyDescent="0.25">
      <c r="A3144" t="s">
        <v>3148</v>
      </c>
      <c r="B3144">
        <v>0.98876768158843997</v>
      </c>
      <c r="C3144">
        <v>1.0171672797570299</v>
      </c>
      <c r="D3144">
        <v>0.87560302638595999</v>
      </c>
      <c r="E3144">
        <v>0.73270820760577704</v>
      </c>
      <c r="F3144">
        <v>0.71894243896161503</v>
      </c>
      <c r="G3144">
        <v>0.22823470089626299</v>
      </c>
      <c r="H3144">
        <v>9.17759328883717E-2</v>
      </c>
      <c r="I3144">
        <v>7.9385846364366505E-2</v>
      </c>
      <c r="J3144">
        <v>7.0357037275479095E-2</v>
      </c>
      <c r="K3144">
        <v>9.3627970869919003E-2</v>
      </c>
      <c r="L3144">
        <v>999.52381483671104</v>
      </c>
      <c r="M3144">
        <v>18.5556633519098</v>
      </c>
      <c r="N3144">
        <v>54.082374884300698</v>
      </c>
      <c r="O3144">
        <v>53.252313543404902</v>
      </c>
      <c r="P3144">
        <v>-8.4002659988580905E-2</v>
      </c>
      <c r="Q3144">
        <v>3.5735924082207798E-2</v>
      </c>
      <c r="R3144">
        <v>0.97412927481119405</v>
      </c>
      <c r="S3144" t="s">
        <v>6976</v>
      </c>
      <c r="T3144" t="s">
        <v>7662</v>
      </c>
      <c r="U3144" t="s">
        <v>7662</v>
      </c>
      <c r="V3144" t="s">
        <v>7662</v>
      </c>
      <c r="W3144">
        <v>5</v>
      </c>
      <c r="X3144" t="s">
        <v>10806</v>
      </c>
      <c r="Y3144">
        <v>0.49621150714393431</v>
      </c>
      <c r="Z3144" t="str">
        <f>HYPERLINK("Melting_Curves/meltCurve_sp_Q9Y570_PPME1_HUMAN_.pdf", "Melting_Curves/meltCurve_sp_Q9Y570_PPME1_HUMAN_.pdf")</f>
        <v>Melting_Curves/meltCurve_sp_Q9Y570_PPME1_HUMAN_.pdf</v>
      </c>
      <c r="AA3144" t="s">
        <v>14598</v>
      </c>
      <c r="AB3144" t="s">
        <v>18383</v>
      </c>
    </row>
    <row r="3145" spans="1:28" x14ac:dyDescent="0.25">
      <c r="A3145" t="s">
        <v>3149</v>
      </c>
      <c r="B3145">
        <v>0.98876768158843997</v>
      </c>
      <c r="C3145">
        <v>0.24219881584932099</v>
      </c>
      <c r="D3145">
        <v>0.82458762629795401</v>
      </c>
      <c r="E3145">
        <v>1.31638376658338</v>
      </c>
      <c r="F3145">
        <v>0.24322615674161699</v>
      </c>
      <c r="G3145">
        <v>0.52698393823119205</v>
      </c>
      <c r="H3145">
        <v>0.382602025010914</v>
      </c>
      <c r="I3145">
        <v>0.48554495719664098</v>
      </c>
      <c r="J3145">
        <v>0.80494162191839802</v>
      </c>
      <c r="K3145">
        <v>0.60390862457277095</v>
      </c>
      <c r="L3145">
        <v>247.49244616341801</v>
      </c>
      <c r="M3145">
        <v>5.9864487925151204</v>
      </c>
      <c r="Q3145">
        <v>0.52924913031579501</v>
      </c>
      <c r="R3145">
        <v>5.0865142402126903E-2</v>
      </c>
      <c r="S3145" t="s">
        <v>6977</v>
      </c>
      <c r="T3145" t="s">
        <v>7662</v>
      </c>
      <c r="U3145" t="s">
        <v>7662</v>
      </c>
      <c r="V3145" t="s">
        <v>7662</v>
      </c>
      <c r="W3145">
        <v>7</v>
      </c>
      <c r="X3145" t="s">
        <v>10807</v>
      </c>
      <c r="Y3145">
        <v>0.63621494024176717</v>
      </c>
      <c r="Z3145" t="str">
        <f>HYPERLINK("Melting_Curves/meltCurve_sp_Q9Y5A9_2_YTHD2_HUMAN_.pdf", "Melting_Curves/meltCurve_sp_Q9Y5A9_2_YTHD2_HUMAN_.pdf")</f>
        <v>Melting_Curves/meltCurve_sp_Q9Y5A9_2_YTHD2_HUMAN_.pdf</v>
      </c>
      <c r="AA3145" t="s">
        <v>14599</v>
      </c>
      <c r="AB3145" t="s">
        <v>18384</v>
      </c>
    </row>
    <row r="3146" spans="1:28" x14ac:dyDescent="0.25">
      <c r="A3146" t="s">
        <v>3150</v>
      </c>
      <c r="B3146">
        <v>0.98876768158843997</v>
      </c>
      <c r="C3146">
        <v>0.98679873104677696</v>
      </c>
      <c r="D3146">
        <v>0.88308417335785006</v>
      </c>
      <c r="E3146">
        <v>0.58378574732852395</v>
      </c>
      <c r="F3146">
        <v>0.40360248013654898</v>
      </c>
      <c r="G3146">
        <v>0.26567492060977099</v>
      </c>
      <c r="H3146">
        <v>0.17847523542209701</v>
      </c>
      <c r="I3146">
        <v>0.192975597696629</v>
      </c>
      <c r="J3146">
        <v>0.22728955336955001</v>
      </c>
      <c r="K3146">
        <v>0.19539299921209499</v>
      </c>
      <c r="L3146">
        <v>1005.56172299511</v>
      </c>
      <c r="M3146">
        <v>20.108084603665699</v>
      </c>
      <c r="N3146">
        <v>51.248786809372298</v>
      </c>
      <c r="O3146">
        <v>49.5211206247101</v>
      </c>
      <c r="P3146">
        <v>-8.1950048058564096E-2</v>
      </c>
      <c r="Q3146">
        <v>0.19273685569090401</v>
      </c>
      <c r="R3146">
        <v>0.99720891014282398</v>
      </c>
      <c r="S3146" t="s">
        <v>6978</v>
      </c>
      <c r="T3146" t="s">
        <v>7662</v>
      </c>
      <c r="U3146" t="s">
        <v>7662</v>
      </c>
      <c r="V3146" t="s">
        <v>7662</v>
      </c>
      <c r="W3146">
        <v>3</v>
      </c>
      <c r="X3146" t="s">
        <v>10808</v>
      </c>
      <c r="Y3146">
        <v>0.4731555960674349</v>
      </c>
      <c r="Z3146" t="str">
        <f>HYPERLINK("Melting_Curves/meltCurve_sp_Q9Y5B0_CTDP1_HUMAN_.pdf", "Melting_Curves/meltCurve_sp_Q9Y5B0_CTDP1_HUMAN_.pdf")</f>
        <v>Melting_Curves/meltCurve_sp_Q9Y5B0_CTDP1_HUMAN_.pdf</v>
      </c>
      <c r="AA3146" t="s">
        <v>14600</v>
      </c>
      <c r="AB3146" t="s">
        <v>18385</v>
      </c>
    </row>
    <row r="3147" spans="1:28" x14ac:dyDescent="0.25">
      <c r="A3147" t="s">
        <v>3151</v>
      </c>
      <c r="B3147">
        <v>0.98876768158843997</v>
      </c>
      <c r="C3147">
        <v>1.03160082905226</v>
      </c>
      <c r="D3147">
        <v>0.90444131373442604</v>
      </c>
      <c r="E3147">
        <v>0.71197437182416401</v>
      </c>
      <c r="F3147">
        <v>0.27030125135692401</v>
      </c>
      <c r="G3147">
        <v>7.8751594402446404E-2</v>
      </c>
      <c r="H3147">
        <v>3.6542242522709899E-2</v>
      </c>
      <c r="I3147">
        <v>0</v>
      </c>
      <c r="J3147">
        <v>0</v>
      </c>
      <c r="K3147">
        <v>0</v>
      </c>
      <c r="L3147">
        <v>1459.7742979171601</v>
      </c>
      <c r="M3147">
        <v>28.432975149234299</v>
      </c>
      <c r="N3147">
        <v>51.363590566270297</v>
      </c>
      <c r="O3147">
        <v>51.088943239036901</v>
      </c>
      <c r="P3147">
        <v>-0.13826714739537699</v>
      </c>
      <c r="Q3147">
        <v>6.2432714724613998E-3</v>
      </c>
      <c r="R3147">
        <v>0.99602297075119695</v>
      </c>
      <c r="S3147" t="s">
        <v>6979</v>
      </c>
      <c r="T3147" t="s">
        <v>7662</v>
      </c>
      <c r="U3147" t="s">
        <v>7662</v>
      </c>
      <c r="V3147" t="s">
        <v>7662</v>
      </c>
      <c r="W3147">
        <v>1</v>
      </c>
      <c r="X3147" t="s">
        <v>10809</v>
      </c>
      <c r="Y3147">
        <v>0.38890449594493892</v>
      </c>
      <c r="Z3147" t="str">
        <f>HYPERLINK("Melting_Curves/meltCurve_sp_Q9Y5B9_SP16H_HUMAN_.pdf", "Melting_Curves/meltCurve_sp_Q9Y5B9_SP16H_HUMAN_.pdf")</f>
        <v>Melting_Curves/meltCurve_sp_Q9Y5B9_SP16H_HUMAN_.pdf</v>
      </c>
      <c r="AA3147" t="s">
        <v>14601</v>
      </c>
      <c r="AB3147" t="s">
        <v>18386</v>
      </c>
    </row>
    <row r="3148" spans="1:28" x14ac:dyDescent="0.25">
      <c r="A3148" t="s">
        <v>3152</v>
      </c>
      <c r="B3148">
        <v>0.98876768158843997</v>
      </c>
      <c r="C3148">
        <v>0.92583474910153496</v>
      </c>
      <c r="D3148">
        <v>0.83031226816194703</v>
      </c>
      <c r="E3148">
        <v>0.68597746287444605</v>
      </c>
      <c r="F3148">
        <v>0.66585188581399601</v>
      </c>
      <c r="G3148">
        <v>0.48932534670745698</v>
      </c>
      <c r="H3148">
        <v>0.34411014443043902</v>
      </c>
      <c r="I3148">
        <v>0.35516825117337703</v>
      </c>
      <c r="J3148">
        <v>0.358650721212396</v>
      </c>
      <c r="K3148">
        <v>0.41323365204622697</v>
      </c>
      <c r="L3148">
        <v>580.77688501063994</v>
      </c>
      <c r="M3148">
        <v>11.3312775340119</v>
      </c>
      <c r="N3148">
        <v>56.304266723424398</v>
      </c>
      <c r="O3148">
        <v>49.735827976822499</v>
      </c>
      <c r="P3148">
        <v>-3.8797592318230399E-2</v>
      </c>
      <c r="Q3148">
        <v>0.31903536008060301</v>
      </c>
      <c r="R3148">
        <v>0.97123411106711999</v>
      </c>
      <c r="S3148" t="s">
        <v>6980</v>
      </c>
      <c r="T3148" t="s">
        <v>7662</v>
      </c>
      <c r="U3148" t="s">
        <v>7662</v>
      </c>
      <c r="V3148" t="s">
        <v>7662</v>
      </c>
      <c r="W3148">
        <v>6</v>
      </c>
      <c r="X3148" t="s">
        <v>10810</v>
      </c>
      <c r="Y3148">
        <v>0.59813921561890282</v>
      </c>
      <c r="Z3148" t="str">
        <f>HYPERLINK("Melting_Curves/meltCurve_sp_Q9Y5J7_TIM9_HUMAN_.pdf", "Melting_Curves/meltCurve_sp_Q9Y5J7_TIM9_HUMAN_.pdf")</f>
        <v>Melting_Curves/meltCurve_sp_Q9Y5J7_TIM9_HUMAN_.pdf</v>
      </c>
      <c r="AA3148" t="s">
        <v>14602</v>
      </c>
      <c r="AB3148" t="s">
        <v>18387</v>
      </c>
    </row>
    <row r="3149" spans="1:28" x14ac:dyDescent="0.25">
      <c r="A3149" t="s">
        <v>3153</v>
      </c>
      <c r="B3149">
        <v>0.98876768158843997</v>
      </c>
      <c r="C3149">
        <v>0.99277060840775999</v>
      </c>
      <c r="D3149">
        <v>0.96550949790915697</v>
      </c>
      <c r="E3149">
        <v>0.80483496314810499</v>
      </c>
      <c r="F3149">
        <v>0.77267834708795902</v>
      </c>
      <c r="G3149">
        <v>0.47847437171111801</v>
      </c>
      <c r="H3149">
        <v>0.41778272768665398</v>
      </c>
      <c r="I3149">
        <v>0.46249743329342202</v>
      </c>
      <c r="J3149">
        <v>0.58906993748567105</v>
      </c>
      <c r="K3149">
        <v>0.63304601335788702</v>
      </c>
      <c r="L3149">
        <v>1297.0660261779201</v>
      </c>
      <c r="M3149">
        <v>25.080671622076899</v>
      </c>
      <c r="O3149">
        <v>51.390349458251102</v>
      </c>
      <c r="P3149">
        <v>-5.9271795296461802E-2</v>
      </c>
      <c r="Q3149">
        <v>0.51421431136597495</v>
      </c>
      <c r="R3149">
        <v>0.88920336442027303</v>
      </c>
      <c r="S3149" t="s">
        <v>6981</v>
      </c>
      <c r="T3149" t="s">
        <v>7662</v>
      </c>
      <c r="U3149" t="s">
        <v>7662</v>
      </c>
      <c r="V3149" t="s">
        <v>7662</v>
      </c>
      <c r="W3149">
        <v>4</v>
      </c>
      <c r="X3149" t="s">
        <v>10811</v>
      </c>
      <c r="Y3149">
        <v>0.70832057212967636</v>
      </c>
      <c r="Z3149" t="str">
        <f>HYPERLINK("Melting_Curves/meltCurve_sp_Q9Y5J9_TIM8B_HUMAN_.pdf", "Melting_Curves/meltCurve_sp_Q9Y5J9_TIM8B_HUMAN_.pdf")</f>
        <v>Melting_Curves/meltCurve_sp_Q9Y5J9_TIM8B_HUMAN_.pdf</v>
      </c>
      <c r="AA3149" t="s">
        <v>14603</v>
      </c>
      <c r="AB3149" t="s">
        <v>18388</v>
      </c>
    </row>
    <row r="3150" spans="1:28" x14ac:dyDescent="0.25">
      <c r="A3150" t="s">
        <v>3154</v>
      </c>
      <c r="B3150">
        <v>0.98876768158843997</v>
      </c>
      <c r="C3150">
        <v>1.01497369122646</v>
      </c>
      <c r="D3150">
        <v>0.85036301208381904</v>
      </c>
      <c r="E3150">
        <v>0.61537345867876903</v>
      </c>
      <c r="F3150">
        <v>0.35129747660585098</v>
      </c>
      <c r="G3150">
        <v>0.14258789343348999</v>
      </c>
      <c r="H3150">
        <v>8.1630224683650096E-2</v>
      </c>
      <c r="I3150">
        <v>7.9993996391110905E-2</v>
      </c>
      <c r="J3150">
        <v>8.96072991645918E-2</v>
      </c>
      <c r="K3150">
        <v>7.7946293393356694E-2</v>
      </c>
      <c r="L3150">
        <v>998.97872764611202</v>
      </c>
      <c r="M3150">
        <v>19.694533670774099</v>
      </c>
      <c r="N3150">
        <v>51.0853736535663</v>
      </c>
      <c r="O3150">
        <v>50.209377975132497</v>
      </c>
      <c r="P3150">
        <v>-9.16831280055347E-2</v>
      </c>
      <c r="Q3150">
        <v>6.5081982806731706E-2</v>
      </c>
      <c r="R3150">
        <v>0.99684202392664401</v>
      </c>
      <c r="S3150" t="s">
        <v>6982</v>
      </c>
      <c r="T3150" t="s">
        <v>7662</v>
      </c>
      <c r="U3150" t="s">
        <v>7662</v>
      </c>
      <c r="V3150" t="s">
        <v>7662</v>
      </c>
      <c r="W3150">
        <v>8</v>
      </c>
      <c r="X3150" t="s">
        <v>10812</v>
      </c>
      <c r="Y3150">
        <v>0.41264339608142381</v>
      </c>
      <c r="Z3150" t="str">
        <f>HYPERLINK("Melting_Curves/meltCurve_sp_Q9Y5K5_2_UCHL5_HUMAN_.pdf", "Melting_Curves/meltCurve_sp_Q9Y5K5_2_UCHL5_HUMAN_.pdf")</f>
        <v>Melting_Curves/meltCurve_sp_Q9Y5K5_2_UCHL5_HUMAN_.pdf</v>
      </c>
      <c r="AA3150" t="s">
        <v>14604</v>
      </c>
      <c r="AB3150" t="s">
        <v>18389</v>
      </c>
    </row>
    <row r="3151" spans="1:28" x14ac:dyDescent="0.25">
      <c r="A3151" t="s">
        <v>3155</v>
      </c>
      <c r="B3151">
        <v>0.98876768158843997</v>
      </c>
      <c r="C3151">
        <v>1.0712732394476701</v>
      </c>
      <c r="D3151">
        <v>0.915972936142737</v>
      </c>
      <c r="E3151">
        <v>0.82455165598313696</v>
      </c>
      <c r="F3151">
        <v>0.81702927838144801</v>
      </c>
      <c r="G3151">
        <v>0.61789932266766801</v>
      </c>
      <c r="H3151">
        <v>0.47946960751182199</v>
      </c>
      <c r="I3151">
        <v>0.57367842101720801</v>
      </c>
      <c r="J3151">
        <v>0.59554658227351298</v>
      </c>
      <c r="K3151">
        <v>0.79805983507528999</v>
      </c>
      <c r="L3151">
        <v>1095.5335323404499</v>
      </c>
      <c r="M3151">
        <v>21.380563784396799</v>
      </c>
      <c r="O3151">
        <v>50.797756528072298</v>
      </c>
      <c r="P3151">
        <v>-4.1061472545422098E-2</v>
      </c>
      <c r="Q3151">
        <v>0.60978039148443397</v>
      </c>
      <c r="R3151">
        <v>0.78283960209014603</v>
      </c>
      <c r="S3151" t="s">
        <v>6983</v>
      </c>
      <c r="T3151" t="s">
        <v>7662</v>
      </c>
      <c r="U3151" t="s">
        <v>7662</v>
      </c>
      <c r="V3151" t="s">
        <v>7662</v>
      </c>
      <c r="W3151">
        <v>17</v>
      </c>
      <c r="X3151" t="s">
        <v>10813</v>
      </c>
      <c r="Y3151">
        <v>0.76075617072503288</v>
      </c>
      <c r="Z3151" t="str">
        <f>HYPERLINK("Melting_Curves/meltCurve_sp_Q9Y5K6_CD2AP_HUMAN_.pdf", "Melting_Curves/meltCurve_sp_Q9Y5K6_CD2AP_HUMAN_.pdf")</f>
        <v>Melting_Curves/meltCurve_sp_Q9Y5K6_CD2AP_HUMAN_.pdf</v>
      </c>
      <c r="AA3151" t="s">
        <v>14605</v>
      </c>
      <c r="AB3151" t="s">
        <v>18390</v>
      </c>
    </row>
    <row r="3152" spans="1:28" x14ac:dyDescent="0.25">
      <c r="A3152" t="s">
        <v>3156</v>
      </c>
      <c r="B3152">
        <v>0.98876768158843997</v>
      </c>
      <c r="C3152">
        <v>0.97791483852347305</v>
      </c>
      <c r="D3152">
        <v>1.08233876541621</v>
      </c>
      <c r="E3152">
        <v>1.01049418536923</v>
      </c>
      <c r="F3152">
        <v>0.62206673444143401</v>
      </c>
      <c r="G3152">
        <v>0.46256579016460497</v>
      </c>
      <c r="H3152">
        <v>0.33397808350348002</v>
      </c>
      <c r="I3152">
        <v>0.142953354791542</v>
      </c>
      <c r="J3152">
        <v>0.17981829849440301</v>
      </c>
      <c r="K3152">
        <v>0.20257225527952499</v>
      </c>
      <c r="L3152">
        <v>1177.80378841076</v>
      </c>
      <c r="M3152">
        <v>21.520917572947699</v>
      </c>
      <c r="N3152">
        <v>55.891328138876901</v>
      </c>
      <c r="O3152">
        <v>54.262358043753899</v>
      </c>
      <c r="P3152">
        <v>-8.1258362845352802E-2</v>
      </c>
      <c r="Q3152">
        <v>0.18048794101002599</v>
      </c>
      <c r="R3152">
        <v>0.96649355897848299</v>
      </c>
      <c r="S3152" t="s">
        <v>6984</v>
      </c>
      <c r="T3152" t="s">
        <v>7662</v>
      </c>
      <c r="U3152" t="s">
        <v>7662</v>
      </c>
      <c r="V3152" t="s">
        <v>7662</v>
      </c>
      <c r="W3152">
        <v>6</v>
      </c>
      <c r="X3152" t="s">
        <v>10814</v>
      </c>
      <c r="Y3152">
        <v>0.59260928403238289</v>
      </c>
      <c r="Z3152" t="str">
        <f>HYPERLINK("Melting_Curves/meltCurve_sp_Q9Y5K8_VATD_HUMAN_.pdf", "Melting_Curves/meltCurve_sp_Q9Y5K8_VATD_HUMAN_.pdf")</f>
        <v>Melting_Curves/meltCurve_sp_Q9Y5K8_VATD_HUMAN_.pdf</v>
      </c>
      <c r="AA3152" t="s">
        <v>14606</v>
      </c>
      <c r="AB3152" t="s">
        <v>18391</v>
      </c>
    </row>
    <row r="3153" spans="1:28" x14ac:dyDescent="0.25">
      <c r="A3153" t="s">
        <v>3157</v>
      </c>
      <c r="B3153">
        <v>0.98876768158843997</v>
      </c>
      <c r="C3153">
        <v>0.88663389012528804</v>
      </c>
      <c r="D3153">
        <v>1.03067712084732</v>
      </c>
      <c r="E3153">
        <v>0.99683590900277297</v>
      </c>
      <c r="F3153">
        <v>0.29179561328090098</v>
      </c>
      <c r="G3153">
        <v>9.1961868224626098E-2</v>
      </c>
      <c r="H3153">
        <v>5.0023371859103397E-2</v>
      </c>
      <c r="I3153">
        <v>4.0969366721585999E-2</v>
      </c>
      <c r="J3153">
        <v>4.2203742719774902E-2</v>
      </c>
      <c r="K3153">
        <v>3.99181974265852E-2</v>
      </c>
      <c r="L3153">
        <v>5597.6588108671403</v>
      </c>
      <c r="M3153">
        <v>106.702666501161</v>
      </c>
      <c r="N3153">
        <v>52.515456399742</v>
      </c>
      <c r="O3153">
        <v>52.4419150707743</v>
      </c>
      <c r="P3153">
        <v>-0.48172973996790902</v>
      </c>
      <c r="Q3153">
        <v>5.2963331976268402E-2</v>
      </c>
      <c r="R3153">
        <v>0.99178723113829903</v>
      </c>
      <c r="S3153" t="s">
        <v>6985</v>
      </c>
      <c r="T3153" t="s">
        <v>7662</v>
      </c>
      <c r="U3153" t="s">
        <v>7662</v>
      </c>
      <c r="V3153" t="s">
        <v>7662</v>
      </c>
      <c r="W3153">
        <v>9</v>
      </c>
      <c r="X3153" t="s">
        <v>10815</v>
      </c>
      <c r="Y3153">
        <v>0.44678926002936442</v>
      </c>
      <c r="Z3153" t="str">
        <f>HYPERLINK("Melting_Curves/meltCurve_sp_Q9Y5L0_TNPO3_HUMAN_.pdf", "Melting_Curves/meltCurve_sp_Q9Y5L0_TNPO3_HUMAN_.pdf")</f>
        <v>Melting_Curves/meltCurve_sp_Q9Y5L0_TNPO3_HUMAN_.pdf</v>
      </c>
      <c r="AA3153" t="s">
        <v>14607</v>
      </c>
      <c r="AB3153" t="s">
        <v>18392</v>
      </c>
    </row>
    <row r="3154" spans="1:28" x14ac:dyDescent="0.25">
      <c r="A3154" t="s">
        <v>3158</v>
      </c>
      <c r="B3154">
        <v>0.98876768158843997</v>
      </c>
      <c r="C3154">
        <v>0.95005212591906596</v>
      </c>
      <c r="D3154">
        <v>0.89675230580473597</v>
      </c>
      <c r="E3154">
        <v>0.74803144410336597</v>
      </c>
      <c r="F3154">
        <v>0.64251409394347703</v>
      </c>
      <c r="G3154">
        <v>0.39245649913605202</v>
      </c>
      <c r="H3154">
        <v>0.306348450628178</v>
      </c>
      <c r="I3154">
        <v>0.34749130585219001</v>
      </c>
      <c r="J3154">
        <v>0.40986164406509801</v>
      </c>
      <c r="K3154">
        <v>0.48340292942379398</v>
      </c>
      <c r="L3154">
        <v>995.898945712368</v>
      </c>
      <c r="M3154">
        <v>19.5038683894849</v>
      </c>
      <c r="N3154">
        <v>54.930140910777098</v>
      </c>
      <c r="O3154">
        <v>50.533930837651901</v>
      </c>
      <c r="P3154">
        <v>-6.0462129138041602E-2</v>
      </c>
      <c r="Q3154">
        <v>0.373400609036592</v>
      </c>
      <c r="R3154">
        <v>0.94913369707522699</v>
      </c>
      <c r="S3154" t="s">
        <v>6986</v>
      </c>
      <c r="T3154" t="s">
        <v>7662</v>
      </c>
      <c r="U3154" t="s">
        <v>7662</v>
      </c>
      <c r="V3154" t="s">
        <v>7662</v>
      </c>
      <c r="W3154">
        <v>5</v>
      </c>
      <c r="X3154" t="s">
        <v>10816</v>
      </c>
      <c r="Y3154">
        <v>0.61355327425817774</v>
      </c>
      <c r="Z3154" t="str">
        <f>HYPERLINK("Melting_Curves/meltCurve_sp_Q9Y5L4_TIM13_HUMAN_.pdf", "Melting_Curves/meltCurve_sp_Q9Y5L4_TIM13_HUMAN_.pdf")</f>
        <v>Melting_Curves/meltCurve_sp_Q9Y5L4_TIM13_HUMAN_.pdf</v>
      </c>
      <c r="AA3154" t="s">
        <v>14608</v>
      </c>
      <c r="AB3154" t="s">
        <v>18393</v>
      </c>
    </row>
    <row r="3155" spans="1:28" x14ac:dyDescent="0.25">
      <c r="A3155" t="s">
        <v>3159</v>
      </c>
      <c r="B3155">
        <v>0.98876768158843997</v>
      </c>
      <c r="C3155">
        <v>0.90446948195605503</v>
      </c>
      <c r="D3155">
        <v>0.88285671560817802</v>
      </c>
      <c r="E3155">
        <v>0.71351426829891396</v>
      </c>
      <c r="F3155">
        <v>0.30030229658539498</v>
      </c>
      <c r="G3155">
        <v>0.115109673044943</v>
      </c>
      <c r="H3155">
        <v>6.6744766871573602E-2</v>
      </c>
      <c r="I3155">
        <v>6.9993908091335003E-2</v>
      </c>
      <c r="J3155">
        <v>5.19774832095121E-2</v>
      </c>
      <c r="K3155">
        <v>4.8565160815335802E-2</v>
      </c>
      <c r="L3155">
        <v>1282.4798206717101</v>
      </c>
      <c r="M3155">
        <v>25.045517614204101</v>
      </c>
      <c r="N3155">
        <v>51.418635192613003</v>
      </c>
      <c r="O3155">
        <v>50.882862372018799</v>
      </c>
      <c r="P3155">
        <v>-0.117002036681118</v>
      </c>
      <c r="Q3155">
        <v>4.9200079926744002E-2</v>
      </c>
      <c r="R3155">
        <v>0.989330259916129</v>
      </c>
      <c r="S3155" t="s">
        <v>6987</v>
      </c>
      <c r="T3155" t="s">
        <v>7662</v>
      </c>
      <c r="U3155" t="s">
        <v>7662</v>
      </c>
      <c r="V3155" t="s">
        <v>7662</v>
      </c>
      <c r="W3155">
        <v>4</v>
      </c>
      <c r="X3155" t="s">
        <v>10817</v>
      </c>
      <c r="Y3155">
        <v>0.41293243424748061</v>
      </c>
      <c r="Z3155" t="str">
        <f>HYPERLINK("Melting_Curves/meltCurve_sp_Q9Y5P4_2_C43BP_HUMAN_.pdf", "Melting_Curves/meltCurve_sp_Q9Y5P4_2_C43BP_HUMAN_.pdf")</f>
        <v>Melting_Curves/meltCurve_sp_Q9Y5P4_2_C43BP_HUMAN_.pdf</v>
      </c>
      <c r="AA3155" t="s">
        <v>14609</v>
      </c>
      <c r="AB3155" t="s">
        <v>18394</v>
      </c>
    </row>
    <row r="3156" spans="1:28" x14ac:dyDescent="0.25">
      <c r="A3156" t="s">
        <v>3160</v>
      </c>
      <c r="B3156">
        <v>0.98876768158843997</v>
      </c>
      <c r="C3156">
        <v>0.90771766916264496</v>
      </c>
      <c r="D3156">
        <v>0.92713203459214599</v>
      </c>
      <c r="E3156">
        <v>0.70115671908950805</v>
      </c>
      <c r="F3156">
        <v>0.24831134057183099</v>
      </c>
      <c r="G3156">
        <v>9.6433494371238895E-2</v>
      </c>
      <c r="H3156">
        <v>5.81574990043177E-2</v>
      </c>
      <c r="I3156">
        <v>5.8160381926077503E-2</v>
      </c>
      <c r="J3156">
        <v>7.6980604866801E-2</v>
      </c>
      <c r="K3156">
        <v>7.5490223796901706E-2</v>
      </c>
      <c r="L3156">
        <v>1763.7422269547001</v>
      </c>
      <c r="M3156">
        <v>34.598575185427201</v>
      </c>
      <c r="N3156">
        <v>51.186667165446799</v>
      </c>
      <c r="O3156">
        <v>50.8079105715331</v>
      </c>
      <c r="P3156">
        <v>-0.159010485568649</v>
      </c>
      <c r="Q3156">
        <v>6.5977666119809902E-2</v>
      </c>
      <c r="R3156">
        <v>0.99219972615007201</v>
      </c>
      <c r="S3156" t="s">
        <v>6988</v>
      </c>
      <c r="T3156" t="s">
        <v>7662</v>
      </c>
      <c r="U3156" t="s">
        <v>7662</v>
      </c>
      <c r="V3156" t="s">
        <v>7662</v>
      </c>
      <c r="W3156">
        <v>9</v>
      </c>
      <c r="X3156" t="s">
        <v>10818</v>
      </c>
      <c r="Y3156">
        <v>0.41215389970025362</v>
      </c>
      <c r="Z3156" t="str">
        <f>HYPERLINK("Melting_Curves/meltCurve_sp_Q9Y5P6_GMPPB_HUMAN_.pdf", "Melting_Curves/meltCurve_sp_Q9Y5P6_GMPPB_HUMAN_.pdf")</f>
        <v>Melting_Curves/meltCurve_sp_Q9Y5P6_GMPPB_HUMAN_.pdf</v>
      </c>
      <c r="AA3156" t="s">
        <v>14610</v>
      </c>
      <c r="AB3156" t="s">
        <v>18395</v>
      </c>
    </row>
    <row r="3157" spans="1:28" x14ac:dyDescent="0.25">
      <c r="A3157" t="s">
        <v>3161</v>
      </c>
      <c r="B3157">
        <v>0.98876768158843997</v>
      </c>
      <c r="C3157">
        <v>0.91655181500092597</v>
      </c>
      <c r="D3157">
        <v>0.95913418002169404</v>
      </c>
      <c r="E3157">
        <v>0.68693157284376105</v>
      </c>
      <c r="F3157">
        <v>0.55866338122668502</v>
      </c>
      <c r="G3157">
        <v>0.22728248181262301</v>
      </c>
      <c r="H3157">
        <v>0.10390122822801701</v>
      </c>
      <c r="I3157">
        <v>8.1906622724101694E-2</v>
      </c>
      <c r="J3157">
        <v>0.129663457298546</v>
      </c>
      <c r="K3157">
        <v>7.6569196229244504E-2</v>
      </c>
      <c r="L3157">
        <v>924.65955544053099</v>
      </c>
      <c r="M3157">
        <v>17.579596256464502</v>
      </c>
      <c r="N3157">
        <v>52.992398470811999</v>
      </c>
      <c r="O3157">
        <v>51.932000764623503</v>
      </c>
      <c r="P3157">
        <v>-7.94484937087888E-2</v>
      </c>
      <c r="Q3157">
        <v>6.1253770449857102E-2</v>
      </c>
      <c r="R3157">
        <v>0.98897159442015803</v>
      </c>
      <c r="S3157" t="s">
        <v>6989</v>
      </c>
      <c r="T3157" t="s">
        <v>7662</v>
      </c>
      <c r="U3157" t="s">
        <v>7662</v>
      </c>
      <c r="V3157" t="s">
        <v>7662</v>
      </c>
      <c r="W3157">
        <v>3</v>
      </c>
      <c r="X3157" t="s">
        <v>10819</v>
      </c>
      <c r="Y3157">
        <v>0.47156881357547881</v>
      </c>
      <c r="Z3157" t="str">
        <f>HYPERLINK("Melting_Curves/meltCurve_sp_Q9Y5R8_TPPC1_HUMAN_.pdf", "Melting_Curves/meltCurve_sp_Q9Y5R8_TPPC1_HUMAN_.pdf")</f>
        <v>Melting_Curves/meltCurve_sp_Q9Y5R8_TPPC1_HUMAN_.pdf</v>
      </c>
      <c r="AA3157" t="s">
        <v>14611</v>
      </c>
      <c r="AB3157" t="s">
        <v>18396</v>
      </c>
    </row>
    <row r="3158" spans="1:28" x14ac:dyDescent="0.25">
      <c r="A3158" t="s">
        <v>3162</v>
      </c>
      <c r="B3158">
        <v>0.98876768158843997</v>
      </c>
      <c r="C3158">
        <v>0.89246731063173301</v>
      </c>
      <c r="D3158">
        <v>0.78664037552157695</v>
      </c>
      <c r="E3158">
        <v>0.49057444729822502</v>
      </c>
      <c r="F3158">
        <v>0.33151142617727702</v>
      </c>
      <c r="G3158">
        <v>0.17936084467010099</v>
      </c>
      <c r="H3158">
        <v>9.3826405062660004E-2</v>
      </c>
      <c r="I3158">
        <v>0.103162570319563</v>
      </c>
      <c r="J3158">
        <v>0.105984925364804</v>
      </c>
      <c r="K3158">
        <v>0.104255533463012</v>
      </c>
      <c r="L3158">
        <v>759.98949247835299</v>
      </c>
      <c r="M3158">
        <v>15.387869318749599</v>
      </c>
      <c r="N3158">
        <v>49.943258676643303</v>
      </c>
      <c r="O3158">
        <v>48.577304950337599</v>
      </c>
      <c r="P3158">
        <v>-7.2981985133327903E-2</v>
      </c>
      <c r="Q3158">
        <v>7.8509417734693901E-2</v>
      </c>
      <c r="R3158">
        <v>0.99778013437671698</v>
      </c>
      <c r="S3158" t="s">
        <v>6990</v>
      </c>
      <c r="T3158" t="s">
        <v>7662</v>
      </c>
      <c r="U3158" t="s">
        <v>7662</v>
      </c>
      <c r="V3158" t="s">
        <v>7662</v>
      </c>
      <c r="W3158">
        <v>6</v>
      </c>
      <c r="X3158" t="s">
        <v>10820</v>
      </c>
      <c r="Y3158">
        <v>0.38829412894939019</v>
      </c>
      <c r="Z3158" t="str">
        <f>HYPERLINK("Melting_Curves/meltCurve_sp_Q9Y5S2_MRCKB_HUMAN_.pdf", "Melting_Curves/meltCurve_sp_Q9Y5S2_MRCKB_HUMAN_.pdf")</f>
        <v>Melting_Curves/meltCurve_sp_Q9Y5S2_MRCKB_HUMAN_.pdf</v>
      </c>
      <c r="AA3158" t="s">
        <v>14612</v>
      </c>
      <c r="AB3158" t="s">
        <v>18397</v>
      </c>
    </row>
    <row r="3159" spans="1:28" x14ac:dyDescent="0.25">
      <c r="A3159" t="s">
        <v>3163</v>
      </c>
      <c r="B3159">
        <v>0.98876768158843997</v>
      </c>
      <c r="C3159">
        <v>1.12140183044549</v>
      </c>
      <c r="D3159">
        <v>0.86570927934695496</v>
      </c>
      <c r="E3159">
        <v>0.76938623606885503</v>
      </c>
      <c r="F3159">
        <v>0.70708613665382103</v>
      </c>
      <c r="G3159">
        <v>0.47387603746490198</v>
      </c>
      <c r="H3159">
        <v>0.36613028921532398</v>
      </c>
      <c r="I3159">
        <v>0.37499308284465699</v>
      </c>
      <c r="J3159">
        <v>0.43352839650886899</v>
      </c>
      <c r="K3159">
        <v>0.54954963392080503</v>
      </c>
      <c r="L3159">
        <v>994.97460507321102</v>
      </c>
      <c r="M3159">
        <v>19.3159709519398</v>
      </c>
      <c r="N3159">
        <v>56.997043396826598</v>
      </c>
      <c r="O3159">
        <v>50.967897581455098</v>
      </c>
      <c r="P3159">
        <v>-5.4754233766759697E-2</v>
      </c>
      <c r="Q3159">
        <v>0.422114683018399</v>
      </c>
      <c r="R3159">
        <v>0.91131375445914098</v>
      </c>
      <c r="S3159" t="s">
        <v>6991</v>
      </c>
      <c r="T3159" t="s">
        <v>7662</v>
      </c>
      <c r="U3159" t="s">
        <v>7662</v>
      </c>
      <c r="V3159" t="s">
        <v>7662</v>
      </c>
      <c r="W3159">
        <v>3</v>
      </c>
      <c r="X3159" t="s">
        <v>10821</v>
      </c>
      <c r="Y3159">
        <v>0.6523736881209673</v>
      </c>
      <c r="Z3159" t="str">
        <f>HYPERLINK("Melting_Curves/meltCurve_sp_Q9Y5S9_RBM8A_HUMAN_.pdf", "Melting_Curves/meltCurve_sp_Q9Y5S9_RBM8A_HUMAN_.pdf")</f>
        <v>Melting_Curves/meltCurve_sp_Q9Y5S9_RBM8A_HUMAN_.pdf</v>
      </c>
      <c r="AA3159" t="s">
        <v>14613</v>
      </c>
      <c r="AB3159" t="s">
        <v>18398</v>
      </c>
    </row>
    <row r="3160" spans="1:28" x14ac:dyDescent="0.25">
      <c r="A3160" t="s">
        <v>3164</v>
      </c>
      <c r="B3160">
        <v>0.98876768158843997</v>
      </c>
      <c r="C3160">
        <v>1.0124100314895601</v>
      </c>
      <c r="D3160">
        <v>0.84345982568918199</v>
      </c>
      <c r="E3160">
        <v>0.69214344332494104</v>
      </c>
      <c r="F3160">
        <v>0.42648510930134897</v>
      </c>
      <c r="G3160">
        <v>0.35617152825016202</v>
      </c>
      <c r="H3160">
        <v>0.228041328947162</v>
      </c>
      <c r="I3160">
        <v>0.32493204857864399</v>
      </c>
      <c r="J3160">
        <v>0.29040674913440501</v>
      </c>
      <c r="K3160">
        <v>0.44911883789243501</v>
      </c>
      <c r="L3160">
        <v>1112.7884413546601</v>
      </c>
      <c r="M3160">
        <v>22.363813923073</v>
      </c>
      <c r="N3160">
        <v>52.111685444231398</v>
      </c>
      <c r="O3160">
        <v>49.365706315253</v>
      </c>
      <c r="P3160">
        <v>-7.7256553061908206E-2</v>
      </c>
      <c r="Q3160">
        <v>0.317872249890991</v>
      </c>
      <c r="R3160">
        <v>0.95426801572598097</v>
      </c>
      <c r="S3160" t="s">
        <v>6992</v>
      </c>
      <c r="T3160" t="s">
        <v>7662</v>
      </c>
      <c r="U3160" t="s">
        <v>7662</v>
      </c>
      <c r="V3160" t="s">
        <v>7662</v>
      </c>
      <c r="W3160">
        <v>5</v>
      </c>
      <c r="X3160" t="s">
        <v>10822</v>
      </c>
      <c r="Y3160">
        <v>0.5473681038824002</v>
      </c>
      <c r="Z3160" t="str">
        <f>HYPERLINK("Melting_Curves/meltCurve_sp_Q9Y5X1_SNX9_HUMAN_.pdf", "Melting_Curves/meltCurve_sp_Q9Y5X1_SNX9_HUMAN_.pdf")</f>
        <v>Melting_Curves/meltCurve_sp_Q9Y5X1_SNX9_HUMAN_.pdf</v>
      </c>
      <c r="AA3160" t="s">
        <v>14614</v>
      </c>
      <c r="AB3160" t="s">
        <v>18399</v>
      </c>
    </row>
    <row r="3161" spans="1:28" x14ac:dyDescent="0.25">
      <c r="A3161" t="s">
        <v>3165</v>
      </c>
      <c r="B3161">
        <v>0.98876768158843997</v>
      </c>
      <c r="C3161">
        <v>0.96385079044623001</v>
      </c>
      <c r="D3161">
        <v>0.87343275135767995</v>
      </c>
      <c r="E3161">
        <v>0.61006404898243405</v>
      </c>
      <c r="F3161">
        <v>0.18181343541554401</v>
      </c>
      <c r="G3161">
        <v>9.9979681367523998E-2</v>
      </c>
      <c r="H3161">
        <v>6.57470037822597E-2</v>
      </c>
      <c r="I3161">
        <v>6.2789289246440394E-2</v>
      </c>
      <c r="J3161">
        <v>8.4143035361962104E-2</v>
      </c>
      <c r="K3161">
        <v>8.4574666469817303E-2</v>
      </c>
      <c r="L3161">
        <v>1497.6424729477401</v>
      </c>
      <c r="M3161">
        <v>29.815759056436299</v>
      </c>
      <c r="N3161">
        <v>50.4774360512288</v>
      </c>
      <c r="O3161">
        <v>50.005573109248402</v>
      </c>
      <c r="P3161">
        <v>-0.13892476419224101</v>
      </c>
      <c r="Q3161">
        <v>6.8014347433011699E-2</v>
      </c>
      <c r="R3161">
        <v>0.99272258038902295</v>
      </c>
      <c r="S3161" t="s">
        <v>6993</v>
      </c>
      <c r="T3161" t="s">
        <v>7662</v>
      </c>
      <c r="U3161" t="s">
        <v>7662</v>
      </c>
      <c r="V3161" t="s">
        <v>7662</v>
      </c>
      <c r="W3161">
        <v>11</v>
      </c>
      <c r="X3161" t="s">
        <v>10823</v>
      </c>
      <c r="Y3161">
        <v>0.39167670407428712</v>
      </c>
      <c r="Z3161" t="str">
        <f>HYPERLINK("Melting_Curves/meltCurve_sp_Q9Y5X3_SNX5_HUMAN_.pdf", "Melting_Curves/meltCurve_sp_Q9Y5X3_SNX5_HUMAN_.pdf")</f>
        <v>Melting_Curves/meltCurve_sp_Q9Y5X3_SNX5_HUMAN_.pdf</v>
      </c>
      <c r="AA3161" t="s">
        <v>14615</v>
      </c>
      <c r="AB3161" t="s">
        <v>18400</v>
      </c>
    </row>
    <row r="3162" spans="1:28" x14ac:dyDescent="0.25">
      <c r="A3162" t="s">
        <v>3166</v>
      </c>
      <c r="B3162">
        <v>0.98876768158843997</v>
      </c>
      <c r="C3162">
        <v>1.23743477232009</v>
      </c>
      <c r="D3162">
        <v>0.92916668896674404</v>
      </c>
      <c r="E3162">
        <v>0.870680222937118</v>
      </c>
      <c r="F3162">
        <v>0.99720445361866905</v>
      </c>
      <c r="G3162">
        <v>0.67032456908999405</v>
      </c>
      <c r="H3162">
        <v>0.51173919295012804</v>
      </c>
      <c r="I3162">
        <v>0.61526960412131504</v>
      </c>
      <c r="J3162">
        <v>0.67896071330248697</v>
      </c>
      <c r="K3162">
        <v>0.91084236536972796</v>
      </c>
      <c r="L3162">
        <v>13501.1690833137</v>
      </c>
      <c r="M3162">
        <v>250</v>
      </c>
      <c r="O3162">
        <v>54.001220374995398</v>
      </c>
      <c r="P3162">
        <v>-0.37333974929125502</v>
      </c>
      <c r="Q3162">
        <v>0.67742716705591699</v>
      </c>
      <c r="R3162">
        <v>0.61987276931883195</v>
      </c>
      <c r="S3162" t="s">
        <v>6994</v>
      </c>
      <c r="T3162" t="s">
        <v>7662</v>
      </c>
      <c r="U3162" t="s">
        <v>7662</v>
      </c>
      <c r="V3162" t="s">
        <v>7662</v>
      </c>
      <c r="W3162">
        <v>12</v>
      </c>
      <c r="X3162" t="s">
        <v>10824</v>
      </c>
      <c r="Y3162">
        <v>0.82804201030228153</v>
      </c>
      <c r="Z3162" t="str">
        <f>HYPERLINK("Melting_Curves/meltCurve_sp_Q9Y5Z4_HEBP2_HUMAN_.pdf", "Melting_Curves/meltCurve_sp_Q9Y5Z4_HEBP2_HUMAN_.pdf")</f>
        <v>Melting_Curves/meltCurve_sp_Q9Y5Z4_HEBP2_HUMAN_.pdf</v>
      </c>
      <c r="AA3162" t="s">
        <v>14616</v>
      </c>
      <c r="AB3162" t="s">
        <v>18401</v>
      </c>
    </row>
    <row r="3163" spans="1:28" x14ac:dyDescent="0.25">
      <c r="A3163" t="s">
        <v>3167</v>
      </c>
      <c r="B3163">
        <v>0.98876768158843997</v>
      </c>
      <c r="C3163">
        <v>1.0047009722498801</v>
      </c>
      <c r="D3163">
        <v>0.98689194785598999</v>
      </c>
      <c r="E3163">
        <v>0.819147933331006</v>
      </c>
      <c r="F3163">
        <v>0.94077897782026898</v>
      </c>
      <c r="G3163">
        <v>0.61323250233403803</v>
      </c>
      <c r="H3163">
        <v>0.47221979210819598</v>
      </c>
      <c r="I3163">
        <v>0.51359834120128001</v>
      </c>
      <c r="J3163">
        <v>0.79143200067692199</v>
      </c>
      <c r="K3163">
        <v>0.79519128379192205</v>
      </c>
      <c r="L3163">
        <v>7312.7855079845704</v>
      </c>
      <c r="M3163">
        <v>136.34488663260299</v>
      </c>
      <c r="O3163">
        <v>53.622932055672301</v>
      </c>
      <c r="P3163">
        <v>-0.230673067722722</v>
      </c>
      <c r="Q3163">
        <v>0.63711536740626296</v>
      </c>
      <c r="R3163">
        <v>0.64984701297183201</v>
      </c>
      <c r="S3163" t="s">
        <v>6995</v>
      </c>
      <c r="T3163" t="s">
        <v>7662</v>
      </c>
      <c r="U3163" t="s">
        <v>7662</v>
      </c>
      <c r="V3163" t="s">
        <v>7662</v>
      </c>
      <c r="W3163">
        <v>6</v>
      </c>
      <c r="X3163" t="s">
        <v>10825</v>
      </c>
      <c r="Y3163">
        <v>0.80215490085722363</v>
      </c>
      <c r="Z3163" t="str">
        <f>HYPERLINK("Melting_Curves/meltCurve_sp_Q9Y608_4_LRRF2_HUMAN_.pdf", "Melting_Curves/meltCurve_sp_Q9Y608_4_LRRF2_HUMAN_.pdf")</f>
        <v>Melting_Curves/meltCurve_sp_Q9Y608_4_LRRF2_HUMAN_.pdf</v>
      </c>
      <c r="AA3163" t="s">
        <v>14617</v>
      </c>
      <c r="AB3163" t="s">
        <v>18402</v>
      </c>
    </row>
    <row r="3164" spans="1:28" x14ac:dyDescent="0.25">
      <c r="A3164" t="s">
        <v>3168</v>
      </c>
      <c r="B3164">
        <v>0.98876768158843997</v>
      </c>
      <c r="C3164">
        <v>0.97089356385785297</v>
      </c>
      <c r="D3164">
        <v>0.88434476893449898</v>
      </c>
      <c r="E3164">
        <v>0.84357524497298098</v>
      </c>
      <c r="F3164">
        <v>0.82247450667060296</v>
      </c>
      <c r="G3164">
        <v>0.57449204866233705</v>
      </c>
      <c r="H3164">
        <v>0.32416713024940802</v>
      </c>
      <c r="I3164">
        <v>0.177719219414186</v>
      </c>
      <c r="J3164">
        <v>9.4024114076754303E-2</v>
      </c>
      <c r="K3164">
        <v>6.6874666981882797E-2</v>
      </c>
      <c r="L3164">
        <v>828.791835974798</v>
      </c>
      <c r="M3164">
        <v>14.347909242784199</v>
      </c>
      <c r="N3164">
        <v>57.763944776439203</v>
      </c>
      <c r="O3164">
        <v>56.676608675787797</v>
      </c>
      <c r="P3164">
        <v>-6.32961047038961E-2</v>
      </c>
      <c r="Q3164">
        <v>0</v>
      </c>
      <c r="R3164">
        <v>0.987544624646705</v>
      </c>
      <c r="S3164" t="s">
        <v>6996</v>
      </c>
      <c r="T3164" t="s">
        <v>7662</v>
      </c>
      <c r="U3164" t="s">
        <v>7662</v>
      </c>
      <c r="V3164" t="s">
        <v>7662</v>
      </c>
      <c r="W3164">
        <v>20</v>
      </c>
      <c r="X3164" t="s">
        <v>10826</v>
      </c>
      <c r="Y3164">
        <v>0.60630852120066103</v>
      </c>
      <c r="Z3164" t="str">
        <f>HYPERLINK("Melting_Curves/meltCurve_sp_Q9Y617_SERC_HUMAN_.pdf", "Melting_Curves/meltCurve_sp_Q9Y617_SERC_HUMAN_.pdf")</f>
        <v>Melting_Curves/meltCurve_sp_Q9Y617_SERC_HUMAN_.pdf</v>
      </c>
      <c r="AA3164" t="s">
        <v>14618</v>
      </c>
      <c r="AB3164" t="s">
        <v>18403</v>
      </c>
    </row>
    <row r="3165" spans="1:28" x14ac:dyDescent="0.25">
      <c r="A3165" t="s">
        <v>3169</v>
      </c>
      <c r="B3165">
        <v>0.98876768158843997</v>
      </c>
      <c r="C3165">
        <v>1.00753860508715</v>
      </c>
      <c r="D3165">
        <v>0.96644549414966496</v>
      </c>
      <c r="E3165">
        <v>0.88764203673106701</v>
      </c>
      <c r="F3165">
        <v>0.687133114426835</v>
      </c>
      <c r="G3165">
        <v>0.52795347420278305</v>
      </c>
      <c r="H3165">
        <v>0.44915745296987702</v>
      </c>
      <c r="I3165">
        <v>0.50623431558874898</v>
      </c>
      <c r="J3165">
        <v>0.56685930071327695</v>
      </c>
      <c r="K3165">
        <v>0.55943090942073004</v>
      </c>
      <c r="L3165">
        <v>1722.9833668926599</v>
      </c>
      <c r="M3165">
        <v>33.214781972721603</v>
      </c>
      <c r="O3165">
        <v>51.687039869138701</v>
      </c>
      <c r="P3165">
        <v>-7.7488766006464302E-2</v>
      </c>
      <c r="Q3165">
        <v>0.51766685800003498</v>
      </c>
      <c r="R3165">
        <v>0.97635664620442897</v>
      </c>
      <c r="S3165" t="s">
        <v>6997</v>
      </c>
      <c r="T3165" t="s">
        <v>7662</v>
      </c>
      <c r="U3165" t="s">
        <v>7662</v>
      </c>
      <c r="V3165" t="s">
        <v>7662</v>
      </c>
      <c r="W3165">
        <v>7</v>
      </c>
      <c r="X3165" t="s">
        <v>10827</v>
      </c>
      <c r="Y3165">
        <v>0.71108492277101765</v>
      </c>
      <c r="Z3165" t="str">
        <f>HYPERLINK("Melting_Curves/meltCurve_sp_Q9Y646_CBPQ_HUMAN_.pdf", "Melting_Curves/meltCurve_sp_Q9Y646_CBPQ_HUMAN_.pdf")</f>
        <v>Melting_Curves/meltCurve_sp_Q9Y646_CBPQ_HUMAN_.pdf</v>
      </c>
      <c r="AA3165" t="s">
        <v>14619</v>
      </c>
      <c r="AB3165" t="s">
        <v>18404</v>
      </c>
    </row>
    <row r="3166" spans="1:28" x14ac:dyDescent="0.25">
      <c r="A3166" t="s">
        <v>3170</v>
      </c>
      <c r="B3166">
        <v>0.98876768158843997</v>
      </c>
      <c r="C3166">
        <v>1.04515522382131</v>
      </c>
      <c r="D3166">
        <v>1.04654147090203</v>
      </c>
      <c r="E3166">
        <v>0.80225127797821705</v>
      </c>
      <c r="F3166">
        <v>0.392396037109218</v>
      </c>
      <c r="G3166">
        <v>0.16238159530072599</v>
      </c>
      <c r="H3166">
        <v>6.9650369989084998E-2</v>
      </c>
      <c r="I3166">
        <v>5.40901705120818E-2</v>
      </c>
      <c r="J3166">
        <v>5.0034686763015902E-2</v>
      </c>
      <c r="K3166">
        <v>4.8077839732217402E-2</v>
      </c>
      <c r="L3166">
        <v>1627.20158123592</v>
      </c>
      <c r="M3166">
        <v>31.230424338769801</v>
      </c>
      <c r="N3166">
        <v>52.316306443503898</v>
      </c>
      <c r="O3166">
        <v>51.890862813974699</v>
      </c>
      <c r="P3166">
        <v>-0.14147175824230601</v>
      </c>
      <c r="Q3166">
        <v>5.9756620627645703E-2</v>
      </c>
      <c r="R3166">
        <v>0.99540616425024497</v>
      </c>
      <c r="S3166" t="s">
        <v>6998</v>
      </c>
      <c r="T3166" t="s">
        <v>7662</v>
      </c>
      <c r="U3166" t="s">
        <v>7662</v>
      </c>
      <c r="V3166" t="s">
        <v>7662</v>
      </c>
      <c r="W3166">
        <v>27</v>
      </c>
      <c r="X3166" t="s">
        <v>10828</v>
      </c>
      <c r="Y3166">
        <v>0.44464073619962702</v>
      </c>
      <c r="Z3166" t="str">
        <f>HYPERLINK("Melting_Curves/meltCurve_sp_Q9Y678_COPG1_HUMAN_.pdf", "Melting_Curves/meltCurve_sp_Q9Y678_COPG1_HUMAN_.pdf")</f>
        <v>Melting_Curves/meltCurve_sp_Q9Y678_COPG1_HUMAN_.pdf</v>
      </c>
      <c r="AA3166" t="s">
        <v>14620</v>
      </c>
      <c r="AB3166" t="s">
        <v>18405</v>
      </c>
    </row>
    <row r="3167" spans="1:28" x14ac:dyDescent="0.25">
      <c r="A3167" t="s">
        <v>3171</v>
      </c>
      <c r="B3167">
        <v>0.98876768158843997</v>
      </c>
      <c r="C3167">
        <v>1.1197357717645899</v>
      </c>
      <c r="D3167">
        <v>0.87897340538285496</v>
      </c>
      <c r="E3167">
        <v>0.76880835533714398</v>
      </c>
      <c r="F3167">
        <v>0.605121694230771</v>
      </c>
      <c r="G3167">
        <v>0.15389312339748701</v>
      </c>
      <c r="H3167">
        <v>6.3165694823883206E-2</v>
      </c>
      <c r="I3167">
        <v>4.4671562230228203E-2</v>
      </c>
      <c r="J3167">
        <v>5.9058093943764003E-2</v>
      </c>
      <c r="K3167">
        <v>4.1903720343240497E-2</v>
      </c>
      <c r="L3167">
        <v>1165.3415138970599</v>
      </c>
      <c r="M3167">
        <v>21.891759990468501</v>
      </c>
      <c r="N3167">
        <v>53.346395135951497</v>
      </c>
      <c r="O3167">
        <v>52.793759553501097</v>
      </c>
      <c r="P3167">
        <v>-0.101291076147545</v>
      </c>
      <c r="Q3167">
        <v>2.2935592412684402E-2</v>
      </c>
      <c r="R3167">
        <v>0.98039024584298595</v>
      </c>
      <c r="S3167" t="s">
        <v>6999</v>
      </c>
      <c r="T3167" t="s">
        <v>7662</v>
      </c>
      <c r="U3167" t="s">
        <v>7662</v>
      </c>
      <c r="V3167" t="s">
        <v>7662</v>
      </c>
      <c r="W3167">
        <v>9</v>
      </c>
      <c r="X3167" t="s">
        <v>10829</v>
      </c>
      <c r="Y3167">
        <v>0.46535617957993008</v>
      </c>
      <c r="Z3167" t="str">
        <f>HYPERLINK("Melting_Curves/meltCurve_sp_Q9Y696_CLIC4_HUMAN_.pdf", "Melting_Curves/meltCurve_sp_Q9Y696_CLIC4_HUMAN_.pdf")</f>
        <v>Melting_Curves/meltCurve_sp_Q9Y696_CLIC4_HUMAN_.pdf</v>
      </c>
      <c r="AA3167" t="s">
        <v>14621</v>
      </c>
      <c r="AB3167" t="s">
        <v>18406</v>
      </c>
    </row>
    <row r="3168" spans="1:28" x14ac:dyDescent="0.25">
      <c r="A3168" t="s">
        <v>3172</v>
      </c>
      <c r="B3168">
        <v>0.98876768158843997</v>
      </c>
      <c r="C3168">
        <v>0.86165577546146099</v>
      </c>
      <c r="D3168">
        <v>0.98349627803838302</v>
      </c>
      <c r="E3168">
        <v>0.80041439189815</v>
      </c>
      <c r="F3168">
        <v>0.35602242279684199</v>
      </c>
      <c r="G3168">
        <v>0.23914114257498301</v>
      </c>
      <c r="H3168">
        <v>0.141667740391722</v>
      </c>
      <c r="I3168">
        <v>7.8489462260294698E-2</v>
      </c>
      <c r="J3168">
        <v>6.1225008899179E-2</v>
      </c>
      <c r="K3168">
        <v>5.0558361734288598E-2</v>
      </c>
      <c r="L3168">
        <v>1374.84841334719</v>
      </c>
      <c r="M3168">
        <v>26.488821964835299</v>
      </c>
      <c r="N3168">
        <v>52.275528601708203</v>
      </c>
      <c r="O3168">
        <v>51.6098589167432</v>
      </c>
      <c r="P3168">
        <v>-0.117276419750411</v>
      </c>
      <c r="Q3168">
        <v>8.6021298260384904E-2</v>
      </c>
      <c r="R3168">
        <v>0.97677600575125001</v>
      </c>
      <c r="S3168" t="s">
        <v>7000</v>
      </c>
      <c r="T3168" t="s">
        <v>7662</v>
      </c>
      <c r="U3168" t="s">
        <v>7662</v>
      </c>
      <c r="V3168" t="s">
        <v>7662</v>
      </c>
      <c r="W3168">
        <v>12</v>
      </c>
      <c r="X3168" t="s">
        <v>10830</v>
      </c>
      <c r="Y3168">
        <v>0.45610720682329869</v>
      </c>
      <c r="Z3168" t="str">
        <f>HYPERLINK("Melting_Curves/meltCurve_sp_Q9Y697_2_NFS1_HUMAN_.pdf", "Melting_Curves/meltCurve_sp_Q9Y697_2_NFS1_HUMAN_.pdf")</f>
        <v>Melting_Curves/meltCurve_sp_Q9Y697_2_NFS1_HUMAN_.pdf</v>
      </c>
      <c r="AA3168" t="s">
        <v>14622</v>
      </c>
      <c r="AB3168" t="s">
        <v>18407</v>
      </c>
    </row>
    <row r="3169" spans="1:28" x14ac:dyDescent="0.25">
      <c r="A3169" t="s">
        <v>3173</v>
      </c>
      <c r="B3169">
        <v>0.98876768158843997</v>
      </c>
      <c r="C3169">
        <v>1.1473278736087</v>
      </c>
      <c r="D3169">
        <v>0.84345087664545104</v>
      </c>
      <c r="E3169">
        <v>0.64166765711032603</v>
      </c>
      <c r="F3169">
        <v>0.74387667939430702</v>
      </c>
      <c r="G3169">
        <v>0.32742921181316598</v>
      </c>
      <c r="H3169">
        <v>7.2507073817413004E-2</v>
      </c>
      <c r="I3169">
        <v>3.1382954714418702E-2</v>
      </c>
      <c r="J3169">
        <v>1.32080119010535E-2</v>
      </c>
      <c r="K3169">
        <v>3.5384149259667902E-2</v>
      </c>
      <c r="L3169">
        <v>865.66824736777505</v>
      </c>
      <c r="M3169">
        <v>15.9776432684332</v>
      </c>
      <c r="N3169">
        <v>54.179971093979603</v>
      </c>
      <c r="O3169">
        <v>53.352560607150302</v>
      </c>
      <c r="P3169">
        <v>-7.4874115257116403E-2</v>
      </c>
      <c r="Q3169">
        <v>0</v>
      </c>
      <c r="R3169">
        <v>0.94700064634466097</v>
      </c>
      <c r="S3169" t="s">
        <v>7001</v>
      </c>
      <c r="T3169" t="s">
        <v>7662</v>
      </c>
      <c r="U3169" t="s">
        <v>7662</v>
      </c>
      <c r="V3169" t="s">
        <v>7662</v>
      </c>
      <c r="W3169">
        <v>1</v>
      </c>
      <c r="X3169" t="s">
        <v>10831</v>
      </c>
      <c r="Y3169">
        <v>0.49143259511285281</v>
      </c>
      <c r="Z3169" t="str">
        <f>HYPERLINK("Melting_Curves/meltCurve_sp_Q9Y6A4_CP080_HUMAN_.pdf", "Melting_Curves/meltCurve_sp_Q9Y6A4_CP080_HUMAN_.pdf")</f>
        <v>Melting_Curves/meltCurve_sp_Q9Y6A4_CP080_HUMAN_.pdf</v>
      </c>
      <c r="AA3169" t="s">
        <v>14623</v>
      </c>
      <c r="AB3169" t="s">
        <v>18408</v>
      </c>
    </row>
    <row r="3170" spans="1:28" x14ac:dyDescent="0.25">
      <c r="A3170" t="s">
        <v>3174</v>
      </c>
      <c r="B3170">
        <v>0.98876768158843997</v>
      </c>
      <c r="C3170">
        <v>1.15829365253695</v>
      </c>
      <c r="D3170">
        <v>0.90267016596826399</v>
      </c>
      <c r="E3170">
        <v>0.38893821280641999</v>
      </c>
      <c r="F3170">
        <v>0.41384672150305502</v>
      </c>
      <c r="G3170">
        <v>0.186133743263933</v>
      </c>
      <c r="H3170">
        <v>7.7134338527843196E-2</v>
      </c>
      <c r="I3170">
        <v>4.9013097656054702E-2</v>
      </c>
      <c r="J3170">
        <v>8.8704139908954302E-2</v>
      </c>
      <c r="K3170">
        <v>5.1350710500234799E-2</v>
      </c>
      <c r="L3170">
        <v>1029.6974576575701</v>
      </c>
      <c r="M3170">
        <v>20.632873577988502</v>
      </c>
      <c r="N3170">
        <v>50.310480809782902</v>
      </c>
      <c r="O3170">
        <v>49.443960570134301</v>
      </c>
      <c r="P3170">
        <v>-9.6348189858503006E-2</v>
      </c>
      <c r="Q3170">
        <v>7.6483367501112398E-2</v>
      </c>
      <c r="R3170">
        <v>0.95353503541156104</v>
      </c>
      <c r="S3170" t="s">
        <v>7002</v>
      </c>
      <c r="T3170" t="s">
        <v>7662</v>
      </c>
      <c r="U3170" t="s">
        <v>7662</v>
      </c>
      <c r="V3170" t="s">
        <v>7662</v>
      </c>
      <c r="W3170">
        <v>3</v>
      </c>
      <c r="X3170" t="s">
        <v>10832</v>
      </c>
      <c r="Y3170">
        <v>0.39351649408238948</v>
      </c>
      <c r="Z3170" t="str">
        <f>HYPERLINK("Melting_Curves/meltCurve_sp_Q9Y6B6_SAR1B_HUMAN_.pdf", "Melting_Curves/meltCurve_sp_Q9Y6B6_SAR1B_HUMAN_.pdf")</f>
        <v>Melting_Curves/meltCurve_sp_Q9Y6B6_SAR1B_HUMAN_.pdf</v>
      </c>
      <c r="AA3170" t="s">
        <v>14624</v>
      </c>
      <c r="AB3170" t="s">
        <v>18409</v>
      </c>
    </row>
    <row r="3171" spans="1:28" x14ac:dyDescent="0.25">
      <c r="A3171" t="s">
        <v>3175</v>
      </c>
      <c r="B3171">
        <v>0.98876768158843997</v>
      </c>
      <c r="C3171">
        <v>0.88569350309737804</v>
      </c>
      <c r="D3171">
        <v>0.97389540738931801</v>
      </c>
      <c r="E3171">
        <v>0.46421791193168599</v>
      </c>
      <c r="F3171">
        <v>0.14064698454612601</v>
      </c>
      <c r="G3171">
        <v>7.1974710810625106E-2</v>
      </c>
      <c r="H3171">
        <v>5.2006317372668302E-2</v>
      </c>
      <c r="I3171">
        <v>4.1045444121968401E-2</v>
      </c>
      <c r="J3171">
        <v>4.1020159108607401E-2</v>
      </c>
      <c r="K3171">
        <v>4.2157617461185397E-2</v>
      </c>
      <c r="L3171">
        <v>1810.71411424403</v>
      </c>
      <c r="M3171">
        <v>36.444861046031797</v>
      </c>
      <c r="N3171">
        <v>49.821484646287303</v>
      </c>
      <c r="O3171">
        <v>49.534787406055301</v>
      </c>
      <c r="P3171">
        <v>-0.17511630877946199</v>
      </c>
      <c r="Q3171">
        <v>4.79511050444121E-2</v>
      </c>
      <c r="R3171">
        <v>0.99153334508281199</v>
      </c>
      <c r="S3171" t="s">
        <v>7003</v>
      </c>
      <c r="T3171" t="s">
        <v>7662</v>
      </c>
      <c r="U3171" t="s">
        <v>7662</v>
      </c>
      <c r="V3171" t="s">
        <v>7662</v>
      </c>
      <c r="W3171">
        <v>17</v>
      </c>
      <c r="X3171" t="s">
        <v>10833</v>
      </c>
      <c r="Y3171">
        <v>0.35921025525352651</v>
      </c>
      <c r="Z3171" t="str">
        <f>HYPERLINK("Melting_Curves/meltCurve_sp_Q9Y6D5_BIG2_HUMAN_.pdf", "Melting_Curves/meltCurve_sp_Q9Y6D5_BIG2_HUMAN_.pdf")</f>
        <v>Melting_Curves/meltCurve_sp_Q9Y6D5_BIG2_HUMAN_.pdf</v>
      </c>
      <c r="AA3171" t="s">
        <v>14625</v>
      </c>
      <c r="AB3171" t="s">
        <v>18410</v>
      </c>
    </row>
    <row r="3172" spans="1:28" x14ac:dyDescent="0.25">
      <c r="A3172" t="s">
        <v>3176</v>
      </c>
      <c r="B3172">
        <v>0.98876768158843997</v>
      </c>
      <c r="C3172">
        <v>0.87680116439648004</v>
      </c>
      <c r="D3172">
        <v>1.0153560098519201</v>
      </c>
      <c r="E3172">
        <v>0.66457871218904896</v>
      </c>
      <c r="F3172">
        <v>0.34991290349178999</v>
      </c>
      <c r="G3172">
        <v>0.19722599857162901</v>
      </c>
      <c r="H3172">
        <v>0.14533999926629099</v>
      </c>
      <c r="I3172">
        <v>0.117793798254718</v>
      </c>
      <c r="J3172">
        <v>0.18933898334513999</v>
      </c>
      <c r="K3172">
        <v>0.17255152404951199</v>
      </c>
      <c r="L3172">
        <v>1547.97134434901</v>
      </c>
      <c r="M3172">
        <v>30.4819318344374</v>
      </c>
      <c r="N3172">
        <v>51.4224481900199</v>
      </c>
      <c r="O3172">
        <v>50.566163749699001</v>
      </c>
      <c r="P3172">
        <v>-0.12693889454423099</v>
      </c>
      <c r="Q3172">
        <v>0.15769443519110499</v>
      </c>
      <c r="R3172">
        <v>0.98365081207153704</v>
      </c>
      <c r="S3172" t="s">
        <v>7004</v>
      </c>
      <c r="T3172" t="s">
        <v>7662</v>
      </c>
      <c r="U3172" t="s">
        <v>7662</v>
      </c>
      <c r="V3172" t="s">
        <v>7662</v>
      </c>
      <c r="W3172">
        <v>11</v>
      </c>
      <c r="X3172" t="s">
        <v>10834</v>
      </c>
      <c r="Y3172">
        <v>0.46556486381257528</v>
      </c>
      <c r="Z3172" t="str">
        <f>HYPERLINK("Melting_Curves/meltCurve_sp_Q9Y6D6_BIG1_HUMAN_.pdf", "Melting_Curves/meltCurve_sp_Q9Y6D6_BIG1_HUMAN_.pdf")</f>
        <v>Melting_Curves/meltCurve_sp_Q9Y6D6_BIG1_HUMAN_.pdf</v>
      </c>
      <c r="AA3172" t="s">
        <v>14626</v>
      </c>
      <c r="AB3172" t="s">
        <v>18411</v>
      </c>
    </row>
    <row r="3173" spans="1:28" x14ac:dyDescent="0.25">
      <c r="A3173" t="s">
        <v>3177</v>
      </c>
      <c r="B3173">
        <v>0.98876768158843997</v>
      </c>
      <c r="C3173">
        <v>0.87139619468868701</v>
      </c>
      <c r="D3173">
        <v>0.88635587205053801</v>
      </c>
      <c r="E3173">
        <v>0.51246661432166796</v>
      </c>
      <c r="F3173">
        <v>0.22650840319903401</v>
      </c>
      <c r="G3173">
        <v>0.14350218346305399</v>
      </c>
      <c r="H3173">
        <v>9.4222753174573196E-2</v>
      </c>
      <c r="I3173">
        <v>7.83839714702423E-2</v>
      </c>
      <c r="J3173">
        <v>7.4890514021080795E-2</v>
      </c>
      <c r="K3173">
        <v>5.5507325377550203E-2</v>
      </c>
      <c r="L3173">
        <v>1051.0017248546501</v>
      </c>
      <c r="M3173">
        <v>21.169299718341801</v>
      </c>
      <c r="N3173">
        <v>49.990464948115303</v>
      </c>
      <c r="O3173">
        <v>49.210794590907703</v>
      </c>
      <c r="P3173">
        <v>-0.100276700771642</v>
      </c>
      <c r="Q3173">
        <v>6.7599371988290399E-2</v>
      </c>
      <c r="R3173">
        <v>0.990677453241671</v>
      </c>
      <c r="S3173" t="s">
        <v>7005</v>
      </c>
      <c r="T3173" t="s">
        <v>7662</v>
      </c>
      <c r="U3173" t="s">
        <v>7662</v>
      </c>
      <c r="V3173" t="s">
        <v>7662</v>
      </c>
      <c r="W3173">
        <v>1</v>
      </c>
      <c r="X3173" t="s">
        <v>10835</v>
      </c>
      <c r="Y3173">
        <v>0.37905403056924192</v>
      </c>
      <c r="Z3173" t="str">
        <f>HYPERLINK("Melting_Curves/meltCurve_sp_Q9Y6D9_MD1L1_HUMAN_.pdf", "Melting_Curves/meltCurve_sp_Q9Y6D9_MD1L1_HUMAN_.pdf")</f>
        <v>Melting_Curves/meltCurve_sp_Q9Y6D9_MD1L1_HUMAN_.pdf</v>
      </c>
      <c r="AA3173" t="s">
        <v>14627</v>
      </c>
      <c r="AB3173" t="s">
        <v>18412</v>
      </c>
    </row>
    <row r="3174" spans="1:28" x14ac:dyDescent="0.25">
      <c r="A3174" t="s">
        <v>3178</v>
      </c>
      <c r="B3174">
        <v>0.98876768158843997</v>
      </c>
      <c r="C3174">
        <v>0.88793353430493605</v>
      </c>
      <c r="D3174">
        <v>0.92288664001258103</v>
      </c>
      <c r="E3174">
        <v>0.73127666184305595</v>
      </c>
      <c r="F3174">
        <v>0.58958247081284199</v>
      </c>
      <c r="G3174">
        <v>0.27957399981588998</v>
      </c>
      <c r="H3174">
        <v>0.115330232837894</v>
      </c>
      <c r="I3174">
        <v>6.0753288731962299E-2</v>
      </c>
      <c r="J3174">
        <v>5.51589831043637E-2</v>
      </c>
      <c r="K3174">
        <v>1.8824519567564101E-2</v>
      </c>
      <c r="L3174">
        <v>812.20793495384999</v>
      </c>
      <c r="M3174">
        <v>15.148644692801399</v>
      </c>
      <c r="N3174">
        <v>53.615882777612001</v>
      </c>
      <c r="O3174">
        <v>52.7075855438788</v>
      </c>
      <c r="P3174">
        <v>-7.1859267462805701E-2</v>
      </c>
      <c r="Q3174">
        <v>0</v>
      </c>
      <c r="R3174">
        <v>0.99191735943155601</v>
      </c>
      <c r="S3174" t="s">
        <v>7006</v>
      </c>
      <c r="T3174" t="s">
        <v>7662</v>
      </c>
      <c r="U3174" t="s">
        <v>7662</v>
      </c>
      <c r="V3174" t="s">
        <v>7662</v>
      </c>
      <c r="W3174">
        <v>4</v>
      </c>
      <c r="X3174" t="s">
        <v>10836</v>
      </c>
      <c r="Y3174">
        <v>0.4745206939058571</v>
      </c>
      <c r="Z3174" t="str">
        <f>HYPERLINK("Melting_Curves/meltCurve_sp_Q9Y6G5_COMDA_HUMAN_.pdf", "Melting_Curves/meltCurve_sp_Q9Y6G5_COMDA_HUMAN_.pdf")</f>
        <v>Melting_Curves/meltCurve_sp_Q9Y6G5_COMDA_HUMAN_.pdf</v>
      </c>
      <c r="AA3174" t="s">
        <v>14628</v>
      </c>
      <c r="AB3174" t="s">
        <v>18413</v>
      </c>
    </row>
    <row r="3175" spans="1:28" x14ac:dyDescent="0.25">
      <c r="A3175" t="s">
        <v>3179</v>
      </c>
      <c r="B3175">
        <v>0.98876768158843997</v>
      </c>
      <c r="C3175">
        <v>0.94012660918166602</v>
      </c>
      <c r="D3175">
        <v>0.96765766055468105</v>
      </c>
      <c r="E3175">
        <v>0.51040620224991595</v>
      </c>
      <c r="F3175">
        <v>0.46827108126290301</v>
      </c>
      <c r="G3175">
        <v>0.22909294557382701</v>
      </c>
      <c r="H3175">
        <v>0.180807967532295</v>
      </c>
      <c r="I3175">
        <v>0.18529774687738701</v>
      </c>
      <c r="J3175">
        <v>0.23894215989272599</v>
      </c>
      <c r="K3175">
        <v>0.24247579525451199</v>
      </c>
      <c r="L3175">
        <v>1114.09474394226</v>
      </c>
      <c r="M3175">
        <v>22.3454467574274</v>
      </c>
      <c r="N3175">
        <v>51.103960997202798</v>
      </c>
      <c r="O3175">
        <v>49.463642819812499</v>
      </c>
      <c r="P3175">
        <v>-8.9218112838202301E-2</v>
      </c>
      <c r="Q3175">
        <v>0.210047530308034</v>
      </c>
      <c r="R3175">
        <v>0.97432912484906398</v>
      </c>
      <c r="S3175" t="s">
        <v>7007</v>
      </c>
      <c r="T3175" t="s">
        <v>7662</v>
      </c>
      <c r="U3175" t="s">
        <v>7662</v>
      </c>
      <c r="V3175" t="s">
        <v>7662</v>
      </c>
      <c r="W3175">
        <v>7</v>
      </c>
      <c r="X3175" t="s">
        <v>10837</v>
      </c>
      <c r="Y3175">
        <v>0.47845394140722303</v>
      </c>
      <c r="Z3175" t="str">
        <f>HYPERLINK("Melting_Curves/meltCurve_sp_Q9Y6G9_DC1L1_HUMAN_.pdf", "Melting_Curves/meltCurve_sp_Q9Y6G9_DC1L1_HUMAN_.pdf")</f>
        <v>Melting_Curves/meltCurve_sp_Q9Y6G9_DC1L1_HUMAN_.pdf</v>
      </c>
      <c r="AA3175" t="s">
        <v>14629</v>
      </c>
      <c r="AB3175" t="s">
        <v>18414</v>
      </c>
    </row>
    <row r="3176" spans="1:28" x14ac:dyDescent="0.25">
      <c r="A3176" t="s">
        <v>3180</v>
      </c>
      <c r="B3176">
        <v>0.98876768158843997</v>
      </c>
      <c r="C3176">
        <v>0.987931804802474</v>
      </c>
      <c r="D3176">
        <v>0.89231071290536401</v>
      </c>
      <c r="E3176">
        <v>0.63694220136567303</v>
      </c>
      <c r="F3176">
        <v>0.72788473569735102</v>
      </c>
      <c r="G3176">
        <v>0.53133853084824001</v>
      </c>
      <c r="H3176">
        <v>0.44371592356067202</v>
      </c>
      <c r="I3176">
        <v>0.52160808691923</v>
      </c>
      <c r="J3176">
        <v>0.65252988217431296</v>
      </c>
      <c r="K3176">
        <v>0.75956848918644504</v>
      </c>
      <c r="L3176">
        <v>1327.7033666448499</v>
      </c>
      <c r="M3176">
        <v>27.944226390137899</v>
      </c>
      <c r="O3176">
        <v>47.271296238355603</v>
      </c>
      <c r="P3176">
        <v>-5.9701713926582703E-2</v>
      </c>
      <c r="Q3176">
        <v>0.59603061109581801</v>
      </c>
      <c r="R3176">
        <v>0.77011779117451595</v>
      </c>
      <c r="S3176" t="s">
        <v>7008</v>
      </c>
      <c r="T3176" t="s">
        <v>7662</v>
      </c>
      <c r="U3176" t="s">
        <v>7662</v>
      </c>
      <c r="V3176" t="s">
        <v>7662</v>
      </c>
      <c r="W3176">
        <v>4</v>
      </c>
      <c r="X3176" t="s">
        <v>10838</v>
      </c>
      <c r="Y3176">
        <v>0.70001135899713807</v>
      </c>
      <c r="Z3176" t="str">
        <f>HYPERLINK("Melting_Curves/meltCurve_sp_Q9Y6H1_CHCH2_HUMAN_.pdf", "Melting_Curves/meltCurve_sp_Q9Y6H1_CHCH2_HUMAN_.pdf")</f>
        <v>Melting_Curves/meltCurve_sp_Q9Y6H1_CHCH2_HUMAN_.pdf</v>
      </c>
      <c r="AA3176" t="s">
        <v>14630</v>
      </c>
      <c r="AB3176" t="s">
        <v>18415</v>
      </c>
    </row>
    <row r="3177" spans="1:28" x14ac:dyDescent="0.25">
      <c r="A3177" t="s">
        <v>3181</v>
      </c>
      <c r="B3177">
        <v>0.98876768158843997</v>
      </c>
      <c r="C3177">
        <v>0.91680586978940204</v>
      </c>
      <c r="D3177">
        <v>0.91765578094780798</v>
      </c>
      <c r="E3177">
        <v>0.72153175924174995</v>
      </c>
      <c r="F3177">
        <v>0.65690400171264596</v>
      </c>
      <c r="G3177">
        <v>0.39567431156480598</v>
      </c>
      <c r="H3177">
        <v>0.17334981567781599</v>
      </c>
      <c r="I3177">
        <v>0.13943371828415199</v>
      </c>
      <c r="J3177">
        <v>0.127499106804942</v>
      </c>
      <c r="K3177">
        <v>0.13353681833570699</v>
      </c>
      <c r="L3177">
        <v>698.94575650214301</v>
      </c>
      <c r="M3177">
        <v>12.8731494567112</v>
      </c>
      <c r="N3177">
        <v>54.687423453674199</v>
      </c>
      <c r="O3177">
        <v>53.0347214155777</v>
      </c>
      <c r="P3177">
        <v>-5.8015149513140601E-2</v>
      </c>
      <c r="Q3177">
        <v>4.4133826399400902E-2</v>
      </c>
      <c r="R3177">
        <v>0.98830752866684302</v>
      </c>
      <c r="S3177" t="s">
        <v>7009</v>
      </c>
      <c r="T3177" t="s">
        <v>7662</v>
      </c>
      <c r="U3177" t="s">
        <v>7662</v>
      </c>
      <c r="V3177" t="s">
        <v>7662</v>
      </c>
      <c r="W3177">
        <v>8</v>
      </c>
      <c r="X3177" t="s">
        <v>10839</v>
      </c>
      <c r="Y3177">
        <v>0.52234398759032574</v>
      </c>
      <c r="Z3177" t="str">
        <f>HYPERLINK("Melting_Curves/meltCurve_sp_Q9Y6I3_3_EPN1_HUMAN_.pdf", "Melting_Curves/meltCurve_sp_Q9Y6I3_3_EPN1_HUMAN_.pdf")</f>
        <v>Melting_Curves/meltCurve_sp_Q9Y6I3_3_EPN1_HUMAN_.pdf</v>
      </c>
      <c r="AA3177" t="s">
        <v>14631</v>
      </c>
      <c r="AB3177" t="s">
        <v>18416</v>
      </c>
    </row>
    <row r="3178" spans="1:28" x14ac:dyDescent="0.25">
      <c r="A3178" t="s">
        <v>3182</v>
      </c>
      <c r="B3178">
        <v>0.98876768158843997</v>
      </c>
      <c r="C3178">
        <v>1.08227849847362</v>
      </c>
      <c r="D3178">
        <v>1.0008602134062501</v>
      </c>
      <c r="E3178">
        <v>0.87260853381675696</v>
      </c>
      <c r="F3178">
        <v>0.80037559759847698</v>
      </c>
      <c r="G3178">
        <v>0.52201881633333702</v>
      </c>
      <c r="H3178">
        <v>0.42214604004475798</v>
      </c>
      <c r="I3178">
        <v>0.40212393490381398</v>
      </c>
      <c r="J3178">
        <v>0.61705582781932</v>
      </c>
      <c r="K3178">
        <v>0.65628360114943096</v>
      </c>
      <c r="L3178">
        <v>1728.05075254352</v>
      </c>
      <c r="M3178">
        <v>32.655764142863902</v>
      </c>
      <c r="O3178">
        <v>52.7199215383473</v>
      </c>
      <c r="P3178">
        <v>-7.4652390151311795E-2</v>
      </c>
      <c r="Q3178">
        <v>0.517922840902167</v>
      </c>
      <c r="R3178">
        <v>0.87713887195325702</v>
      </c>
      <c r="S3178" t="s">
        <v>7010</v>
      </c>
      <c r="T3178" t="s">
        <v>7662</v>
      </c>
      <c r="U3178" t="s">
        <v>7662</v>
      </c>
      <c r="V3178" t="s">
        <v>7662</v>
      </c>
      <c r="W3178">
        <v>2</v>
      </c>
      <c r="X3178" t="s">
        <v>10840</v>
      </c>
      <c r="Y3178">
        <v>0.7281335040866812</v>
      </c>
      <c r="Z3178" t="str">
        <f>HYPERLINK("Melting_Curves/meltCurve_sp_Q9Y6I9_TX264_HUMAN_.pdf", "Melting_Curves/meltCurve_sp_Q9Y6I9_TX264_HUMAN_.pdf")</f>
        <v>Melting_Curves/meltCurve_sp_Q9Y6I9_TX264_HUMAN_.pdf</v>
      </c>
      <c r="AA3178" t="s">
        <v>14632</v>
      </c>
      <c r="AB3178" t="s">
        <v>18417</v>
      </c>
    </row>
    <row r="3179" spans="1:28" x14ac:dyDescent="0.25">
      <c r="A3179" t="s">
        <v>3183</v>
      </c>
      <c r="B3179">
        <v>0.98876768158843997</v>
      </c>
      <c r="C3179">
        <v>1.05228451186348</v>
      </c>
      <c r="D3179">
        <v>0.85725464643154203</v>
      </c>
      <c r="E3179">
        <v>0.63799227695601302</v>
      </c>
      <c r="F3179">
        <v>0.12877446405040799</v>
      </c>
      <c r="G3179">
        <v>8.3256583015798705E-2</v>
      </c>
      <c r="H3179">
        <v>5.5531734609532202E-2</v>
      </c>
      <c r="I3179">
        <v>5.1548219875520898E-2</v>
      </c>
      <c r="J3179">
        <v>8.7404592835406497E-2</v>
      </c>
      <c r="K3179">
        <v>5.4466867526768499E-2</v>
      </c>
      <c r="L3179">
        <v>2232.8965703513099</v>
      </c>
      <c r="M3179">
        <v>44.275012723937003</v>
      </c>
      <c r="N3179">
        <v>50.580748662269002</v>
      </c>
      <c r="O3179">
        <v>50.329872032715002</v>
      </c>
      <c r="P3179">
        <v>-0.20653629152307901</v>
      </c>
      <c r="Q3179">
        <v>6.0876093340710001E-2</v>
      </c>
      <c r="R3179">
        <v>0.98671995152118597</v>
      </c>
      <c r="S3179" t="s">
        <v>7011</v>
      </c>
      <c r="T3179" t="s">
        <v>7662</v>
      </c>
      <c r="U3179" t="s">
        <v>7662</v>
      </c>
      <c r="V3179" t="s">
        <v>7662</v>
      </c>
      <c r="W3179">
        <v>4</v>
      </c>
      <c r="X3179" t="s">
        <v>10841</v>
      </c>
      <c r="Y3179">
        <v>0.39012273974688533</v>
      </c>
      <c r="Z3179" t="str">
        <f>HYPERLINK("Melting_Curves/meltCurve_sp_Q9Y6K5_OAS3_HUMAN_.pdf", "Melting_Curves/meltCurve_sp_Q9Y6K5_OAS3_HUMAN_.pdf")</f>
        <v>Melting_Curves/meltCurve_sp_Q9Y6K5_OAS3_HUMAN_.pdf</v>
      </c>
      <c r="AA3179" t="s">
        <v>14633</v>
      </c>
      <c r="AB3179" t="s">
        <v>18418</v>
      </c>
    </row>
    <row r="3180" spans="1:28" x14ac:dyDescent="0.25">
      <c r="A3180" t="s">
        <v>3184</v>
      </c>
      <c r="B3180">
        <v>0.98876768158843997</v>
      </c>
      <c r="C3180">
        <v>0.86709149297476396</v>
      </c>
      <c r="D3180">
        <v>0.83067275357869996</v>
      </c>
      <c r="E3180">
        <v>0.71376599846474797</v>
      </c>
      <c r="F3180">
        <v>0.79405760073215603</v>
      </c>
      <c r="G3180">
        <v>0.62846333916877795</v>
      </c>
      <c r="H3180">
        <v>0.55264950655913003</v>
      </c>
      <c r="I3180">
        <v>0.56700053965152497</v>
      </c>
      <c r="J3180">
        <v>0.85112297807574999</v>
      </c>
      <c r="K3180">
        <v>0.82244222564563596</v>
      </c>
      <c r="L3180">
        <v>795.26087247264002</v>
      </c>
      <c r="M3180">
        <v>17.832391062232102</v>
      </c>
      <c r="O3180">
        <v>44.046918701451197</v>
      </c>
      <c r="P3180">
        <v>-3.0798796031149201E-2</v>
      </c>
      <c r="Q3180">
        <v>0.69571704643501497</v>
      </c>
      <c r="R3180">
        <v>0.49112664151838098</v>
      </c>
      <c r="S3180" t="s">
        <v>7012</v>
      </c>
      <c r="T3180" t="s">
        <v>7662</v>
      </c>
      <c r="U3180" t="s">
        <v>7662</v>
      </c>
      <c r="V3180" t="s">
        <v>7662</v>
      </c>
      <c r="W3180">
        <v>8</v>
      </c>
      <c r="X3180" t="s">
        <v>10842</v>
      </c>
      <c r="Y3180">
        <v>0.74937414188312756</v>
      </c>
      <c r="Z3180" t="str">
        <f>HYPERLINK("Melting_Curves/meltCurve_sp_Q9Y6K9_NEMO_HUMAN_.pdf", "Melting_Curves/meltCurve_sp_Q9Y6K9_NEMO_HUMAN_.pdf")</f>
        <v>Melting_Curves/meltCurve_sp_Q9Y6K9_NEMO_HUMAN_.pdf</v>
      </c>
      <c r="AA3180" t="s">
        <v>14634</v>
      </c>
      <c r="AB3180" t="s">
        <v>18419</v>
      </c>
    </row>
    <row r="3181" spans="1:28" x14ac:dyDescent="0.25">
      <c r="A3181" t="s">
        <v>3185</v>
      </c>
      <c r="B3181">
        <v>0.98876768158843997</v>
      </c>
      <c r="C3181">
        <v>0.66022287233685795</v>
      </c>
      <c r="D3181">
        <v>0.83463946394950495</v>
      </c>
      <c r="E3181">
        <v>0.31423328959244401</v>
      </c>
      <c r="F3181">
        <v>0.15089143775354599</v>
      </c>
      <c r="G3181">
        <v>8.03991423862742E-2</v>
      </c>
      <c r="H3181">
        <v>4.2661802756056098E-2</v>
      </c>
      <c r="I3181">
        <v>3.7698911571779799E-2</v>
      </c>
      <c r="J3181">
        <v>0</v>
      </c>
      <c r="K3181">
        <v>0</v>
      </c>
      <c r="L3181">
        <v>737.84420548986805</v>
      </c>
      <c r="M3181">
        <v>15.3575505596603</v>
      </c>
      <c r="N3181">
        <v>48.044408409865703</v>
      </c>
      <c r="O3181">
        <v>47.251885894707897</v>
      </c>
      <c r="P3181">
        <v>-8.1261123062242993E-2</v>
      </c>
      <c r="Q3181">
        <v>0</v>
      </c>
      <c r="R3181">
        <v>0.94109744543777196</v>
      </c>
      <c r="S3181" t="s">
        <v>7013</v>
      </c>
      <c r="T3181" t="s">
        <v>7662</v>
      </c>
      <c r="U3181" t="s">
        <v>7662</v>
      </c>
      <c r="V3181" t="s">
        <v>7662</v>
      </c>
      <c r="W3181">
        <v>2</v>
      </c>
      <c r="X3181" t="s">
        <v>10843</v>
      </c>
      <c r="Y3181">
        <v>0.29265373657643179</v>
      </c>
      <c r="Z3181" t="str">
        <f>HYPERLINK("Melting_Curves/meltCurve_sp_Q9Y6N5_SQRD_HUMAN_.pdf", "Melting_Curves/meltCurve_sp_Q9Y6N5_SQRD_HUMAN_.pdf")</f>
        <v>Melting_Curves/meltCurve_sp_Q9Y6N5_SQRD_HUMAN_.pdf</v>
      </c>
      <c r="AA3181" t="s">
        <v>14635</v>
      </c>
      <c r="AB3181" t="s">
        <v>18420</v>
      </c>
    </row>
    <row r="3182" spans="1:28" x14ac:dyDescent="0.25">
      <c r="A3182" t="s">
        <v>3186</v>
      </c>
      <c r="B3182">
        <v>0.98876768158843997</v>
      </c>
      <c r="C3182">
        <v>1.03017093843966</v>
      </c>
      <c r="D3182">
        <v>0.91998953452612897</v>
      </c>
      <c r="E3182">
        <v>0.74000496299356</v>
      </c>
      <c r="F3182">
        <v>0.82989623553585701</v>
      </c>
      <c r="G3182">
        <v>0.476973463390996</v>
      </c>
      <c r="H3182">
        <v>0.46270333063805702</v>
      </c>
      <c r="I3182">
        <v>0.533187377906013</v>
      </c>
      <c r="J3182">
        <v>0.77717739867178903</v>
      </c>
      <c r="K3182">
        <v>0.788690606028846</v>
      </c>
      <c r="L3182">
        <v>1127.41968491282</v>
      </c>
      <c r="M3182">
        <v>22.873783178147001</v>
      </c>
      <c r="O3182">
        <v>48.916666500343901</v>
      </c>
      <c r="P3182">
        <v>-4.4024085810812803E-2</v>
      </c>
      <c r="Q3182">
        <v>0.62341703697728301</v>
      </c>
      <c r="R3182">
        <v>0.63572155387289397</v>
      </c>
      <c r="S3182" t="s">
        <v>7014</v>
      </c>
      <c r="T3182" t="s">
        <v>7662</v>
      </c>
      <c r="U3182" t="s">
        <v>7662</v>
      </c>
      <c r="V3182" t="s">
        <v>7662</v>
      </c>
      <c r="W3182">
        <v>1</v>
      </c>
      <c r="X3182" t="s">
        <v>10844</v>
      </c>
      <c r="Y3182">
        <v>0.74402583096922315</v>
      </c>
      <c r="Z3182" t="str">
        <f>HYPERLINK("Melting_Curves/meltCurve_sp_Q9Y6V0_2_PCLO_HUMAN_.pdf", "Melting_Curves/meltCurve_sp_Q9Y6V0_2_PCLO_HUMAN_.pdf")</f>
        <v>Melting_Curves/meltCurve_sp_Q9Y6V0_2_PCLO_HUMAN_.pdf</v>
      </c>
      <c r="AA3182" t="s">
        <v>14636</v>
      </c>
      <c r="AB3182" t="s">
        <v>18421</v>
      </c>
    </row>
    <row r="3183" spans="1:28" x14ac:dyDescent="0.25">
      <c r="A3183" t="s">
        <v>3187</v>
      </c>
      <c r="B3183">
        <v>0.98876768158843997</v>
      </c>
      <c r="C3183">
        <v>0.96369633653964804</v>
      </c>
      <c r="D3183">
        <v>0.84099041588513801</v>
      </c>
      <c r="E3183">
        <v>0.54585473132366102</v>
      </c>
      <c r="F3183">
        <v>0.13538485312063001</v>
      </c>
      <c r="G3183">
        <v>8.0556494582915E-2</v>
      </c>
      <c r="H3183">
        <v>5.7519598097739502E-2</v>
      </c>
      <c r="I3183">
        <v>5.6773856198734603E-2</v>
      </c>
      <c r="J3183">
        <v>5.4357501588018303E-2</v>
      </c>
      <c r="K3183">
        <v>4.68451845613337E-2</v>
      </c>
      <c r="L3183">
        <v>1281.0177333100301</v>
      </c>
      <c r="M3183">
        <v>25.7714074177421</v>
      </c>
      <c r="N3183">
        <v>49.883438934154803</v>
      </c>
      <c r="O3183">
        <v>49.410524051224002</v>
      </c>
      <c r="P3183">
        <v>-0.12471366927547201</v>
      </c>
      <c r="Q3183">
        <v>4.3576224702679599E-2</v>
      </c>
      <c r="R3183">
        <v>0.99224073964558601</v>
      </c>
      <c r="S3183" t="s">
        <v>7015</v>
      </c>
      <c r="T3183" t="s">
        <v>7662</v>
      </c>
      <c r="U3183" t="s">
        <v>7662</v>
      </c>
      <c r="V3183" t="s">
        <v>7662</v>
      </c>
      <c r="W3183">
        <v>4</v>
      </c>
      <c r="X3183" t="s">
        <v>10845</v>
      </c>
      <c r="Y3183">
        <v>0.36105593202948838</v>
      </c>
      <c r="Z3183" t="str">
        <f>HYPERLINK("Melting_Curves/meltCurve_sp_Q9Y6W3_CAN7_HUMAN_.pdf", "Melting_Curves/meltCurve_sp_Q9Y6W3_CAN7_HUMAN_.pdf")</f>
        <v>Melting_Curves/meltCurve_sp_Q9Y6W3_CAN7_HUMAN_.pdf</v>
      </c>
      <c r="AA3183" t="s">
        <v>14637</v>
      </c>
      <c r="AB3183" t="s">
        <v>18422</v>
      </c>
    </row>
    <row r="3184" spans="1:28" x14ac:dyDescent="0.25">
      <c r="A3184" t="s">
        <v>3188</v>
      </c>
      <c r="B3184">
        <v>0.98876768158843997</v>
      </c>
      <c r="C3184">
        <v>1.0061760649775999</v>
      </c>
      <c r="D3184">
        <v>0.95077205055640301</v>
      </c>
      <c r="E3184">
        <v>0.82591075470177699</v>
      </c>
      <c r="F3184">
        <v>0.59033529943810903</v>
      </c>
      <c r="G3184">
        <v>0.45679557141876198</v>
      </c>
      <c r="H3184">
        <v>0.33777189423849702</v>
      </c>
      <c r="I3184">
        <v>0.37142297934745899</v>
      </c>
      <c r="J3184">
        <v>0.48696032923324201</v>
      </c>
      <c r="K3184">
        <v>0.41052622157358298</v>
      </c>
      <c r="L3184">
        <v>1418.0315403602599</v>
      </c>
      <c r="M3184">
        <v>27.5218866821373</v>
      </c>
      <c r="N3184">
        <v>54.772195404445</v>
      </c>
      <c r="O3184">
        <v>51.254058129324001</v>
      </c>
      <c r="P3184">
        <v>-8.0243149731205998E-2</v>
      </c>
      <c r="Q3184">
        <v>0.40225764942153702</v>
      </c>
      <c r="R3184">
        <v>0.97777684949318999</v>
      </c>
      <c r="S3184" t="s">
        <v>7016</v>
      </c>
      <c r="T3184" t="s">
        <v>7662</v>
      </c>
      <c r="U3184" t="s">
        <v>7662</v>
      </c>
      <c r="V3184" t="s">
        <v>7662</v>
      </c>
      <c r="W3184">
        <v>4</v>
      </c>
      <c r="X3184" t="s">
        <v>10846</v>
      </c>
      <c r="Y3184">
        <v>0.63636362104249</v>
      </c>
      <c r="Z3184" t="str">
        <f>HYPERLINK("Melting_Curves/meltCurve_sp_Q9Y6W5_WASF2_HUMAN_.pdf", "Melting_Curves/meltCurve_sp_Q9Y6W5_WASF2_HUMAN_.pdf")</f>
        <v>Melting_Curves/meltCurve_sp_Q9Y6W5_WASF2_HUMAN_.pdf</v>
      </c>
      <c r="AA3184" t="s">
        <v>14638</v>
      </c>
      <c r="AB3184" t="s">
        <v>18423</v>
      </c>
    </row>
    <row r="3185" spans="1:28" x14ac:dyDescent="0.25">
      <c r="A3185" t="s">
        <v>3189</v>
      </c>
      <c r="B3185">
        <v>0.98876768158843997</v>
      </c>
      <c r="C3185">
        <v>0.89269038474045004</v>
      </c>
      <c r="D3185">
        <v>0.76928188257117502</v>
      </c>
      <c r="E3185">
        <v>0.73253336167071204</v>
      </c>
      <c r="F3185">
        <v>0.37056430030394499</v>
      </c>
      <c r="G3185">
        <v>0.22056302572429101</v>
      </c>
      <c r="H3185">
        <v>0.15648179588723499</v>
      </c>
      <c r="I3185">
        <v>0.13905558558060399</v>
      </c>
      <c r="J3185">
        <v>0.160172648028514</v>
      </c>
      <c r="K3185">
        <v>6.5128465031862606E-2</v>
      </c>
      <c r="L3185">
        <v>686.32031821066505</v>
      </c>
      <c r="M3185">
        <v>13.408582410426501</v>
      </c>
      <c r="N3185">
        <v>51.754500763313501</v>
      </c>
      <c r="O3185">
        <v>50.086892537721504</v>
      </c>
      <c r="P3185">
        <v>-6.2347104895891202E-2</v>
      </c>
      <c r="Q3185">
        <v>6.8571852916803705E-2</v>
      </c>
      <c r="R3185">
        <v>0.97366458233150999</v>
      </c>
      <c r="S3185" t="s">
        <v>7017</v>
      </c>
      <c r="T3185" t="s">
        <v>7662</v>
      </c>
      <c r="U3185" t="s">
        <v>7662</v>
      </c>
      <c r="V3185" t="s">
        <v>7662</v>
      </c>
      <c r="W3185">
        <v>1</v>
      </c>
      <c r="X3185" t="s">
        <v>10847</v>
      </c>
      <c r="Y3185">
        <v>0.44137678333061431</v>
      </c>
      <c r="Z3185" t="str">
        <f>HYPERLINK("Melting_Curves/meltCurve_sp_Q9Y6X5_ENPP4_HUMAN_.pdf", "Melting_Curves/meltCurve_sp_Q9Y6X5_ENPP4_HUMAN_.pdf")</f>
        <v>Melting_Curves/meltCurve_sp_Q9Y6X5_ENPP4_HUMAN_.pdf</v>
      </c>
      <c r="AA3185" t="s">
        <v>14639</v>
      </c>
      <c r="AB3185" t="s">
        <v>18424</v>
      </c>
    </row>
    <row r="3186" spans="1:28" x14ac:dyDescent="0.25">
      <c r="A3186" t="s">
        <v>3190</v>
      </c>
      <c r="B3186">
        <v>0.98876768158843997</v>
      </c>
      <c r="C3186">
        <v>0.92213582542957395</v>
      </c>
      <c r="D3186">
        <v>0.90927832444238699</v>
      </c>
      <c r="E3186">
        <v>0.86352394415089595</v>
      </c>
      <c r="F3186">
        <v>0.75385749347603503</v>
      </c>
      <c r="G3186">
        <v>0.54033057541013196</v>
      </c>
      <c r="H3186">
        <v>0.36775267589341498</v>
      </c>
      <c r="I3186">
        <v>0.21068360778997799</v>
      </c>
      <c r="J3186">
        <v>0.146482868867787</v>
      </c>
      <c r="K3186">
        <v>0.120740758636464</v>
      </c>
      <c r="L3186">
        <v>674.70979767075505</v>
      </c>
      <c r="M3186">
        <v>11.696526907190799</v>
      </c>
      <c r="N3186">
        <v>57.684617319445501</v>
      </c>
      <c r="O3186">
        <v>56.075883864420597</v>
      </c>
      <c r="P3186">
        <v>-5.21598576952991E-2</v>
      </c>
      <c r="Q3186">
        <v>0</v>
      </c>
      <c r="R3186">
        <v>0.99313606411847899</v>
      </c>
      <c r="S3186" t="s">
        <v>7018</v>
      </c>
      <c r="T3186" t="s">
        <v>7662</v>
      </c>
      <c r="U3186" t="s">
        <v>7662</v>
      </c>
      <c r="V3186" t="s">
        <v>7662</v>
      </c>
      <c r="W3186">
        <v>1</v>
      </c>
      <c r="X3186" t="s">
        <v>10848</v>
      </c>
      <c r="Y3186">
        <v>0.60336910428923474</v>
      </c>
      <c r="Z3186" t="str">
        <f>HYPERLINK("Melting_Curves/meltCurve_tr_A1A528_A1A528_HUMAN_.pdf", "Melting_Curves/meltCurve_tr_A1A528_A1A528_HUMAN_.pdf")</f>
        <v>Melting_Curves/meltCurve_tr_A1A528_A1A528_HUMAN_.pdf</v>
      </c>
      <c r="AA3186" t="s">
        <v>14640</v>
      </c>
      <c r="AB3186" t="s">
        <v>18425</v>
      </c>
    </row>
    <row r="3187" spans="1:28" x14ac:dyDescent="0.25">
      <c r="A3187" t="s">
        <v>3191</v>
      </c>
      <c r="B3187">
        <v>0.98876768158843997</v>
      </c>
      <c r="C3187">
        <v>1.07184912098485</v>
      </c>
      <c r="D3187">
        <v>0.98024595893530497</v>
      </c>
      <c r="E3187">
        <v>0.72294374761377</v>
      </c>
      <c r="F3187">
        <v>0.81755362822387601</v>
      </c>
      <c r="G3187">
        <v>0.62673966614879595</v>
      </c>
      <c r="H3187">
        <v>0.47775145462970198</v>
      </c>
      <c r="I3187">
        <v>0.45007774613996399</v>
      </c>
      <c r="J3187">
        <v>0.75109123051746995</v>
      </c>
      <c r="K3187">
        <v>0.76614098794559404</v>
      </c>
      <c r="L3187">
        <v>1153.07476415224</v>
      </c>
      <c r="M3187">
        <v>23.107046692934599</v>
      </c>
      <c r="O3187">
        <v>49.532197062277298</v>
      </c>
      <c r="P3187">
        <v>-4.4254978158257102E-2</v>
      </c>
      <c r="Q3187">
        <v>0.62054761210630005</v>
      </c>
      <c r="R3187">
        <v>0.70150692264824999</v>
      </c>
      <c r="S3187" t="s">
        <v>7019</v>
      </c>
      <c r="T3187" t="s">
        <v>7662</v>
      </c>
      <c r="U3187" t="s">
        <v>7662</v>
      </c>
      <c r="V3187" t="s">
        <v>7662</v>
      </c>
      <c r="W3187">
        <v>5</v>
      </c>
      <c r="X3187" t="s">
        <v>10849</v>
      </c>
      <c r="Y3187">
        <v>0.74975389461951225</v>
      </c>
      <c r="Z3187" t="str">
        <f>HYPERLINK("Melting_Curves/meltCurve_tr_A2ABK1_A2ABK1_HUMAN_.pdf", "Melting_Curves/meltCurve_tr_A2ABK1_A2ABK1_HUMAN_.pdf")</f>
        <v>Melting_Curves/meltCurve_tr_A2ABK1_A2ABK1_HUMAN_.pdf</v>
      </c>
      <c r="AA3187" t="s">
        <v>14641</v>
      </c>
      <c r="AB3187" t="s">
        <v>18426</v>
      </c>
    </row>
    <row r="3188" spans="1:28" x14ac:dyDescent="0.25">
      <c r="A3188" t="s">
        <v>3192</v>
      </c>
      <c r="B3188">
        <v>0.98876768158843997</v>
      </c>
      <c r="C3188">
        <v>0.84581892854253504</v>
      </c>
      <c r="D3188">
        <v>1.0123308571698799</v>
      </c>
      <c r="E3188">
        <v>1.0148823365608299</v>
      </c>
      <c r="F3188">
        <v>0.64207960369343298</v>
      </c>
      <c r="G3188">
        <v>0.38914973995889601</v>
      </c>
      <c r="H3188">
        <v>0.35170995831548502</v>
      </c>
      <c r="I3188">
        <v>0.31914040923891301</v>
      </c>
      <c r="J3188">
        <v>0.36253255121596001</v>
      </c>
      <c r="K3188">
        <v>0.31507683783256102</v>
      </c>
      <c r="L3188">
        <v>13239.673718628501</v>
      </c>
      <c r="M3188">
        <v>250</v>
      </c>
      <c r="N3188">
        <v>53.211473048049399</v>
      </c>
      <c r="O3188">
        <v>52.955305880315599</v>
      </c>
      <c r="P3188">
        <v>-0.77008112709383003</v>
      </c>
      <c r="Q3188">
        <v>0.34752189469381201</v>
      </c>
      <c r="R3188">
        <v>0.96777676468257101</v>
      </c>
      <c r="S3188" t="s">
        <v>7020</v>
      </c>
      <c r="T3188" t="s">
        <v>7662</v>
      </c>
      <c r="U3188" t="s">
        <v>7662</v>
      </c>
      <c r="V3188" t="s">
        <v>7662</v>
      </c>
      <c r="W3188">
        <v>1</v>
      </c>
      <c r="X3188" t="s">
        <v>10850</v>
      </c>
      <c r="Y3188">
        <v>0.6294246930739954</v>
      </c>
      <c r="Z3188" t="str">
        <f>HYPERLINK("Melting_Curves/meltCurve_tr_A3KFL4_A3KFL4_HUMAN_.pdf", "Melting_Curves/meltCurve_tr_A3KFL4_A3KFL4_HUMAN_.pdf")</f>
        <v>Melting_Curves/meltCurve_tr_A3KFL4_A3KFL4_HUMAN_.pdf</v>
      </c>
      <c r="AA3188" t="s">
        <v>14642</v>
      </c>
      <c r="AB3188" t="s">
        <v>18427</v>
      </c>
    </row>
    <row r="3189" spans="1:28" x14ac:dyDescent="0.25">
      <c r="A3189" t="s">
        <v>3193</v>
      </c>
      <c r="B3189">
        <v>0.98876768158843997</v>
      </c>
      <c r="C3189">
        <v>0.83316350264496797</v>
      </c>
      <c r="D3189">
        <v>0.86031547253447105</v>
      </c>
      <c r="E3189">
        <v>0.36548997722839499</v>
      </c>
      <c r="F3189">
        <v>0.193108493084021</v>
      </c>
      <c r="G3189">
        <v>8.2269015502097004E-2</v>
      </c>
      <c r="H3189">
        <v>7.4942912425012706E-2</v>
      </c>
      <c r="I3189">
        <v>5.8641954536748898E-2</v>
      </c>
      <c r="J3189">
        <v>9.3190921919396694E-2</v>
      </c>
      <c r="K3189">
        <v>6.3830223717579002E-2</v>
      </c>
      <c r="L3189">
        <v>1113.80736283641</v>
      </c>
      <c r="M3189">
        <v>22.914771718077201</v>
      </c>
      <c r="N3189">
        <v>48.904014874066</v>
      </c>
      <c r="O3189">
        <v>48.2408815170106</v>
      </c>
      <c r="P3189">
        <v>-0.11102820960456999</v>
      </c>
      <c r="Q3189">
        <v>6.5057766538344303E-2</v>
      </c>
      <c r="R3189">
        <v>0.98409756226399003</v>
      </c>
      <c r="S3189" t="s">
        <v>7021</v>
      </c>
      <c r="T3189" t="s">
        <v>7662</v>
      </c>
      <c r="U3189" t="s">
        <v>7662</v>
      </c>
      <c r="V3189" t="s">
        <v>7662</v>
      </c>
      <c r="W3189">
        <v>4</v>
      </c>
      <c r="X3189" t="s">
        <v>10851</v>
      </c>
      <c r="Y3189">
        <v>0.34319215862694752</v>
      </c>
      <c r="Z3189" t="str">
        <f>HYPERLINK("Melting_Curves/meltCurve_tr_A6H8Z3_A6H8Z3_HUMAN_.pdf", "Melting_Curves/meltCurve_tr_A6H8Z3_A6H8Z3_HUMAN_.pdf")</f>
        <v>Melting_Curves/meltCurve_tr_A6H8Z3_A6H8Z3_HUMAN_.pdf</v>
      </c>
      <c r="AA3189" t="s">
        <v>14643</v>
      </c>
      <c r="AB3189" t="s">
        <v>18428</v>
      </c>
    </row>
    <row r="3190" spans="1:28" x14ac:dyDescent="0.25">
      <c r="A3190" t="s">
        <v>3194</v>
      </c>
      <c r="B3190">
        <v>0.98876768158843997</v>
      </c>
      <c r="C3190">
        <v>1.1295550145725399</v>
      </c>
      <c r="D3190">
        <v>0.75876707963302203</v>
      </c>
      <c r="E3190">
        <v>0.27913172440675499</v>
      </c>
      <c r="F3190">
        <v>0.121814108524765</v>
      </c>
      <c r="G3190">
        <v>7.7194996280257597E-2</v>
      </c>
      <c r="H3190">
        <v>4.8312998448853901E-2</v>
      </c>
      <c r="I3190">
        <v>5.8329126098568503E-2</v>
      </c>
      <c r="J3190">
        <v>6.5058141169827499E-2</v>
      </c>
      <c r="K3190">
        <v>6.8334327838201606E-2</v>
      </c>
      <c r="L3190">
        <v>1497.2690930690001</v>
      </c>
      <c r="M3190">
        <v>31.2539294566823</v>
      </c>
      <c r="N3190">
        <v>48.122869617844302</v>
      </c>
      <c r="O3190">
        <v>47.711739829985902</v>
      </c>
      <c r="P3190">
        <v>-0.15303493152085301</v>
      </c>
      <c r="Q3190">
        <v>6.5522640222104106E-2</v>
      </c>
      <c r="R3190">
        <v>0.98423664130881505</v>
      </c>
      <c r="S3190" t="s">
        <v>7022</v>
      </c>
      <c r="T3190" t="s">
        <v>7662</v>
      </c>
      <c r="U3190" t="s">
        <v>7662</v>
      </c>
      <c r="V3190" t="s">
        <v>7662</v>
      </c>
      <c r="W3190">
        <v>4</v>
      </c>
      <c r="X3190" t="s">
        <v>10852</v>
      </c>
      <c r="Y3190">
        <v>0.31696594542701501</v>
      </c>
      <c r="Z3190" t="str">
        <f>HYPERLINK("Melting_Curves/meltCurve_tr_A6NG64_A6NG64_HUMAN_.pdf", "Melting_Curves/meltCurve_tr_A6NG64_A6NG64_HUMAN_.pdf")</f>
        <v>Melting_Curves/meltCurve_tr_A6NG64_A6NG64_HUMAN_.pdf</v>
      </c>
      <c r="AA3190" t="s">
        <v>14644</v>
      </c>
      <c r="AB3190" t="s">
        <v>18429</v>
      </c>
    </row>
    <row r="3191" spans="1:28" x14ac:dyDescent="0.25">
      <c r="A3191" t="s">
        <v>3195</v>
      </c>
      <c r="B3191">
        <v>0.98876768158843997</v>
      </c>
      <c r="C3191">
        <v>0.90187839486469301</v>
      </c>
      <c r="D3191">
        <v>0.76059317117541503</v>
      </c>
      <c r="E3191">
        <v>0.48975818122731701</v>
      </c>
      <c r="F3191">
        <v>0.773190739136279</v>
      </c>
      <c r="G3191">
        <v>0.56081084483878696</v>
      </c>
      <c r="H3191">
        <v>0.46163940749219101</v>
      </c>
      <c r="I3191">
        <v>0.53969547538932605</v>
      </c>
      <c r="J3191">
        <v>0.54044091052076204</v>
      </c>
      <c r="K3191">
        <v>0.68122673294462899</v>
      </c>
      <c r="L3191">
        <v>1232.44639724131</v>
      </c>
      <c r="M3191">
        <v>27.3110270693617</v>
      </c>
      <c r="O3191">
        <v>44.886470867624801</v>
      </c>
      <c r="P3191">
        <v>-6.4583508334401699E-2</v>
      </c>
      <c r="Q3191">
        <v>0.57542448727968798</v>
      </c>
      <c r="R3191">
        <v>0.73949084534993903</v>
      </c>
      <c r="S3191" t="s">
        <v>7023</v>
      </c>
      <c r="T3191" t="s">
        <v>7662</v>
      </c>
      <c r="U3191" t="s">
        <v>7662</v>
      </c>
      <c r="V3191" t="s">
        <v>7662</v>
      </c>
      <c r="W3191">
        <v>2</v>
      </c>
      <c r="X3191" t="s">
        <v>10853</v>
      </c>
      <c r="Y3191">
        <v>0.65135635903914813</v>
      </c>
      <c r="Z3191" t="str">
        <f>HYPERLINK("Melting_Curves/meltCurve_tr_A6NG79_A6NG79_HUMAN_.pdf", "Melting_Curves/meltCurve_tr_A6NG79_A6NG79_HUMAN_.pdf")</f>
        <v>Melting_Curves/meltCurve_tr_A6NG79_A6NG79_HUMAN_.pdf</v>
      </c>
      <c r="AA3191" t="s">
        <v>14645</v>
      </c>
      <c r="AB3191" t="s">
        <v>18430</v>
      </c>
    </row>
    <row r="3192" spans="1:28" x14ac:dyDescent="0.25">
      <c r="A3192" t="s">
        <v>3196</v>
      </c>
      <c r="B3192">
        <v>0.98876768158843997</v>
      </c>
      <c r="C3192">
        <v>1.1954678410639401</v>
      </c>
      <c r="D3192">
        <v>0.92010070038971503</v>
      </c>
      <c r="E3192">
        <v>0.83535178556101097</v>
      </c>
      <c r="F3192">
        <v>1.0359801224576199</v>
      </c>
      <c r="G3192">
        <v>0.67230047087624001</v>
      </c>
      <c r="H3192">
        <v>0.54754295466743597</v>
      </c>
      <c r="I3192">
        <v>0.63899776959690902</v>
      </c>
      <c r="J3192">
        <v>0.84901609867076999</v>
      </c>
      <c r="K3192">
        <v>0.942281632150342</v>
      </c>
      <c r="L3192">
        <v>8375.9763744759402</v>
      </c>
      <c r="M3192">
        <v>152.677619903871</v>
      </c>
      <c r="O3192">
        <v>54.8511268807869</v>
      </c>
      <c r="P3192">
        <v>-0.187939572450041</v>
      </c>
      <c r="Q3192">
        <v>0.72992250648164203</v>
      </c>
      <c r="R3192">
        <v>0.49708844491785598</v>
      </c>
      <c r="S3192" t="s">
        <v>7024</v>
      </c>
      <c r="T3192" t="s">
        <v>7662</v>
      </c>
      <c r="U3192" t="s">
        <v>7662</v>
      </c>
      <c r="V3192" t="s">
        <v>7662</v>
      </c>
      <c r="W3192">
        <v>11</v>
      </c>
      <c r="X3192" t="s">
        <v>10854</v>
      </c>
      <c r="Y3192">
        <v>0.86377548027547457</v>
      </c>
      <c r="Z3192" t="str">
        <f>HYPERLINK("Melting_Curves/meltCurve_tr_A6NGP5_A6NGP5_HUMAN_.pdf", "Melting_Curves/meltCurve_tr_A6NGP5_A6NGP5_HUMAN_.pdf")</f>
        <v>Melting_Curves/meltCurve_tr_A6NGP5_A6NGP5_HUMAN_.pdf</v>
      </c>
      <c r="AA3192" t="s">
        <v>14646</v>
      </c>
      <c r="AB3192" t="s">
        <v>18431</v>
      </c>
    </row>
    <row r="3193" spans="1:28" x14ac:dyDescent="0.25">
      <c r="A3193" t="s">
        <v>3197</v>
      </c>
      <c r="B3193">
        <v>0.98876768158843997</v>
      </c>
      <c r="C3193">
        <v>0.97262830171661296</v>
      </c>
      <c r="D3193">
        <v>0.82734520586356297</v>
      </c>
      <c r="E3193">
        <v>0.69730361942251595</v>
      </c>
      <c r="F3193">
        <v>0.675322738581416</v>
      </c>
      <c r="G3193">
        <v>0.38286526197256099</v>
      </c>
      <c r="H3193">
        <v>0.13523255594686201</v>
      </c>
      <c r="I3193">
        <v>7.8283073269410405E-2</v>
      </c>
      <c r="J3193">
        <v>5.4646210860015997E-2</v>
      </c>
      <c r="K3193">
        <v>5.3049710686242403E-2</v>
      </c>
      <c r="L3193">
        <v>709.71859796337105</v>
      </c>
      <c r="M3193">
        <v>13.077859700213301</v>
      </c>
      <c r="N3193">
        <v>54.268711600562497</v>
      </c>
      <c r="O3193">
        <v>53.046852497716301</v>
      </c>
      <c r="P3193">
        <v>-6.1644177277989799E-2</v>
      </c>
      <c r="Q3193">
        <v>0</v>
      </c>
      <c r="R3193">
        <v>0.98042295614309705</v>
      </c>
      <c r="S3193" t="s">
        <v>7025</v>
      </c>
      <c r="T3193" t="s">
        <v>7662</v>
      </c>
      <c r="U3193" t="s">
        <v>7662</v>
      </c>
      <c r="V3193" t="s">
        <v>7662</v>
      </c>
      <c r="W3193">
        <v>1</v>
      </c>
      <c r="X3193" t="s">
        <v>10855</v>
      </c>
      <c r="Y3193">
        <v>0.49910643118448372</v>
      </c>
      <c r="Z3193" t="str">
        <f>HYPERLINK("Melting_Curves/meltCurve_tr_A6NIR2_A6NIR2_HUMAN_.pdf", "Melting_Curves/meltCurve_tr_A6NIR2_A6NIR2_HUMAN_.pdf")</f>
        <v>Melting_Curves/meltCurve_tr_A6NIR2_A6NIR2_HUMAN_.pdf</v>
      </c>
      <c r="AA3193" t="s">
        <v>14647</v>
      </c>
      <c r="AB3193" t="s">
        <v>18432</v>
      </c>
    </row>
    <row r="3194" spans="1:28" x14ac:dyDescent="0.25">
      <c r="A3194" t="s">
        <v>3198</v>
      </c>
      <c r="B3194">
        <v>0.98876768158843997</v>
      </c>
      <c r="C3194">
        <v>0.85902134333382496</v>
      </c>
      <c r="D3194">
        <v>0.89566926343186404</v>
      </c>
      <c r="E3194">
        <v>0.40206048265161298</v>
      </c>
      <c r="F3194">
        <v>0.16674130669757101</v>
      </c>
      <c r="G3194">
        <v>8.3197351975865697E-2</v>
      </c>
      <c r="H3194">
        <v>5.4883373088289299E-2</v>
      </c>
      <c r="I3194">
        <v>1.2247130375902301E-2</v>
      </c>
      <c r="J3194">
        <v>4.2571334932900898E-2</v>
      </c>
      <c r="K3194">
        <v>1.9714389812452701E-2</v>
      </c>
      <c r="L3194">
        <v>1200.81916828667</v>
      </c>
      <c r="M3194">
        <v>24.4322485868468</v>
      </c>
      <c r="N3194">
        <v>49.280032947436801</v>
      </c>
      <c r="O3194">
        <v>48.8232471198193</v>
      </c>
      <c r="P3194">
        <v>-0.121171256597174</v>
      </c>
      <c r="Q3194">
        <v>3.1462842730896397E-2</v>
      </c>
      <c r="R3194">
        <v>0.98844714925418398</v>
      </c>
      <c r="S3194" t="s">
        <v>7026</v>
      </c>
      <c r="T3194" t="s">
        <v>7662</v>
      </c>
      <c r="U3194" t="s">
        <v>7662</v>
      </c>
      <c r="V3194" t="s">
        <v>7662</v>
      </c>
      <c r="W3194">
        <v>2</v>
      </c>
      <c r="X3194" t="s">
        <v>10856</v>
      </c>
      <c r="Y3194">
        <v>0.33583856986082927</v>
      </c>
      <c r="Z3194" t="str">
        <f>HYPERLINK("Melting_Curves/meltCurve_tr_A6NML8_A6NML8_HUMAN_.pdf", "Melting_Curves/meltCurve_tr_A6NML8_A6NML8_HUMAN_.pdf")</f>
        <v>Melting_Curves/meltCurve_tr_A6NML8_A6NML8_HUMAN_.pdf</v>
      </c>
      <c r="AA3194" t="s">
        <v>14648</v>
      </c>
      <c r="AB3194" t="s">
        <v>18433</v>
      </c>
    </row>
    <row r="3195" spans="1:28" x14ac:dyDescent="0.25">
      <c r="A3195" t="s">
        <v>3199</v>
      </c>
      <c r="B3195">
        <v>0.98876768158843997</v>
      </c>
      <c r="C3195">
        <v>1.09550620647677</v>
      </c>
      <c r="D3195">
        <v>0.89528290455975601</v>
      </c>
      <c r="E3195">
        <v>0.55509948820670296</v>
      </c>
      <c r="F3195">
        <v>0.61616871503046799</v>
      </c>
      <c r="G3195">
        <v>0.46004028833911398</v>
      </c>
      <c r="H3195">
        <v>0.32633329748465001</v>
      </c>
      <c r="I3195">
        <v>0.43041458584101699</v>
      </c>
      <c r="J3195">
        <v>0.61456635258439496</v>
      </c>
      <c r="K3195">
        <v>0.663546527700414</v>
      </c>
      <c r="L3195">
        <v>2103.5440775077</v>
      </c>
      <c r="M3195">
        <v>44.349192578805102</v>
      </c>
      <c r="O3195">
        <v>47.3352592492136</v>
      </c>
      <c r="P3195">
        <v>-0.11324915495047901</v>
      </c>
      <c r="Q3195">
        <v>0.51650341834922797</v>
      </c>
      <c r="R3195">
        <v>0.82987415239397699</v>
      </c>
      <c r="S3195" t="s">
        <v>7027</v>
      </c>
      <c r="T3195" t="s">
        <v>7662</v>
      </c>
      <c r="U3195" t="s">
        <v>7662</v>
      </c>
      <c r="V3195" t="s">
        <v>7662</v>
      </c>
      <c r="W3195">
        <v>4</v>
      </c>
      <c r="X3195" t="s">
        <v>10857</v>
      </c>
      <c r="Y3195">
        <v>0.63756274499326482</v>
      </c>
      <c r="Z3195" t="str">
        <f>HYPERLINK("Melting_Curves/meltCurve_tr_A6NN40_A6NN40_HUMAN_.pdf", "Melting_Curves/meltCurve_tr_A6NN40_A6NN40_HUMAN_.pdf")</f>
        <v>Melting_Curves/meltCurve_tr_A6NN40_A6NN40_HUMAN_.pdf</v>
      </c>
      <c r="AA3195" t="s">
        <v>14649</v>
      </c>
      <c r="AB3195" t="s">
        <v>18434</v>
      </c>
    </row>
    <row r="3196" spans="1:28" x14ac:dyDescent="0.25">
      <c r="A3196" t="s">
        <v>3200</v>
      </c>
      <c r="B3196">
        <v>0.98876768158843997</v>
      </c>
      <c r="C3196">
        <v>0.98451921211275495</v>
      </c>
      <c r="D3196">
        <v>0.85463905245646199</v>
      </c>
      <c r="E3196">
        <v>0.721631603445133</v>
      </c>
      <c r="F3196">
        <v>0.57948468705187794</v>
      </c>
      <c r="G3196">
        <v>0.42857202565692698</v>
      </c>
      <c r="H3196">
        <v>0.34078637477963403</v>
      </c>
      <c r="I3196">
        <v>0.35224794281963401</v>
      </c>
      <c r="J3196">
        <v>0.38586681712118098</v>
      </c>
      <c r="K3196">
        <v>0.38187728847660801</v>
      </c>
      <c r="L3196">
        <v>813.44256460015504</v>
      </c>
      <c r="M3196">
        <v>16.065535448475199</v>
      </c>
      <c r="N3196">
        <v>54.648668465482103</v>
      </c>
      <c r="O3196">
        <v>49.867761542037698</v>
      </c>
      <c r="P3196">
        <v>-5.2641310814428299E-2</v>
      </c>
      <c r="Q3196">
        <v>0.34645151959674098</v>
      </c>
      <c r="R3196">
        <v>0.99002776521020097</v>
      </c>
      <c r="S3196" t="s">
        <v>7028</v>
      </c>
      <c r="T3196" t="s">
        <v>7662</v>
      </c>
      <c r="U3196" t="s">
        <v>7662</v>
      </c>
      <c r="V3196" t="s">
        <v>7662</v>
      </c>
      <c r="W3196">
        <v>5</v>
      </c>
      <c r="X3196" t="s">
        <v>10858</v>
      </c>
      <c r="Y3196">
        <v>0.59165409359024934</v>
      </c>
      <c r="Z3196" t="str">
        <f>HYPERLINK("Melting_Curves/meltCurve_tr_A6NNK5_A6NNK5_HUMAN_.pdf", "Melting_Curves/meltCurve_tr_A6NNK5_A6NNK5_HUMAN_.pdf")</f>
        <v>Melting_Curves/meltCurve_tr_A6NNK5_A6NNK5_HUMAN_.pdf</v>
      </c>
      <c r="AA3196" t="s">
        <v>14650</v>
      </c>
      <c r="AB3196" t="s">
        <v>18435</v>
      </c>
    </row>
    <row r="3197" spans="1:28" x14ac:dyDescent="0.25">
      <c r="A3197" t="s">
        <v>3201</v>
      </c>
      <c r="B3197">
        <v>0.98876768158843997</v>
      </c>
      <c r="C3197">
        <v>0.65127052327205104</v>
      </c>
      <c r="D3197">
        <v>1.0412718466998501</v>
      </c>
      <c r="E3197">
        <v>0.52290583634605803</v>
      </c>
      <c r="F3197">
        <v>0.17041795189955</v>
      </c>
      <c r="G3197">
        <v>8.4048168470666207E-2</v>
      </c>
      <c r="H3197">
        <v>4.5802434273895E-2</v>
      </c>
      <c r="I3197">
        <v>5.3268667147175999E-2</v>
      </c>
      <c r="J3197">
        <v>6.0816411869892402E-2</v>
      </c>
      <c r="K3197">
        <v>4.2565961397098603E-2</v>
      </c>
      <c r="L3197">
        <v>1944.06784811581</v>
      </c>
      <c r="M3197">
        <v>38.849630719023999</v>
      </c>
      <c r="N3197">
        <v>50.1983719615518</v>
      </c>
      <c r="O3197">
        <v>49.908808009098202</v>
      </c>
      <c r="P3197">
        <v>-0.18343489975261701</v>
      </c>
      <c r="Q3197">
        <v>5.7391976977699301E-2</v>
      </c>
      <c r="R3197">
        <v>0.91334887758352601</v>
      </c>
      <c r="S3197" t="s">
        <v>7029</v>
      </c>
      <c r="T3197" t="s">
        <v>7662</v>
      </c>
      <c r="U3197" t="s">
        <v>7662</v>
      </c>
      <c r="V3197" t="s">
        <v>7662</v>
      </c>
      <c r="W3197">
        <v>28</v>
      </c>
      <c r="X3197" t="s">
        <v>10859</v>
      </c>
      <c r="Y3197">
        <v>0.37633697702361729</v>
      </c>
      <c r="Z3197" t="str">
        <f>HYPERLINK("Melting_Curves/meltCurve_tr_A8K7Q2_A8K7Q2_HUMAN_.pdf", "Melting_Curves/meltCurve_tr_A8K7Q2_A8K7Q2_HUMAN_.pdf")</f>
        <v>Melting_Curves/meltCurve_tr_A8K7Q2_A8K7Q2_HUMAN_.pdf</v>
      </c>
      <c r="AA3197" t="s">
        <v>12071</v>
      </c>
      <c r="AB3197" t="s">
        <v>15830</v>
      </c>
    </row>
    <row r="3198" spans="1:28" x14ac:dyDescent="0.25">
      <c r="A3198" t="s">
        <v>3202</v>
      </c>
      <c r="B3198">
        <v>0.98876768158843997</v>
      </c>
      <c r="C3198">
        <v>0.9429276606375</v>
      </c>
      <c r="D3198">
        <v>1.04267257967391</v>
      </c>
      <c r="E3198">
        <v>0.82641924183541604</v>
      </c>
      <c r="F3198">
        <v>0.166121614597949</v>
      </c>
      <c r="G3198">
        <v>9.4113958333595205E-2</v>
      </c>
      <c r="H3198">
        <v>4.3338719613410001E-2</v>
      </c>
      <c r="I3198">
        <v>3.8725459001606503E-2</v>
      </c>
      <c r="J3198">
        <v>4.34912376613866E-2</v>
      </c>
      <c r="K3198">
        <v>4.5963746605792402E-2</v>
      </c>
      <c r="L3198">
        <v>3070.5157153877399</v>
      </c>
      <c r="M3198">
        <v>59.914944096632802</v>
      </c>
      <c r="N3198">
        <v>51.342859509313101</v>
      </c>
      <c r="O3198">
        <v>51.190928971448997</v>
      </c>
      <c r="P3198">
        <v>-0.277260993104047</v>
      </c>
      <c r="Q3198">
        <v>5.2440910998631102E-2</v>
      </c>
      <c r="R3198">
        <v>0.99616665995371301</v>
      </c>
      <c r="S3198" t="s">
        <v>7030</v>
      </c>
      <c r="T3198" t="s">
        <v>7662</v>
      </c>
      <c r="U3198" t="s">
        <v>7662</v>
      </c>
      <c r="V3198" t="s">
        <v>7662</v>
      </c>
      <c r="W3198">
        <v>5</v>
      </c>
      <c r="X3198" t="s">
        <v>10860</v>
      </c>
      <c r="Y3198">
        <v>0.40919877726777532</v>
      </c>
      <c r="Z3198" t="str">
        <f>HYPERLINK("Melting_Curves/meltCurve_tr_A8MTY9_A8MTY9_HUMAN_.pdf", "Melting_Curves/meltCurve_tr_A8MTY9_A8MTY9_HUMAN_.pdf")</f>
        <v>Melting_Curves/meltCurve_tr_A8MTY9_A8MTY9_HUMAN_.pdf</v>
      </c>
      <c r="AA3198" t="s">
        <v>14651</v>
      </c>
      <c r="AB3198" t="s">
        <v>18436</v>
      </c>
    </row>
    <row r="3199" spans="1:28" x14ac:dyDescent="0.25">
      <c r="A3199" t="s">
        <v>3203</v>
      </c>
      <c r="B3199">
        <v>0.98876768158843997</v>
      </c>
      <c r="C3199">
        <v>0.92997338234141402</v>
      </c>
      <c r="D3199">
        <v>0.98374448674423898</v>
      </c>
      <c r="E3199">
        <v>0.84201828093772502</v>
      </c>
      <c r="F3199">
        <v>0.330816270755176</v>
      </c>
      <c r="G3199">
        <v>9.7756573864908006E-2</v>
      </c>
      <c r="H3199">
        <v>5.9669629864904303E-2</v>
      </c>
      <c r="I3199">
        <v>4.6905597100399203E-2</v>
      </c>
      <c r="J3199">
        <v>9.2860818437800904E-2</v>
      </c>
      <c r="K3199">
        <v>6.16814999414496E-2</v>
      </c>
      <c r="L3199">
        <v>2196.5338349571398</v>
      </c>
      <c r="M3199">
        <v>42.361256920670101</v>
      </c>
      <c r="N3199">
        <v>52.029294360739897</v>
      </c>
      <c r="O3199">
        <v>51.737277579425303</v>
      </c>
      <c r="P3199">
        <v>-0.19096800095321401</v>
      </c>
      <c r="Q3199">
        <v>6.7058228545865906E-2</v>
      </c>
      <c r="R3199">
        <v>0.996167833492003</v>
      </c>
      <c r="S3199" t="s">
        <v>7031</v>
      </c>
      <c r="T3199" t="s">
        <v>7662</v>
      </c>
      <c r="U3199" t="s">
        <v>7662</v>
      </c>
      <c r="V3199" t="s">
        <v>7662</v>
      </c>
      <c r="W3199">
        <v>10</v>
      </c>
      <c r="X3199" t="s">
        <v>10861</v>
      </c>
      <c r="Y3199">
        <v>0.43862384571242741</v>
      </c>
      <c r="Z3199" t="str">
        <f>HYPERLINK("Melting_Curves/meltCurve_tr_A8MU28_A8MU28_HUMAN_.pdf", "Melting_Curves/meltCurve_tr_A8MU28_A8MU28_HUMAN_.pdf")</f>
        <v>Melting_Curves/meltCurve_tr_A8MU28_A8MU28_HUMAN_.pdf</v>
      </c>
      <c r="AA3199" t="s">
        <v>14652</v>
      </c>
      <c r="AB3199" t="s">
        <v>18437</v>
      </c>
    </row>
    <row r="3200" spans="1:28" x14ac:dyDescent="0.25">
      <c r="A3200" t="s">
        <v>3204</v>
      </c>
      <c r="B3200">
        <v>0.98876768158843997</v>
      </c>
      <c r="C3200">
        <v>0.89859458050816499</v>
      </c>
      <c r="D3200">
        <v>0.97474127984012005</v>
      </c>
      <c r="E3200">
        <v>0.66364259343457999</v>
      </c>
      <c r="F3200">
        <v>0.35602047308719098</v>
      </c>
      <c r="G3200">
        <v>0.16274828841969799</v>
      </c>
      <c r="H3200">
        <v>0.11898001929870899</v>
      </c>
      <c r="I3200">
        <v>0.103142134383196</v>
      </c>
      <c r="J3200">
        <v>0.13427721751763899</v>
      </c>
      <c r="K3200">
        <v>9.7945695114838902E-2</v>
      </c>
      <c r="L3200">
        <v>1310.6584890797501</v>
      </c>
      <c r="M3200">
        <v>25.693820825922401</v>
      </c>
      <c r="N3200">
        <v>51.499415677582199</v>
      </c>
      <c r="O3200">
        <v>50.704660790175801</v>
      </c>
      <c r="P3200">
        <v>-0.112978137852929</v>
      </c>
      <c r="Q3200">
        <v>0.108198189234482</v>
      </c>
      <c r="R3200">
        <v>0.99223056889004901</v>
      </c>
      <c r="S3200" t="s">
        <v>7032</v>
      </c>
      <c r="T3200" t="s">
        <v>7662</v>
      </c>
      <c r="U3200" t="s">
        <v>7662</v>
      </c>
      <c r="V3200" t="s">
        <v>7662</v>
      </c>
      <c r="W3200">
        <v>16</v>
      </c>
      <c r="X3200" t="s">
        <v>10862</v>
      </c>
      <c r="Y3200">
        <v>0.44314299461560908</v>
      </c>
      <c r="Z3200" t="str">
        <f>HYPERLINK("Melting_Curves/meltCurve_tr_A8MU44_A8MU44_HUMAN_.pdf", "Melting_Curves/meltCurve_tr_A8MU44_A8MU44_HUMAN_.pdf")</f>
        <v>Melting_Curves/meltCurve_tr_A8MU44_A8MU44_HUMAN_.pdf</v>
      </c>
      <c r="AA3200" t="s">
        <v>14653</v>
      </c>
      <c r="AB3200" t="s">
        <v>18438</v>
      </c>
    </row>
    <row r="3201" spans="1:28" x14ac:dyDescent="0.25">
      <c r="A3201" t="s">
        <v>3205</v>
      </c>
      <c r="B3201">
        <v>0.98876768158843997</v>
      </c>
      <c r="C3201">
        <v>0.78054649394223397</v>
      </c>
      <c r="D3201">
        <v>0.68296456778575798</v>
      </c>
      <c r="E3201">
        <v>0.35617236747481001</v>
      </c>
      <c r="F3201">
        <v>0.141854247562055</v>
      </c>
      <c r="G3201">
        <v>7.5602248170609093E-2</v>
      </c>
      <c r="H3201">
        <v>3.9291471867844603E-2</v>
      </c>
      <c r="I3201">
        <v>4.7529320745664898E-2</v>
      </c>
      <c r="J3201">
        <v>5.6352953587333103E-2</v>
      </c>
      <c r="K3201">
        <v>6.0686087884717403E-2</v>
      </c>
      <c r="L3201">
        <v>771.33820043499395</v>
      </c>
      <c r="M3201">
        <v>16.228904194267301</v>
      </c>
      <c r="N3201">
        <v>47.713517408626899</v>
      </c>
      <c r="O3201">
        <v>46.8246066825591</v>
      </c>
      <c r="P3201">
        <v>-8.4013821405671693E-2</v>
      </c>
      <c r="Q3201">
        <v>3.04654437143346E-2</v>
      </c>
      <c r="R3201">
        <v>0.98951398285509495</v>
      </c>
      <c r="S3201" t="s">
        <v>7033</v>
      </c>
      <c r="T3201" t="s">
        <v>7662</v>
      </c>
      <c r="U3201" t="s">
        <v>7662</v>
      </c>
      <c r="V3201" t="s">
        <v>7662</v>
      </c>
      <c r="W3201">
        <v>14</v>
      </c>
      <c r="X3201" t="s">
        <v>10863</v>
      </c>
      <c r="Y3201">
        <v>0.29551706547090728</v>
      </c>
      <c r="Z3201" t="str">
        <f>HYPERLINK("Melting_Curves/meltCurve_tr_A8MUB1_A8MUB1_HUMAN_.pdf", "Melting_Curves/meltCurve_tr_A8MUB1_A8MUB1_HUMAN_.pdf")</f>
        <v>Melting_Curves/meltCurve_tr_A8MUB1_A8MUB1_HUMAN_.pdf</v>
      </c>
      <c r="AA3201" t="s">
        <v>14654</v>
      </c>
      <c r="AB3201" t="s">
        <v>18439</v>
      </c>
    </row>
    <row r="3202" spans="1:28" x14ac:dyDescent="0.25">
      <c r="A3202" t="s">
        <v>3206</v>
      </c>
      <c r="B3202">
        <v>0.98876768158843997</v>
      </c>
      <c r="C3202">
        <v>1.2631678486906599</v>
      </c>
      <c r="D3202">
        <v>0.97500145091805601</v>
      </c>
      <c r="E3202">
        <v>0.87221704844954595</v>
      </c>
      <c r="F3202">
        <v>0.81068864187493805</v>
      </c>
      <c r="G3202">
        <v>0.45899379804135898</v>
      </c>
      <c r="H3202">
        <v>0.43804357908701202</v>
      </c>
      <c r="I3202">
        <v>0.55698989922923603</v>
      </c>
      <c r="J3202">
        <v>0.58844645439835896</v>
      </c>
      <c r="K3202">
        <v>0.82794279425928896</v>
      </c>
      <c r="L3202">
        <v>2023.96896460635</v>
      </c>
      <c r="M3202">
        <v>38.558795317447</v>
      </c>
      <c r="O3202">
        <v>52.349873199764801</v>
      </c>
      <c r="P3202">
        <v>-7.7987592514288898E-2</v>
      </c>
      <c r="Q3202">
        <v>0.57647735618755902</v>
      </c>
      <c r="R3202">
        <v>0.71371342589002096</v>
      </c>
      <c r="S3202" t="s">
        <v>7034</v>
      </c>
      <c r="T3202" t="s">
        <v>7662</v>
      </c>
      <c r="U3202" t="s">
        <v>7662</v>
      </c>
      <c r="V3202" t="s">
        <v>7662</v>
      </c>
      <c r="W3202">
        <v>1</v>
      </c>
      <c r="X3202" t="s">
        <v>10864</v>
      </c>
      <c r="Y3202">
        <v>0.75446342828595692</v>
      </c>
      <c r="Z3202" t="str">
        <f>HYPERLINK("Melting_Curves/meltCurve_tr_A8MWK3_A8MWK3_HUMAN_.pdf", "Melting_Curves/meltCurve_tr_A8MWK3_A8MWK3_HUMAN_.pdf")</f>
        <v>Melting_Curves/meltCurve_tr_A8MWK3_A8MWK3_HUMAN_.pdf</v>
      </c>
      <c r="AA3202" t="s">
        <v>14655</v>
      </c>
      <c r="AB3202" t="s">
        <v>18440</v>
      </c>
    </row>
    <row r="3203" spans="1:28" x14ac:dyDescent="0.25">
      <c r="A3203" t="s">
        <v>3207</v>
      </c>
      <c r="B3203">
        <v>0.98876768158843997</v>
      </c>
      <c r="C3203">
        <v>0.98976807824390101</v>
      </c>
      <c r="D3203">
        <v>0.91770925623012201</v>
      </c>
      <c r="E3203">
        <v>0.78667170218903104</v>
      </c>
      <c r="F3203">
        <v>0.85037557886251702</v>
      </c>
      <c r="G3203">
        <v>0.62307117417922997</v>
      </c>
      <c r="H3203">
        <v>0.478641935845665</v>
      </c>
      <c r="I3203">
        <v>0.505810711797965</v>
      </c>
      <c r="J3203">
        <v>0.60853925608217296</v>
      </c>
      <c r="K3203">
        <v>0.69001549723482003</v>
      </c>
      <c r="L3203">
        <v>847.75729630944295</v>
      </c>
      <c r="M3203">
        <v>16.408272398070601</v>
      </c>
      <c r="O3203">
        <v>50.9173137847433</v>
      </c>
      <c r="P3203">
        <v>-3.5128482653210398E-2</v>
      </c>
      <c r="Q3203">
        <v>0.56399522540258495</v>
      </c>
      <c r="R3203">
        <v>0.83987424108251996</v>
      </c>
      <c r="S3203" t="s">
        <v>7035</v>
      </c>
      <c r="T3203" t="s">
        <v>7662</v>
      </c>
      <c r="U3203" t="s">
        <v>7662</v>
      </c>
      <c r="V3203" t="s">
        <v>7662</v>
      </c>
      <c r="W3203">
        <v>2</v>
      </c>
      <c r="X3203" t="s">
        <v>10865</v>
      </c>
      <c r="Y3203">
        <v>0.74207864030842385</v>
      </c>
      <c r="Z3203" t="str">
        <f>HYPERLINK("Melting_Curves/meltCurve_tr_A9Z1X7_A9Z1X7_HUMAN_.pdf", "Melting_Curves/meltCurve_tr_A9Z1X7_A9Z1X7_HUMAN_.pdf")</f>
        <v>Melting_Curves/meltCurve_tr_A9Z1X7_A9Z1X7_HUMAN_.pdf</v>
      </c>
      <c r="AA3203" t="s">
        <v>14656</v>
      </c>
      <c r="AB3203" t="s">
        <v>18441</v>
      </c>
    </row>
    <row r="3204" spans="1:28" x14ac:dyDescent="0.25">
      <c r="A3204" t="s">
        <v>3208</v>
      </c>
      <c r="B3204">
        <v>0.98876768158843997</v>
      </c>
      <c r="C3204">
        <v>1.00837373651956</v>
      </c>
      <c r="D3204">
        <v>0.92558523689858196</v>
      </c>
      <c r="E3204">
        <v>0.76369531812366198</v>
      </c>
      <c r="F3204">
        <v>0.73250923650089095</v>
      </c>
      <c r="G3204">
        <v>0.51523591567259697</v>
      </c>
      <c r="H3204">
        <v>0.38479615773967502</v>
      </c>
      <c r="I3204">
        <v>0.396547551495399</v>
      </c>
      <c r="J3204">
        <v>0.44823070786969998</v>
      </c>
      <c r="K3204">
        <v>0.41284111828154602</v>
      </c>
      <c r="L3204">
        <v>831.67168923345798</v>
      </c>
      <c r="M3204">
        <v>15.8465532372387</v>
      </c>
      <c r="N3204">
        <v>57.833597137140401</v>
      </c>
      <c r="O3204">
        <v>51.668347966259901</v>
      </c>
      <c r="P3204">
        <v>-4.7189921622680001E-2</v>
      </c>
      <c r="Q3204">
        <v>0.384591297595821</v>
      </c>
      <c r="R3204">
        <v>0.97729262597659905</v>
      </c>
      <c r="S3204" t="s">
        <v>7036</v>
      </c>
      <c r="T3204" t="s">
        <v>7662</v>
      </c>
      <c r="U3204" t="s">
        <v>7662</v>
      </c>
      <c r="V3204" t="s">
        <v>7662</v>
      </c>
      <c r="W3204">
        <v>15</v>
      </c>
      <c r="X3204" t="s">
        <v>10866</v>
      </c>
      <c r="Y3204">
        <v>0.65311333017653483</v>
      </c>
      <c r="Z3204" t="str">
        <f>HYPERLINK("Melting_Curves/meltCurve_tr_B0UX83_B0UX83_HUMAN_.pdf", "Melting_Curves/meltCurve_tr_B0UX83_B0UX83_HUMAN_.pdf")</f>
        <v>Melting_Curves/meltCurve_tr_B0UX83_B0UX83_HUMAN_.pdf</v>
      </c>
      <c r="AA3204" t="s">
        <v>14657</v>
      </c>
      <c r="AB3204" t="s">
        <v>18442</v>
      </c>
    </row>
    <row r="3205" spans="1:28" x14ac:dyDescent="0.25">
      <c r="A3205" t="s">
        <v>3209</v>
      </c>
      <c r="B3205">
        <v>0.98876768158843997</v>
      </c>
      <c r="C3205">
        <v>0.947982657760301</v>
      </c>
      <c r="D3205">
        <v>1.05419210812756</v>
      </c>
      <c r="E3205">
        <v>0.96602957391850097</v>
      </c>
      <c r="F3205">
        <v>0.51602584077331304</v>
      </c>
      <c r="G3205">
        <v>0.421705228488015</v>
      </c>
      <c r="H3205">
        <v>0.38157447663821797</v>
      </c>
      <c r="I3205">
        <v>0.43446050145695803</v>
      </c>
      <c r="J3205">
        <v>0.46695739916937601</v>
      </c>
      <c r="K3205">
        <v>0.43811175335480401</v>
      </c>
      <c r="L3205">
        <v>3960.71008621083</v>
      </c>
      <c r="M3205">
        <v>76.442514271317904</v>
      </c>
      <c r="N3205">
        <v>53.165392934362401</v>
      </c>
      <c r="O3205">
        <v>51.777486879913397</v>
      </c>
      <c r="P3205">
        <v>-0.21094356753332</v>
      </c>
      <c r="Q3205">
        <v>0.42847887230001003</v>
      </c>
      <c r="R3205">
        <v>0.98684384247328905</v>
      </c>
      <c r="S3205" t="s">
        <v>7037</v>
      </c>
      <c r="T3205" t="s">
        <v>7662</v>
      </c>
      <c r="U3205" t="s">
        <v>7662</v>
      </c>
      <c r="V3205" t="s">
        <v>7662</v>
      </c>
      <c r="W3205">
        <v>4</v>
      </c>
      <c r="X3205" t="s">
        <v>10867</v>
      </c>
      <c r="Y3205">
        <v>0.65408041310477005</v>
      </c>
      <c r="Z3205" t="str">
        <f>HYPERLINK("Melting_Curves/meltCurve_tr_B0V0T3_B0V0T3_HUMAN_.pdf", "Melting_Curves/meltCurve_tr_B0V0T3_B0V0T3_HUMAN_.pdf")</f>
        <v>Melting_Curves/meltCurve_tr_B0V0T3_B0V0T3_HUMAN_.pdf</v>
      </c>
      <c r="AA3205" t="s">
        <v>14658</v>
      </c>
      <c r="AB3205" t="s">
        <v>18443</v>
      </c>
    </row>
    <row r="3206" spans="1:28" x14ac:dyDescent="0.25">
      <c r="A3206" t="s">
        <v>3210</v>
      </c>
      <c r="B3206">
        <v>0.98876768158843997</v>
      </c>
      <c r="C3206">
        <v>1.0201729764606899</v>
      </c>
      <c r="D3206">
        <v>0.917793786639862</v>
      </c>
      <c r="E3206">
        <v>0.86488612003534404</v>
      </c>
      <c r="F3206">
        <v>0.78640307685479305</v>
      </c>
      <c r="G3206">
        <v>0.46466566060493503</v>
      </c>
      <c r="H3206">
        <v>0.210366840680935</v>
      </c>
      <c r="I3206">
        <v>8.9796539728855998E-2</v>
      </c>
      <c r="J3206">
        <v>5.1133056374225501E-2</v>
      </c>
      <c r="K3206">
        <v>4.8322652865326797E-2</v>
      </c>
      <c r="L3206">
        <v>981.38143821702204</v>
      </c>
      <c r="M3206">
        <v>17.388538642280199</v>
      </c>
      <c r="N3206">
        <v>56.438407966739</v>
      </c>
      <c r="O3206">
        <v>55.7078279711669</v>
      </c>
      <c r="P3206">
        <v>-7.8038950961541703E-2</v>
      </c>
      <c r="Q3206">
        <v>0</v>
      </c>
      <c r="R3206">
        <v>0.99472732465715696</v>
      </c>
      <c r="S3206" t="s">
        <v>7038</v>
      </c>
      <c r="T3206" t="s">
        <v>7662</v>
      </c>
      <c r="U3206" t="s">
        <v>7662</v>
      </c>
      <c r="V3206" t="s">
        <v>7662</v>
      </c>
      <c r="W3206">
        <v>20</v>
      </c>
      <c r="X3206" t="s">
        <v>10868</v>
      </c>
      <c r="Y3206">
        <v>0.56281210222254996</v>
      </c>
      <c r="Z3206" t="str">
        <f>HYPERLINK("Melting_Curves/meltCurve_tr_B1AK87_B1AK87_HUMAN_.pdf", "Melting_Curves/meltCurve_tr_B1AK87_B1AK87_HUMAN_.pdf")</f>
        <v>Melting_Curves/meltCurve_tr_B1AK87_B1AK87_HUMAN_.pdf</v>
      </c>
      <c r="AA3206" t="s">
        <v>14659</v>
      </c>
      <c r="AB3206" t="s">
        <v>18444</v>
      </c>
    </row>
    <row r="3207" spans="1:28" x14ac:dyDescent="0.25">
      <c r="A3207" t="s">
        <v>3211</v>
      </c>
      <c r="B3207">
        <v>0.98876768158843997</v>
      </c>
      <c r="C3207">
        <v>1.0108173020939699</v>
      </c>
      <c r="D3207">
        <v>0.82311388849968703</v>
      </c>
      <c r="E3207">
        <v>0.63701158583528195</v>
      </c>
      <c r="F3207">
        <v>0.56471803514961005</v>
      </c>
      <c r="G3207">
        <v>0.295491558750899</v>
      </c>
      <c r="H3207">
        <v>0.19448890638672001</v>
      </c>
      <c r="I3207">
        <v>0.19382561209652599</v>
      </c>
      <c r="J3207">
        <v>0.19155637618170099</v>
      </c>
      <c r="K3207">
        <v>0.181694090410538</v>
      </c>
      <c r="L3207">
        <v>722.68714474332705</v>
      </c>
      <c r="M3207">
        <v>14.002978062251</v>
      </c>
      <c r="N3207">
        <v>52.884238917380003</v>
      </c>
      <c r="O3207">
        <v>50.591173104988201</v>
      </c>
      <c r="P3207">
        <v>-5.9293460148160199E-2</v>
      </c>
      <c r="Q3207">
        <v>0.14323107107282701</v>
      </c>
      <c r="R3207">
        <v>0.98662473884546698</v>
      </c>
      <c r="S3207" t="s">
        <v>7039</v>
      </c>
      <c r="T3207" t="s">
        <v>7662</v>
      </c>
      <c r="U3207" t="s">
        <v>7662</v>
      </c>
      <c r="V3207" t="s">
        <v>7662</v>
      </c>
      <c r="W3207">
        <v>8</v>
      </c>
      <c r="X3207" t="s">
        <v>10869</v>
      </c>
      <c r="Y3207">
        <v>0.49637140183485717</v>
      </c>
      <c r="Z3207" t="str">
        <f>HYPERLINK("Melting_Curves/meltCurve_tr_B1AKG0_B1AKG0_HUMAN_.pdf", "Melting_Curves/meltCurve_tr_B1AKG0_B1AKG0_HUMAN_.pdf")</f>
        <v>Melting_Curves/meltCurve_tr_B1AKG0_B1AKG0_HUMAN_.pdf</v>
      </c>
      <c r="AA3207" t="s">
        <v>14660</v>
      </c>
      <c r="AB3207" t="s">
        <v>18445</v>
      </c>
    </row>
    <row r="3208" spans="1:28" x14ac:dyDescent="0.25">
      <c r="A3208" t="s">
        <v>3212</v>
      </c>
      <c r="B3208">
        <v>0.98876768158843997</v>
      </c>
      <c r="C3208">
        <v>1.1784644287639401</v>
      </c>
      <c r="D3208">
        <v>0.97558973973458996</v>
      </c>
      <c r="E3208">
        <v>0.72423368837644997</v>
      </c>
      <c r="F3208">
        <v>0.81830296751768505</v>
      </c>
      <c r="G3208">
        <v>0.58765529523415105</v>
      </c>
      <c r="H3208">
        <v>0.465315973497271</v>
      </c>
      <c r="I3208">
        <v>0.53000417736717897</v>
      </c>
      <c r="J3208">
        <v>0.50690101317539105</v>
      </c>
      <c r="K3208">
        <v>0.41293179247296402</v>
      </c>
      <c r="L3208">
        <v>823.37523108795403</v>
      </c>
      <c r="M3208">
        <v>15.480923618748299</v>
      </c>
      <c r="N3208">
        <v>62.234655729658897</v>
      </c>
      <c r="O3208">
        <v>52.3226647525657</v>
      </c>
      <c r="P3208">
        <v>-4.0883101602471203E-2</v>
      </c>
      <c r="Q3208">
        <v>0.447339956285072</v>
      </c>
      <c r="R3208">
        <v>0.88836777753655405</v>
      </c>
      <c r="S3208" t="s">
        <v>7040</v>
      </c>
      <c r="T3208" t="s">
        <v>7662</v>
      </c>
      <c r="U3208" t="s">
        <v>7662</v>
      </c>
      <c r="V3208" t="s">
        <v>7662</v>
      </c>
      <c r="W3208">
        <v>7</v>
      </c>
      <c r="X3208" t="s">
        <v>10870</v>
      </c>
      <c r="Y3208">
        <v>0.70155366641422245</v>
      </c>
      <c r="Z3208" t="str">
        <f>HYPERLINK("Melting_Curves/meltCurve_tr_B1AKN7_B1AKN7_HUMAN_.pdf", "Melting_Curves/meltCurve_tr_B1AKN7_B1AKN7_HUMAN_.pdf")</f>
        <v>Melting_Curves/meltCurve_tr_B1AKN7_B1AKN7_HUMAN_.pdf</v>
      </c>
      <c r="AA3208" t="s">
        <v>14661</v>
      </c>
      <c r="AB3208" t="s">
        <v>18446</v>
      </c>
    </row>
    <row r="3209" spans="1:28" x14ac:dyDescent="0.25">
      <c r="A3209" t="s">
        <v>3213</v>
      </c>
      <c r="B3209">
        <v>0.98876768158843997</v>
      </c>
      <c r="C3209">
        <v>1.08044496926386</v>
      </c>
      <c r="D3209">
        <v>0.80527115789858095</v>
      </c>
      <c r="E3209">
        <v>0.75228145801040003</v>
      </c>
      <c r="F3209">
        <v>0.65055434560908099</v>
      </c>
      <c r="G3209">
        <v>0.43728041944763302</v>
      </c>
      <c r="H3209">
        <v>0.33518879007140501</v>
      </c>
      <c r="I3209">
        <v>0.35606876716216701</v>
      </c>
      <c r="J3209">
        <v>0.39783149252370098</v>
      </c>
      <c r="K3209">
        <v>0.51901057015962404</v>
      </c>
      <c r="L3209">
        <v>874.168646075374</v>
      </c>
      <c r="M3209">
        <v>17.213388799357102</v>
      </c>
      <c r="N3209">
        <v>55.661751081544097</v>
      </c>
      <c r="O3209">
        <v>50.1136877189941</v>
      </c>
      <c r="P3209">
        <v>-5.2439329862246399E-2</v>
      </c>
      <c r="Q3209">
        <v>0.38936520711582501</v>
      </c>
      <c r="R3209">
        <v>0.91723359831445395</v>
      </c>
      <c r="S3209" t="s">
        <v>7041</v>
      </c>
      <c r="T3209" t="s">
        <v>7662</v>
      </c>
      <c r="U3209" t="s">
        <v>7662</v>
      </c>
      <c r="V3209" t="s">
        <v>7662</v>
      </c>
      <c r="W3209">
        <v>2</v>
      </c>
      <c r="X3209" t="s">
        <v>10871</v>
      </c>
      <c r="Y3209">
        <v>0.62005556762808411</v>
      </c>
      <c r="Z3209" t="str">
        <f>HYPERLINK("Melting_Curves/meltCurve_tr_B1AKZ5_B1AKZ5_HUMAN_.pdf", "Melting_Curves/meltCurve_tr_B1AKZ5_B1AKZ5_HUMAN_.pdf")</f>
        <v>Melting_Curves/meltCurve_tr_B1AKZ5_B1AKZ5_HUMAN_.pdf</v>
      </c>
      <c r="AA3209" t="s">
        <v>14662</v>
      </c>
      <c r="AB3209" t="s">
        <v>18447</v>
      </c>
    </row>
    <row r="3210" spans="1:28" x14ac:dyDescent="0.25">
      <c r="A3210" t="s">
        <v>3214</v>
      </c>
      <c r="B3210">
        <v>0.98876768158843997</v>
      </c>
      <c r="C3210">
        <v>0.98304748292497801</v>
      </c>
      <c r="D3210">
        <v>0.86214735501960804</v>
      </c>
      <c r="E3210">
        <v>0.85270401956046105</v>
      </c>
      <c r="F3210">
        <v>0.73238002820219905</v>
      </c>
      <c r="G3210">
        <v>0.48280987396817998</v>
      </c>
      <c r="H3210">
        <v>0.25646253649526402</v>
      </c>
      <c r="I3210">
        <v>0.32527429816140802</v>
      </c>
      <c r="J3210">
        <v>0.35768551380236202</v>
      </c>
      <c r="K3210">
        <v>0.35197992344608803</v>
      </c>
      <c r="L3210">
        <v>1028.9324174665601</v>
      </c>
      <c r="M3210">
        <v>19.1995675086809</v>
      </c>
      <c r="N3210">
        <v>56.314162589872602</v>
      </c>
      <c r="O3210">
        <v>53.020203520276198</v>
      </c>
      <c r="P3210">
        <v>-6.3157325469388806E-2</v>
      </c>
      <c r="Q3210">
        <v>0.30238292200889799</v>
      </c>
      <c r="R3210">
        <v>0.96184332087070201</v>
      </c>
      <c r="S3210" t="s">
        <v>7042</v>
      </c>
      <c r="T3210" t="s">
        <v>7662</v>
      </c>
      <c r="U3210" t="s">
        <v>7662</v>
      </c>
      <c r="V3210" t="s">
        <v>7662</v>
      </c>
      <c r="W3210">
        <v>1</v>
      </c>
      <c r="X3210" t="s">
        <v>10872</v>
      </c>
      <c r="Y3210">
        <v>0.6286292014458702</v>
      </c>
      <c r="Z3210" t="str">
        <f>HYPERLINK("Melting_Curves/meltCurve_tr_B1AL33_B1AL33_HUMAN_.pdf", "Melting_Curves/meltCurve_tr_B1AL33_B1AL33_HUMAN_.pdf")</f>
        <v>Melting_Curves/meltCurve_tr_B1AL33_B1AL33_HUMAN_.pdf</v>
      </c>
      <c r="AA3210" t="s">
        <v>14663</v>
      </c>
      <c r="AB3210" t="s">
        <v>18448</v>
      </c>
    </row>
    <row r="3211" spans="1:28" x14ac:dyDescent="0.25">
      <c r="A3211" t="s">
        <v>3215</v>
      </c>
      <c r="B3211">
        <v>0.98876768158843997</v>
      </c>
      <c r="C3211">
        <v>1.06954163541303</v>
      </c>
      <c r="D3211">
        <v>0.98080920503481905</v>
      </c>
      <c r="E3211">
        <v>0.95710818977516399</v>
      </c>
      <c r="F3211">
        <v>0.99799072386957699</v>
      </c>
      <c r="G3211">
        <v>0.67177995451434902</v>
      </c>
      <c r="H3211">
        <v>0.391081518855879</v>
      </c>
      <c r="I3211">
        <v>0.30457283260472401</v>
      </c>
      <c r="J3211">
        <v>0.320451995077639</v>
      </c>
      <c r="K3211">
        <v>0.23448387792702299</v>
      </c>
      <c r="L3211">
        <v>1833.95300876902</v>
      </c>
      <c r="M3211">
        <v>31.892166348802998</v>
      </c>
      <c r="N3211">
        <v>58.993129129210203</v>
      </c>
      <c r="O3211">
        <v>57.280127487860703</v>
      </c>
      <c r="P3211">
        <v>-0.100725923892112</v>
      </c>
      <c r="Q3211">
        <v>0.276365893184643</v>
      </c>
      <c r="R3211">
        <v>0.98843930493110599</v>
      </c>
      <c r="S3211" t="s">
        <v>7043</v>
      </c>
      <c r="T3211" t="s">
        <v>7662</v>
      </c>
      <c r="U3211" t="s">
        <v>7662</v>
      </c>
      <c r="V3211" t="s">
        <v>7662</v>
      </c>
      <c r="W3211">
        <v>4</v>
      </c>
      <c r="X3211" t="s">
        <v>10873</v>
      </c>
      <c r="Y3211">
        <v>0.70291569541968013</v>
      </c>
      <c r="Z3211" t="str">
        <f>HYPERLINK("Melting_Curves/meltCurve_tr_B1AL69_B1AL69_HUMAN_.pdf", "Melting_Curves/meltCurve_tr_B1AL69_B1AL69_HUMAN_.pdf")</f>
        <v>Melting_Curves/meltCurve_tr_B1AL69_B1AL69_HUMAN_.pdf</v>
      </c>
      <c r="AA3211" t="s">
        <v>14664</v>
      </c>
      <c r="AB3211" t="s">
        <v>18449</v>
      </c>
    </row>
    <row r="3212" spans="1:28" x14ac:dyDescent="0.25">
      <c r="A3212" t="s">
        <v>3216</v>
      </c>
      <c r="B3212">
        <v>0.98876768158843997</v>
      </c>
      <c r="C3212">
        <v>1.00368724635998</v>
      </c>
      <c r="D3212">
        <v>0.88347370037400497</v>
      </c>
      <c r="E3212">
        <v>0.79056945358003805</v>
      </c>
      <c r="F3212">
        <v>0.68334701370373196</v>
      </c>
      <c r="G3212">
        <v>0.46841226353797899</v>
      </c>
      <c r="H3212">
        <v>0.37699433968478502</v>
      </c>
      <c r="I3212">
        <v>0.388629569743907</v>
      </c>
      <c r="J3212">
        <v>0.43541332839365998</v>
      </c>
      <c r="K3212">
        <v>0.49945632047417798</v>
      </c>
      <c r="L3212">
        <v>950.27287580127597</v>
      </c>
      <c r="M3212">
        <v>18.426325330327298</v>
      </c>
      <c r="N3212">
        <v>56.902651163901503</v>
      </c>
      <c r="O3212">
        <v>50.975582068461499</v>
      </c>
      <c r="P3212">
        <v>-5.3226336536925302E-2</v>
      </c>
      <c r="Q3212">
        <v>0.411033640357647</v>
      </c>
      <c r="R3212">
        <v>0.96356822336505499</v>
      </c>
      <c r="S3212" t="s">
        <v>7044</v>
      </c>
      <c r="T3212" t="s">
        <v>7662</v>
      </c>
      <c r="U3212" t="s">
        <v>7662</v>
      </c>
      <c r="V3212" t="s">
        <v>7662</v>
      </c>
      <c r="W3212">
        <v>17</v>
      </c>
      <c r="X3212" t="s">
        <v>10874</v>
      </c>
      <c r="Y3212">
        <v>0.64766612389477607</v>
      </c>
      <c r="Z3212" t="str">
        <f>HYPERLINK("Melting_Curves/meltCurve_tr_B1ALY0_B1ALY0_HUMAN_.pdf", "Melting_Curves/meltCurve_tr_B1ALY0_B1ALY0_HUMAN_.pdf")</f>
        <v>Melting_Curves/meltCurve_tr_B1ALY0_B1ALY0_HUMAN_.pdf</v>
      </c>
      <c r="AA3212" t="s">
        <v>14665</v>
      </c>
      <c r="AB3212" t="s">
        <v>18450</v>
      </c>
    </row>
    <row r="3213" spans="1:28" x14ac:dyDescent="0.25">
      <c r="A3213" t="s">
        <v>3217</v>
      </c>
      <c r="B3213">
        <v>0.98876768158843997</v>
      </c>
      <c r="C3213">
        <v>0.74629111784929303</v>
      </c>
      <c r="D3213">
        <v>0.91087814688497104</v>
      </c>
      <c r="E3213">
        <v>0.84590202804640902</v>
      </c>
      <c r="F3213">
        <v>0.60084443752175898</v>
      </c>
      <c r="G3213">
        <v>0.30906580561687103</v>
      </c>
      <c r="H3213">
        <v>9.1519839051722396E-2</v>
      </c>
      <c r="I3213">
        <v>8.5712731366203596E-2</v>
      </c>
      <c r="J3213">
        <v>0.14342330805477699</v>
      </c>
      <c r="K3213">
        <v>9.5690603844445707E-2</v>
      </c>
      <c r="L3213">
        <v>1011.65679531952</v>
      </c>
      <c r="M3213">
        <v>18.845954710769799</v>
      </c>
      <c r="N3213">
        <v>54.0992920308489</v>
      </c>
      <c r="O3213">
        <v>53.086870044111798</v>
      </c>
      <c r="P3213">
        <v>-8.2727988967432498E-2</v>
      </c>
      <c r="Q3213">
        <v>6.7897844592322898E-2</v>
      </c>
      <c r="R3213">
        <v>0.94276269201728402</v>
      </c>
      <c r="S3213" t="s">
        <v>7045</v>
      </c>
      <c r="T3213" t="s">
        <v>7662</v>
      </c>
      <c r="U3213" t="s">
        <v>7662</v>
      </c>
      <c r="V3213" t="s">
        <v>7662</v>
      </c>
      <c r="W3213">
        <v>1</v>
      </c>
      <c r="X3213" t="s">
        <v>10875</v>
      </c>
      <c r="Y3213">
        <v>0.50695124123738722</v>
      </c>
      <c r="Z3213" t="str">
        <f>HYPERLINK("Melting_Curves/meltCurve_tr_B1AMX9_B1AMX9_HUMAN_.pdf", "Melting_Curves/meltCurve_tr_B1AMX9_B1AMX9_HUMAN_.pdf")</f>
        <v>Melting_Curves/meltCurve_tr_B1AMX9_B1AMX9_HUMAN_.pdf</v>
      </c>
      <c r="AA3213" t="s">
        <v>14666</v>
      </c>
      <c r="AB3213" t="s">
        <v>18451</v>
      </c>
    </row>
    <row r="3214" spans="1:28" x14ac:dyDescent="0.25">
      <c r="A3214" t="s">
        <v>3218</v>
      </c>
      <c r="B3214">
        <v>0.98876768158843997</v>
      </c>
      <c r="C3214">
        <v>1.1039789990186399</v>
      </c>
      <c r="D3214">
        <v>0.78698244646887106</v>
      </c>
      <c r="E3214">
        <v>0.375753639720809</v>
      </c>
      <c r="F3214">
        <v>0.13441818049703799</v>
      </c>
      <c r="G3214">
        <v>8.6159598869281803E-2</v>
      </c>
      <c r="H3214">
        <v>5.2863805481965301E-2</v>
      </c>
      <c r="I3214">
        <v>5.22737148556848E-2</v>
      </c>
      <c r="J3214">
        <v>6.6692545989580201E-2</v>
      </c>
      <c r="K3214">
        <v>7.2061175208727596E-2</v>
      </c>
      <c r="L3214">
        <v>1331.95451656419</v>
      </c>
      <c r="M3214">
        <v>27.4255563447105</v>
      </c>
      <c r="N3214">
        <v>48.798729815914498</v>
      </c>
      <c r="O3214">
        <v>48.310155105949597</v>
      </c>
      <c r="P3214">
        <v>-0.133231632581508</v>
      </c>
      <c r="Q3214">
        <v>6.1257614358363001E-2</v>
      </c>
      <c r="R3214">
        <v>0.98777476626319105</v>
      </c>
      <c r="S3214" t="s">
        <v>7046</v>
      </c>
      <c r="T3214" t="s">
        <v>7662</v>
      </c>
      <c r="U3214" t="s">
        <v>7662</v>
      </c>
      <c r="V3214" t="s">
        <v>7662</v>
      </c>
      <c r="W3214">
        <v>6</v>
      </c>
      <c r="X3214" t="s">
        <v>10876</v>
      </c>
      <c r="Y3214">
        <v>0.33615067746570532</v>
      </c>
      <c r="Z3214" t="str">
        <f>HYPERLINK("Melting_Curves/meltCurve_tr_B1ANH0_B1ANH0_HUMAN_.pdf", "Melting_Curves/meltCurve_tr_B1ANH0_B1ANH0_HUMAN_.pdf")</f>
        <v>Melting_Curves/meltCurve_tr_B1ANH0_B1ANH0_HUMAN_.pdf</v>
      </c>
      <c r="AA3214" t="s">
        <v>14667</v>
      </c>
      <c r="AB3214" t="s">
        <v>18452</v>
      </c>
    </row>
    <row r="3215" spans="1:28" x14ac:dyDescent="0.25">
      <c r="A3215" t="s">
        <v>3219</v>
      </c>
      <c r="B3215">
        <v>0.98876768158843997</v>
      </c>
      <c r="C3215">
        <v>0.931469644964938</v>
      </c>
      <c r="D3215">
        <v>1.0078407731342101</v>
      </c>
      <c r="E3215">
        <v>0.79002022294570995</v>
      </c>
      <c r="F3215">
        <v>0.38037311871252499</v>
      </c>
      <c r="G3215">
        <v>0.18571887585104399</v>
      </c>
      <c r="H3215">
        <v>7.8384403935821995E-2</v>
      </c>
      <c r="I3215">
        <v>0.108498729252766</v>
      </c>
      <c r="J3215">
        <v>6.6512903002360901E-2</v>
      </c>
      <c r="K3215">
        <v>0.115898428797186</v>
      </c>
      <c r="L3215">
        <v>1642.5072889034</v>
      </c>
      <c r="M3215">
        <v>31.6970586637404</v>
      </c>
      <c r="N3215">
        <v>52.174948688649799</v>
      </c>
      <c r="O3215">
        <v>51.613971537275397</v>
      </c>
      <c r="P3215">
        <v>-0.13859932550878901</v>
      </c>
      <c r="Q3215">
        <v>9.7250724628264895E-2</v>
      </c>
      <c r="R3215">
        <v>0.99397238054758597</v>
      </c>
      <c r="S3215" t="s">
        <v>7047</v>
      </c>
      <c r="T3215" t="s">
        <v>7662</v>
      </c>
      <c r="U3215" t="s">
        <v>7662</v>
      </c>
      <c r="V3215" t="s">
        <v>7662</v>
      </c>
      <c r="W3215">
        <v>2</v>
      </c>
      <c r="X3215" t="s">
        <v>10877</v>
      </c>
      <c r="Y3215">
        <v>0.45805603667847689</v>
      </c>
      <c r="Z3215" t="str">
        <f>HYPERLINK("Melting_Curves/meltCurve_tr_B3KRS5_B3KRS5_HUMAN_.pdf", "Melting_Curves/meltCurve_tr_B3KRS5_B3KRS5_HUMAN_.pdf")</f>
        <v>Melting_Curves/meltCurve_tr_B3KRS5_B3KRS5_HUMAN_.pdf</v>
      </c>
      <c r="AA3215" t="s">
        <v>14668</v>
      </c>
      <c r="AB3215" t="s">
        <v>18453</v>
      </c>
    </row>
    <row r="3216" spans="1:28" x14ac:dyDescent="0.25">
      <c r="A3216" t="s">
        <v>3220</v>
      </c>
      <c r="B3216">
        <v>0.98876768158843997</v>
      </c>
      <c r="C3216">
        <v>0.94321786813147201</v>
      </c>
      <c r="D3216">
        <v>0.84473713912091797</v>
      </c>
      <c r="E3216">
        <v>0.73588896106266599</v>
      </c>
      <c r="F3216">
        <v>0.66586939611071305</v>
      </c>
      <c r="G3216">
        <v>0.34957402128912002</v>
      </c>
      <c r="H3216">
        <v>0.19637979899159</v>
      </c>
      <c r="I3216">
        <v>0.18642816587851299</v>
      </c>
      <c r="J3216">
        <v>0.265318976176878</v>
      </c>
      <c r="K3216">
        <v>0.234982657810131</v>
      </c>
      <c r="L3216">
        <v>759.92901685852701</v>
      </c>
      <c r="M3216">
        <v>14.394530736677201</v>
      </c>
      <c r="N3216">
        <v>54.355353884963399</v>
      </c>
      <c r="O3216">
        <v>51.805366071743997</v>
      </c>
      <c r="P3216">
        <v>-5.7702427874981602E-2</v>
      </c>
      <c r="Q3216">
        <v>0.169423268720616</v>
      </c>
      <c r="R3216">
        <v>0.97055430199792603</v>
      </c>
      <c r="S3216" t="s">
        <v>7048</v>
      </c>
      <c r="T3216" t="s">
        <v>7662</v>
      </c>
      <c r="U3216" t="s">
        <v>7662</v>
      </c>
      <c r="V3216" t="s">
        <v>7662</v>
      </c>
      <c r="W3216">
        <v>9</v>
      </c>
      <c r="X3216" t="s">
        <v>10878</v>
      </c>
      <c r="Y3216">
        <v>0.54270024520166116</v>
      </c>
      <c r="Z3216" t="str">
        <f>HYPERLINK("Melting_Curves/meltCurve_tr_B3KSI9_B3KSI9_HUMAN_.pdf", "Melting_Curves/meltCurve_tr_B3KSI9_B3KSI9_HUMAN_.pdf")</f>
        <v>Melting_Curves/meltCurve_tr_B3KSI9_B3KSI9_HUMAN_.pdf</v>
      </c>
      <c r="AA3216" t="s">
        <v>14669</v>
      </c>
      <c r="AB3216" t="s">
        <v>18454</v>
      </c>
    </row>
    <row r="3217" spans="1:28" x14ac:dyDescent="0.25">
      <c r="A3217" t="s">
        <v>3221</v>
      </c>
      <c r="B3217">
        <v>0.98876768158843997</v>
      </c>
      <c r="C3217">
        <v>1.07743355428336</v>
      </c>
      <c r="D3217">
        <v>0.89632894799266705</v>
      </c>
      <c r="E3217">
        <v>0.71884631812029198</v>
      </c>
      <c r="F3217">
        <v>0.75618179980103095</v>
      </c>
      <c r="G3217">
        <v>0.54760762529567497</v>
      </c>
      <c r="H3217">
        <v>0.41631839375348101</v>
      </c>
      <c r="I3217">
        <v>0.52500664650691198</v>
      </c>
      <c r="J3217">
        <v>0.63436583368180199</v>
      </c>
      <c r="K3217">
        <v>0.76830241057149296</v>
      </c>
      <c r="L3217">
        <v>1108.4739013659901</v>
      </c>
      <c r="M3217">
        <v>22.563655666640301</v>
      </c>
      <c r="O3217">
        <v>48.745529002829102</v>
      </c>
      <c r="P3217">
        <v>-4.7826490580350399E-2</v>
      </c>
      <c r="Q3217">
        <v>0.58671937989874701</v>
      </c>
      <c r="R3217">
        <v>0.76434703954782501</v>
      </c>
      <c r="S3217" t="s">
        <v>7049</v>
      </c>
      <c r="T3217" t="s">
        <v>7662</v>
      </c>
      <c r="U3217" t="s">
        <v>7662</v>
      </c>
      <c r="V3217" t="s">
        <v>7662</v>
      </c>
      <c r="W3217">
        <v>4</v>
      </c>
      <c r="X3217" t="s">
        <v>10879</v>
      </c>
      <c r="Y3217">
        <v>0.71696990982685516</v>
      </c>
      <c r="Z3217" t="str">
        <f>HYPERLINK("Melting_Curves/meltCurve_tr_B3KVH8_B3KVH8_HUMAN_.pdf", "Melting_Curves/meltCurve_tr_B3KVH8_B3KVH8_HUMAN_.pdf")</f>
        <v>Melting_Curves/meltCurve_tr_B3KVH8_B3KVH8_HUMAN_.pdf</v>
      </c>
      <c r="AA3217" t="s">
        <v>14670</v>
      </c>
      <c r="AB3217" t="s">
        <v>18455</v>
      </c>
    </row>
    <row r="3218" spans="1:28" x14ac:dyDescent="0.25">
      <c r="A3218" t="s">
        <v>3222</v>
      </c>
      <c r="B3218">
        <v>0.98876768158843997</v>
      </c>
      <c r="C3218">
        <v>0.84483819017657003</v>
      </c>
      <c r="D3218">
        <v>0.83639540736106199</v>
      </c>
      <c r="E3218">
        <v>0.32391558101997697</v>
      </c>
      <c r="F3218">
        <v>0.15434861033075301</v>
      </c>
      <c r="G3218">
        <v>0.113322380768482</v>
      </c>
      <c r="H3218">
        <v>5.9196126562990503E-2</v>
      </c>
      <c r="I3218">
        <v>4.1131843665185498E-2</v>
      </c>
      <c r="J3218">
        <v>5.7294122825360699E-2</v>
      </c>
      <c r="K3218">
        <v>4.8515763832856003E-2</v>
      </c>
      <c r="L3218">
        <v>1128.02214112054</v>
      </c>
      <c r="M3218">
        <v>23.341167713147499</v>
      </c>
      <c r="N3218">
        <v>48.560330273703102</v>
      </c>
      <c r="O3218">
        <v>47.9770531897315</v>
      </c>
      <c r="P3218">
        <v>-0.11519208237226899</v>
      </c>
      <c r="Q3218">
        <v>5.2921842351881701E-2</v>
      </c>
      <c r="R3218">
        <v>0.98707242295710096</v>
      </c>
      <c r="S3218" t="s">
        <v>7050</v>
      </c>
      <c r="T3218" t="s">
        <v>7662</v>
      </c>
      <c r="U3218" t="s">
        <v>7662</v>
      </c>
      <c r="V3218" t="s">
        <v>7662</v>
      </c>
      <c r="W3218">
        <v>4</v>
      </c>
      <c r="X3218" t="s">
        <v>10880</v>
      </c>
      <c r="Y3218">
        <v>0.32548748276523243</v>
      </c>
      <c r="Z3218" t="str">
        <f>HYPERLINK("Melting_Curves/meltCurve_tr_B3KWW1_B3KWW1_HUMAN_.pdf", "Melting_Curves/meltCurve_tr_B3KWW1_B3KWW1_HUMAN_.pdf")</f>
        <v>Melting_Curves/meltCurve_tr_B3KWW1_B3KWW1_HUMAN_.pdf</v>
      </c>
      <c r="AA3218" t="s">
        <v>14671</v>
      </c>
      <c r="AB3218" t="s">
        <v>18456</v>
      </c>
    </row>
    <row r="3219" spans="1:28" x14ac:dyDescent="0.25">
      <c r="A3219" t="s">
        <v>3223</v>
      </c>
      <c r="B3219">
        <v>0.98876768158843997</v>
      </c>
      <c r="C3219">
        <v>0.94724928800524599</v>
      </c>
      <c r="D3219">
        <v>0.98922176183945998</v>
      </c>
      <c r="E3219">
        <v>0.92216875922147801</v>
      </c>
      <c r="F3219">
        <v>0.43465772358001098</v>
      </c>
      <c r="G3219">
        <v>0.30635737058085299</v>
      </c>
      <c r="H3219">
        <v>0.16757409296129</v>
      </c>
      <c r="I3219">
        <v>0.16081595560360601</v>
      </c>
      <c r="J3219">
        <v>0.17914146399547901</v>
      </c>
      <c r="K3219">
        <v>0.181761340256372</v>
      </c>
      <c r="L3219">
        <v>2415.6737189587602</v>
      </c>
      <c r="M3219">
        <v>46.328948633478497</v>
      </c>
      <c r="N3219">
        <v>52.698706136494799</v>
      </c>
      <c r="O3219">
        <v>52.044906522663098</v>
      </c>
      <c r="P3219">
        <v>-0.17946614496927199</v>
      </c>
      <c r="Q3219">
        <v>0.19356789574372299</v>
      </c>
      <c r="R3219">
        <v>0.988371423824426</v>
      </c>
      <c r="S3219" t="s">
        <v>7051</v>
      </c>
      <c r="T3219" t="s">
        <v>7662</v>
      </c>
      <c r="U3219" t="s">
        <v>7662</v>
      </c>
      <c r="V3219" t="s">
        <v>7662</v>
      </c>
      <c r="W3219">
        <v>4</v>
      </c>
      <c r="X3219" t="s">
        <v>10881</v>
      </c>
      <c r="Y3219">
        <v>0.5221138392806296</v>
      </c>
      <c r="Z3219" t="str">
        <f>HYPERLINK("Melting_Curves/meltCurve_tr_B3KY83_B3KY83_HUMAN_.pdf", "Melting_Curves/meltCurve_tr_B3KY83_B3KY83_HUMAN_.pdf")</f>
        <v>Melting_Curves/meltCurve_tr_B3KY83_B3KY83_HUMAN_.pdf</v>
      </c>
      <c r="AA3219" t="s">
        <v>14672</v>
      </c>
      <c r="AB3219" t="s">
        <v>18457</v>
      </c>
    </row>
    <row r="3220" spans="1:28" x14ac:dyDescent="0.25">
      <c r="A3220" t="s">
        <v>3224</v>
      </c>
      <c r="B3220">
        <v>0.98876768158843997</v>
      </c>
      <c r="C3220">
        <v>0.98885015900416295</v>
      </c>
      <c r="D3220">
        <v>0.91245611038161201</v>
      </c>
      <c r="E3220">
        <v>0.84828629359984897</v>
      </c>
      <c r="F3220">
        <v>0.78426451203626502</v>
      </c>
      <c r="G3220">
        <v>0.43660992590975201</v>
      </c>
      <c r="H3220">
        <v>0.16743390439733</v>
      </c>
      <c r="I3220">
        <v>0.13504828836601801</v>
      </c>
      <c r="J3220">
        <v>0.102312334021629</v>
      </c>
      <c r="K3220">
        <v>0.107713381537121</v>
      </c>
      <c r="L3220">
        <v>1055.2627311209201</v>
      </c>
      <c r="M3220">
        <v>18.9700805710056</v>
      </c>
      <c r="N3220">
        <v>56.032766747371298</v>
      </c>
      <c r="O3220">
        <v>55.0206371452065</v>
      </c>
      <c r="P3220">
        <v>-8.0676054125951302E-2</v>
      </c>
      <c r="Q3220">
        <v>6.4069371721737003E-2</v>
      </c>
      <c r="R3220">
        <v>0.99075006825415002</v>
      </c>
      <c r="S3220" t="s">
        <v>7052</v>
      </c>
      <c r="T3220" t="s">
        <v>7662</v>
      </c>
      <c r="U3220" t="s">
        <v>7662</v>
      </c>
      <c r="V3220" t="s">
        <v>7662</v>
      </c>
      <c r="W3220">
        <v>4</v>
      </c>
      <c r="X3220" t="s">
        <v>10882</v>
      </c>
      <c r="Y3220">
        <v>0.56476710146827158</v>
      </c>
      <c r="Z3220" t="str">
        <f>HYPERLINK("Melting_Curves/meltCurve_tr_B4DDD1_B4DDD1_HUMAN_.pdf", "Melting_Curves/meltCurve_tr_B4DDD1_B4DDD1_HUMAN_.pdf")</f>
        <v>Melting_Curves/meltCurve_tr_B4DDD1_B4DDD1_HUMAN_.pdf</v>
      </c>
      <c r="AA3220" t="s">
        <v>14673</v>
      </c>
      <c r="AB3220" t="s">
        <v>18458</v>
      </c>
    </row>
    <row r="3221" spans="1:28" x14ac:dyDescent="0.25">
      <c r="A3221" t="s">
        <v>3225</v>
      </c>
      <c r="B3221">
        <v>0.98876768158843997</v>
      </c>
      <c r="C3221">
        <v>1.3362440737779699</v>
      </c>
      <c r="D3221">
        <v>1.15598603633007</v>
      </c>
      <c r="E3221">
        <v>0.99041595118223902</v>
      </c>
      <c r="F3221">
        <v>1.1884365556279199</v>
      </c>
      <c r="G3221">
        <v>0.92003026748032002</v>
      </c>
      <c r="H3221">
        <v>1.0021211438075801</v>
      </c>
      <c r="I3221">
        <v>0.97771753508723303</v>
      </c>
      <c r="J3221">
        <v>1.3392818859472999</v>
      </c>
      <c r="K3221">
        <v>1.8657165058606699</v>
      </c>
      <c r="L3221">
        <v>15000</v>
      </c>
      <c r="M3221">
        <v>224.62821713659201</v>
      </c>
      <c r="O3221">
        <v>66.771701875454497</v>
      </c>
      <c r="P3221">
        <v>0.42051529839729201</v>
      </c>
      <c r="Q3221">
        <v>1.5</v>
      </c>
      <c r="R3221">
        <v>0.57202768050247199</v>
      </c>
      <c r="S3221" t="s">
        <v>7053</v>
      </c>
      <c r="T3221" t="s">
        <v>7662</v>
      </c>
      <c r="U3221" t="s">
        <v>7662</v>
      </c>
      <c r="V3221" t="s">
        <v>7662</v>
      </c>
      <c r="W3221">
        <v>17</v>
      </c>
      <c r="X3221" t="s">
        <v>10883</v>
      </c>
      <c r="Y3221">
        <v>1.0536441446281339</v>
      </c>
      <c r="Z3221" t="str">
        <f>HYPERLINK("Melting_Curves/meltCurve_tr_B4DDD6_B4DDD6_HUMAN_.pdf", "Melting_Curves/meltCurve_tr_B4DDD6_B4DDD6_HUMAN_.pdf")</f>
        <v>Melting_Curves/meltCurve_tr_B4DDD6_B4DDD6_HUMAN_.pdf</v>
      </c>
      <c r="AA3221" t="s">
        <v>14445</v>
      </c>
      <c r="AB3221" t="s">
        <v>18229</v>
      </c>
    </row>
    <row r="3222" spans="1:28" x14ac:dyDescent="0.25">
      <c r="A3222" t="s">
        <v>3226</v>
      </c>
      <c r="B3222">
        <v>0.98876768158843997</v>
      </c>
      <c r="C3222">
        <v>1.1114749508311501</v>
      </c>
      <c r="D3222">
        <v>0.86126855431915506</v>
      </c>
      <c r="E3222">
        <v>0.66795340021799199</v>
      </c>
      <c r="F3222">
        <v>0.67382395722506105</v>
      </c>
      <c r="G3222">
        <v>0.35357115264712602</v>
      </c>
      <c r="H3222">
        <v>0.19032609222803101</v>
      </c>
      <c r="I3222">
        <v>0.17468594865829801</v>
      </c>
      <c r="J3222">
        <v>0.23479761549130301</v>
      </c>
      <c r="K3222">
        <v>0.22079230748797801</v>
      </c>
      <c r="L3222">
        <v>812.05177887727598</v>
      </c>
      <c r="M3222">
        <v>15.400438953054801</v>
      </c>
      <c r="N3222">
        <v>54.129383754743998</v>
      </c>
      <c r="O3222">
        <v>51.864054804675703</v>
      </c>
      <c r="P3222">
        <v>-6.2043740852236899E-2</v>
      </c>
      <c r="Q3222">
        <v>0.164297381747116</v>
      </c>
      <c r="R3222">
        <v>0.95717914168969198</v>
      </c>
      <c r="S3222" t="s">
        <v>7054</v>
      </c>
      <c r="T3222" t="s">
        <v>7662</v>
      </c>
      <c r="U3222" t="s">
        <v>7662</v>
      </c>
      <c r="V3222" t="s">
        <v>7662</v>
      </c>
      <c r="W3222">
        <v>9</v>
      </c>
      <c r="X3222" t="s">
        <v>10884</v>
      </c>
      <c r="Y3222">
        <v>0.5363941868415405</v>
      </c>
      <c r="Z3222" t="str">
        <f>HYPERLINK("Melting_Curves/meltCurve_tr_B4DDF4_B4DDF4_HUMAN_.pdf", "Melting_Curves/meltCurve_tr_B4DDF4_B4DDF4_HUMAN_.pdf")</f>
        <v>Melting_Curves/meltCurve_tr_B4DDF4_B4DDF4_HUMAN_.pdf</v>
      </c>
      <c r="AA3222" t="s">
        <v>14674</v>
      </c>
      <c r="AB3222" t="s">
        <v>18459</v>
      </c>
    </row>
    <row r="3223" spans="1:28" x14ac:dyDescent="0.25">
      <c r="A3223" t="s">
        <v>3227</v>
      </c>
      <c r="B3223">
        <v>0.98876768158843997</v>
      </c>
      <c r="C3223">
        <v>0.92410083567718504</v>
      </c>
      <c r="D3223">
        <v>0.95103050633882602</v>
      </c>
      <c r="E3223">
        <v>0.60139291172389897</v>
      </c>
      <c r="F3223">
        <v>0.31412344185832702</v>
      </c>
      <c r="G3223">
        <v>0.145750313733645</v>
      </c>
      <c r="H3223">
        <v>2.3153530741073201E-2</v>
      </c>
      <c r="I3223">
        <v>4.39345986102768E-2</v>
      </c>
      <c r="J3223">
        <v>0</v>
      </c>
      <c r="K3223">
        <v>0</v>
      </c>
      <c r="L3223">
        <v>1043.5325826911201</v>
      </c>
      <c r="M3223">
        <v>20.425790579154601</v>
      </c>
      <c r="N3223">
        <v>51.119662202839201</v>
      </c>
      <c r="O3223">
        <v>50.606841805660203</v>
      </c>
      <c r="P3223">
        <v>-0.10029233612312299</v>
      </c>
      <c r="Q3223">
        <v>6.0944887077620299E-3</v>
      </c>
      <c r="R3223">
        <v>0.99526037355547803</v>
      </c>
      <c r="S3223" t="s">
        <v>7055</v>
      </c>
      <c r="T3223" t="s">
        <v>7662</v>
      </c>
      <c r="U3223" t="s">
        <v>7662</v>
      </c>
      <c r="V3223" t="s">
        <v>7662</v>
      </c>
      <c r="W3223">
        <v>1</v>
      </c>
      <c r="X3223" t="s">
        <v>10885</v>
      </c>
      <c r="Y3223">
        <v>0.38673488296800118</v>
      </c>
      <c r="Z3223" t="str">
        <f>HYPERLINK("Melting_Curves/meltCurve_tr_B4DDZ0_B4DDZ0_HUMAN_.pdf", "Melting_Curves/meltCurve_tr_B4DDZ0_B4DDZ0_HUMAN_.pdf")</f>
        <v>Melting_Curves/meltCurve_tr_B4DDZ0_B4DDZ0_HUMAN_.pdf</v>
      </c>
      <c r="AA3223" t="s">
        <v>14675</v>
      </c>
      <c r="AB3223" t="s">
        <v>18460</v>
      </c>
    </row>
    <row r="3224" spans="1:28" x14ac:dyDescent="0.25">
      <c r="A3224" t="s">
        <v>3228</v>
      </c>
      <c r="B3224">
        <v>0.98876768158843997</v>
      </c>
      <c r="C3224">
        <v>0.72193804440515397</v>
      </c>
      <c r="D3224">
        <v>0.64127390688114805</v>
      </c>
      <c r="E3224">
        <v>0.40353336802072398</v>
      </c>
      <c r="F3224">
        <v>0.41227271509990399</v>
      </c>
      <c r="G3224">
        <v>0.17446688418866699</v>
      </c>
      <c r="H3224">
        <v>0.15649360002534199</v>
      </c>
      <c r="I3224">
        <v>0.106365846803228</v>
      </c>
      <c r="J3224">
        <v>0.20307315084532199</v>
      </c>
      <c r="K3224">
        <v>0.130693532996248</v>
      </c>
      <c r="L3224">
        <v>538.18645907846599</v>
      </c>
      <c r="M3224">
        <v>11.3368482513551</v>
      </c>
      <c r="N3224">
        <v>48.528715653495901</v>
      </c>
      <c r="O3224">
        <v>46.067191750615699</v>
      </c>
      <c r="P3224">
        <v>-5.4812509292337899E-2</v>
      </c>
      <c r="Q3224">
        <v>0.1093467798419</v>
      </c>
      <c r="R3224">
        <v>0.96166143105767499</v>
      </c>
      <c r="S3224" t="s">
        <v>7056</v>
      </c>
      <c r="T3224" t="s">
        <v>7662</v>
      </c>
      <c r="U3224" t="s">
        <v>7662</v>
      </c>
      <c r="V3224" t="s">
        <v>7662</v>
      </c>
      <c r="W3224">
        <v>3</v>
      </c>
      <c r="X3224" t="s">
        <v>10886</v>
      </c>
      <c r="Y3224">
        <v>0.3711455375001525</v>
      </c>
      <c r="Z3224" t="str">
        <f>HYPERLINK("Melting_Curves/meltCurve_tr_B4DE16_B4DE16_HUMAN_.pdf", "Melting_Curves/meltCurve_tr_B4DE16_B4DE16_HUMAN_.pdf")</f>
        <v>Melting_Curves/meltCurve_tr_B4DE16_B4DE16_HUMAN_.pdf</v>
      </c>
      <c r="AA3224" t="s">
        <v>14676</v>
      </c>
      <c r="AB3224" t="s">
        <v>18461</v>
      </c>
    </row>
    <row r="3225" spans="1:28" x14ac:dyDescent="0.25">
      <c r="A3225" t="s">
        <v>3229</v>
      </c>
      <c r="B3225">
        <v>0.98876768158843997</v>
      </c>
      <c r="C3225">
        <v>0.84982478048538401</v>
      </c>
      <c r="D3225">
        <v>0.70308535869783495</v>
      </c>
      <c r="E3225">
        <v>0.40704509091903102</v>
      </c>
      <c r="F3225">
        <v>0.23901464812890899</v>
      </c>
      <c r="G3225">
        <v>0.12185077630386</v>
      </c>
      <c r="H3225">
        <v>8.2772113582050805E-2</v>
      </c>
      <c r="I3225">
        <v>7.2079203250518004E-2</v>
      </c>
      <c r="J3225">
        <v>9.1966039623754894E-2</v>
      </c>
      <c r="K3225">
        <v>8.2890467801964504E-2</v>
      </c>
      <c r="L3225">
        <v>760.98554512347596</v>
      </c>
      <c r="M3225">
        <v>15.8139921430715</v>
      </c>
      <c r="N3225">
        <v>48.537277624920598</v>
      </c>
      <c r="O3225">
        <v>47.371256598209797</v>
      </c>
      <c r="P3225">
        <v>-7.8171636106776202E-2</v>
      </c>
      <c r="Q3225">
        <v>6.3415690539240094E-2</v>
      </c>
      <c r="R3225">
        <v>0.99760399310110304</v>
      </c>
      <c r="S3225" t="s">
        <v>7057</v>
      </c>
      <c r="T3225" t="s">
        <v>7662</v>
      </c>
      <c r="U3225" t="s">
        <v>7662</v>
      </c>
      <c r="V3225" t="s">
        <v>7662</v>
      </c>
      <c r="W3225">
        <v>5</v>
      </c>
      <c r="X3225" t="s">
        <v>10887</v>
      </c>
      <c r="Y3225">
        <v>0.33852670206380697</v>
      </c>
      <c r="Z3225" t="str">
        <f>HYPERLINK("Melting_Curves/meltCurve_tr_B4DFA2_B4DFA2_HUMAN_.pdf", "Melting_Curves/meltCurve_tr_B4DFA2_B4DFA2_HUMAN_.pdf")</f>
        <v>Melting_Curves/meltCurve_tr_B4DFA2_B4DFA2_HUMAN_.pdf</v>
      </c>
      <c r="AA3225" t="s">
        <v>14677</v>
      </c>
      <c r="AB3225" t="s">
        <v>18462</v>
      </c>
    </row>
    <row r="3226" spans="1:28" x14ac:dyDescent="0.25">
      <c r="A3226" t="s">
        <v>3230</v>
      </c>
      <c r="B3226">
        <v>0.98876768158843997</v>
      </c>
      <c r="C3226">
        <v>1.03045518827801</v>
      </c>
      <c r="D3226">
        <v>0.90037592625756302</v>
      </c>
      <c r="E3226">
        <v>0.34960964951488999</v>
      </c>
      <c r="F3226">
        <v>0.19747116354553201</v>
      </c>
      <c r="G3226">
        <v>0.116869332991702</v>
      </c>
      <c r="H3226">
        <v>6.9992889939836406E-2</v>
      </c>
      <c r="I3226">
        <v>7.2192952869777602E-2</v>
      </c>
      <c r="J3226">
        <v>3.5213000986069901E-2</v>
      </c>
      <c r="K3226">
        <v>0.10357867475213101</v>
      </c>
      <c r="L3226">
        <v>1568.0680002625199</v>
      </c>
      <c r="M3226">
        <v>32.126766676279402</v>
      </c>
      <c r="N3226">
        <v>49.086657954776399</v>
      </c>
      <c r="O3226">
        <v>48.620820568874699</v>
      </c>
      <c r="P3226">
        <v>-0.151455940196695</v>
      </c>
      <c r="Q3226">
        <v>8.3147520072476097E-2</v>
      </c>
      <c r="R3226">
        <v>0.99451233582381704</v>
      </c>
      <c r="S3226" t="s">
        <v>7058</v>
      </c>
      <c r="T3226" t="s">
        <v>7662</v>
      </c>
      <c r="U3226" t="s">
        <v>7662</v>
      </c>
      <c r="V3226" t="s">
        <v>7662</v>
      </c>
      <c r="W3226">
        <v>1</v>
      </c>
      <c r="X3226" t="s">
        <v>10888</v>
      </c>
      <c r="Y3226">
        <v>0.35719816261689818</v>
      </c>
      <c r="Z3226" t="str">
        <f>HYPERLINK("Melting_Curves/meltCurve_tr_B4DFG6_B4DFG6_HUMAN_.pdf", "Melting_Curves/meltCurve_tr_B4DFG6_B4DFG6_HUMAN_.pdf")</f>
        <v>Melting_Curves/meltCurve_tr_B4DFG6_B4DFG6_HUMAN_.pdf</v>
      </c>
      <c r="AA3226" t="s">
        <v>14678</v>
      </c>
      <c r="AB3226" t="s">
        <v>18463</v>
      </c>
    </row>
    <row r="3227" spans="1:28" x14ac:dyDescent="0.25">
      <c r="A3227" t="s">
        <v>3231</v>
      </c>
      <c r="B3227">
        <v>0.98876768158843997</v>
      </c>
      <c r="C3227">
        <v>1.0450014294324901</v>
      </c>
      <c r="D3227">
        <v>1.1592828379517099</v>
      </c>
      <c r="E3227">
        <v>0.80870975499617603</v>
      </c>
      <c r="F3227">
        <v>0.58113944376134097</v>
      </c>
      <c r="G3227">
        <v>0.366489091010262</v>
      </c>
      <c r="H3227">
        <v>0.12393538259968399</v>
      </c>
      <c r="I3227">
        <v>7.34994049710474E-2</v>
      </c>
      <c r="J3227">
        <v>3.6838594894856601E-2</v>
      </c>
      <c r="K3227">
        <v>6.0804909963527498E-2</v>
      </c>
      <c r="L3227">
        <v>1056.83300037504</v>
      </c>
      <c r="M3227">
        <v>19.476280829636298</v>
      </c>
      <c r="N3227">
        <v>54.463604642652399</v>
      </c>
      <c r="O3227">
        <v>53.700223956709699</v>
      </c>
      <c r="P3227">
        <v>-8.75296595362694E-2</v>
      </c>
      <c r="Q3227">
        <v>3.4683787727055E-2</v>
      </c>
      <c r="R3227">
        <v>0.97477183301015002</v>
      </c>
      <c r="S3227" t="s">
        <v>7059</v>
      </c>
      <c r="T3227" t="s">
        <v>7662</v>
      </c>
      <c r="U3227" t="s">
        <v>7662</v>
      </c>
      <c r="V3227" t="s">
        <v>7662</v>
      </c>
      <c r="W3227">
        <v>1</v>
      </c>
      <c r="X3227" t="s">
        <v>10889</v>
      </c>
      <c r="Y3227">
        <v>0.5072298658244988</v>
      </c>
      <c r="Z3227" t="str">
        <f>HYPERLINK("Melting_Curves/meltCurve_tr_B4DFI9_B4DFI9_HUMAN_.pdf", "Melting_Curves/meltCurve_tr_B4DFI9_B4DFI9_HUMAN_.pdf")</f>
        <v>Melting_Curves/meltCurve_tr_B4DFI9_B4DFI9_HUMAN_.pdf</v>
      </c>
      <c r="AA3227" t="s">
        <v>14679</v>
      </c>
      <c r="AB3227" t="s">
        <v>18464</v>
      </c>
    </row>
    <row r="3228" spans="1:28" x14ac:dyDescent="0.25">
      <c r="A3228" t="s">
        <v>3232</v>
      </c>
      <c r="B3228">
        <v>0.98876768158843997</v>
      </c>
      <c r="C3228">
        <v>1.01431559873538</v>
      </c>
      <c r="D3228">
        <v>1.0332027540339199</v>
      </c>
      <c r="E3228">
        <v>0.78539273011259403</v>
      </c>
      <c r="F3228">
        <v>0.52175908777704905</v>
      </c>
      <c r="G3228">
        <v>0.37501805940250199</v>
      </c>
      <c r="H3228">
        <v>0.21655451962165301</v>
      </c>
      <c r="I3228">
        <v>0.17191450487226201</v>
      </c>
      <c r="J3228">
        <v>0.139002836392355</v>
      </c>
      <c r="K3228">
        <v>0.135207523035621</v>
      </c>
      <c r="L3228">
        <v>995.87482613247505</v>
      </c>
      <c r="M3228">
        <v>18.780829358079501</v>
      </c>
      <c r="N3228">
        <v>53.961437450934</v>
      </c>
      <c r="O3228">
        <v>52.435920483559201</v>
      </c>
      <c r="P3228">
        <v>-7.7105482870551301E-2</v>
      </c>
      <c r="Q3228">
        <v>0.138924452057093</v>
      </c>
      <c r="R3228">
        <v>0.99028705175584897</v>
      </c>
      <c r="S3228" t="s">
        <v>7060</v>
      </c>
      <c r="T3228" t="s">
        <v>7662</v>
      </c>
      <c r="U3228" t="s">
        <v>7662</v>
      </c>
      <c r="V3228" t="s">
        <v>7662</v>
      </c>
      <c r="W3228">
        <v>4</v>
      </c>
      <c r="X3228" t="s">
        <v>10890</v>
      </c>
      <c r="Y3228">
        <v>0.52596234100981887</v>
      </c>
      <c r="Z3228" t="str">
        <f>HYPERLINK("Melting_Curves/meltCurve_tr_B4DFQ4_B4DFQ4_HUMAN_.pdf", "Melting_Curves/meltCurve_tr_B4DFQ4_B4DFQ4_HUMAN_.pdf")</f>
        <v>Melting_Curves/meltCurve_tr_B4DFQ4_B4DFQ4_HUMAN_.pdf</v>
      </c>
      <c r="AA3228" t="s">
        <v>14680</v>
      </c>
      <c r="AB3228" t="s">
        <v>18465</v>
      </c>
    </row>
    <row r="3229" spans="1:28" x14ac:dyDescent="0.25">
      <c r="A3229" t="s">
        <v>3233</v>
      </c>
      <c r="B3229">
        <v>0.98876768158843997</v>
      </c>
      <c r="C3229">
        <v>0.95433552293769297</v>
      </c>
      <c r="D3229">
        <v>1.0186094352694399</v>
      </c>
      <c r="E3229">
        <v>0.87883135429000303</v>
      </c>
      <c r="F3229">
        <v>0.68570286427830496</v>
      </c>
      <c r="G3229">
        <v>0.45298504876350398</v>
      </c>
      <c r="H3229">
        <v>0.18745239135410699</v>
      </c>
      <c r="I3229">
        <v>0.110390541326985</v>
      </c>
      <c r="J3229">
        <v>8.3883327832007401E-2</v>
      </c>
      <c r="K3229">
        <v>8.5689694623862306E-2</v>
      </c>
      <c r="L3229">
        <v>972.42727925086501</v>
      </c>
      <c r="M3229">
        <v>17.500336929643701</v>
      </c>
      <c r="N3229">
        <v>55.835601848224599</v>
      </c>
      <c r="O3229">
        <v>54.855880747734098</v>
      </c>
      <c r="P3229">
        <v>-7.6531263630600296E-2</v>
      </c>
      <c r="Q3229">
        <v>4.0485121369506799E-2</v>
      </c>
      <c r="R3229">
        <v>0.99542695644985302</v>
      </c>
      <c r="S3229" t="s">
        <v>7061</v>
      </c>
      <c r="T3229" t="s">
        <v>7662</v>
      </c>
      <c r="U3229" t="s">
        <v>7662</v>
      </c>
      <c r="V3229" t="s">
        <v>7662</v>
      </c>
      <c r="W3229">
        <v>13</v>
      </c>
      <c r="X3229" t="s">
        <v>10891</v>
      </c>
      <c r="Y3229">
        <v>0.55333545593598876</v>
      </c>
      <c r="Z3229" t="str">
        <f>HYPERLINK("Melting_Curves/meltCurve_tr_B4DGU4_B4DGU4_HUMAN_.pdf", "Melting_Curves/meltCurve_tr_B4DGU4_B4DGU4_HUMAN_.pdf")</f>
        <v>Melting_Curves/meltCurve_tr_B4DGU4_B4DGU4_HUMAN_.pdf</v>
      </c>
      <c r="AA3229" t="s">
        <v>14681</v>
      </c>
      <c r="AB3229" t="s">
        <v>18466</v>
      </c>
    </row>
    <row r="3230" spans="1:28" x14ac:dyDescent="0.25">
      <c r="A3230" t="s">
        <v>3234</v>
      </c>
      <c r="B3230">
        <v>0.98876768158843997</v>
      </c>
      <c r="C3230">
        <v>0.96854958244581102</v>
      </c>
      <c r="D3230">
        <v>1.14869685417477</v>
      </c>
      <c r="E3230">
        <v>0.67832800554945205</v>
      </c>
      <c r="F3230">
        <v>0.60435177378022198</v>
      </c>
      <c r="G3230">
        <v>0.39339982260781903</v>
      </c>
      <c r="H3230">
        <v>0.18960217688046099</v>
      </c>
      <c r="I3230">
        <v>0.20917237349709999</v>
      </c>
      <c r="J3230">
        <v>0.23503346136401099</v>
      </c>
      <c r="K3230">
        <v>0.23806316503314301</v>
      </c>
      <c r="L3230">
        <v>1075.40766010078</v>
      </c>
      <c r="M3230">
        <v>20.4830165511862</v>
      </c>
      <c r="N3230">
        <v>53.942632663989002</v>
      </c>
      <c r="O3230">
        <v>52.009662953497397</v>
      </c>
      <c r="P3230">
        <v>-7.7722495688700599E-2</v>
      </c>
      <c r="Q3230">
        <v>0.21062387268962801</v>
      </c>
      <c r="R3230">
        <v>0.95130278372004196</v>
      </c>
      <c r="S3230" t="s">
        <v>7062</v>
      </c>
      <c r="T3230" t="s">
        <v>7662</v>
      </c>
      <c r="U3230" t="s">
        <v>7662</v>
      </c>
      <c r="V3230" t="s">
        <v>7662</v>
      </c>
      <c r="W3230">
        <v>1</v>
      </c>
      <c r="X3230" t="s">
        <v>10892</v>
      </c>
      <c r="Y3230">
        <v>0.55004193552686054</v>
      </c>
      <c r="Z3230" t="str">
        <f>HYPERLINK("Melting_Curves/meltCurve_tr_B4DGX2_B4DGX2_HUMAN_.pdf", "Melting_Curves/meltCurve_tr_B4DGX2_B4DGX2_HUMAN_.pdf")</f>
        <v>Melting_Curves/meltCurve_tr_B4DGX2_B4DGX2_HUMAN_.pdf</v>
      </c>
      <c r="AA3230" t="s">
        <v>14682</v>
      </c>
      <c r="AB3230" t="s">
        <v>18467</v>
      </c>
    </row>
    <row r="3231" spans="1:28" x14ac:dyDescent="0.25">
      <c r="A3231" t="s">
        <v>3235</v>
      </c>
      <c r="B3231">
        <v>0.98876768158843997</v>
      </c>
      <c r="C3231">
        <v>1.04274932750819</v>
      </c>
      <c r="D3231">
        <v>0.812471488134208</v>
      </c>
      <c r="E3231">
        <v>0.48819162539503802</v>
      </c>
      <c r="F3231">
        <v>0.120013364495644</v>
      </c>
      <c r="G3231">
        <v>0.32020545928014299</v>
      </c>
      <c r="H3231">
        <v>0.30091978725607499</v>
      </c>
      <c r="I3231">
        <v>0.47123754385913502</v>
      </c>
      <c r="J3231">
        <v>0.72181951383446197</v>
      </c>
      <c r="K3231">
        <v>0.65426076343285</v>
      </c>
      <c r="L3231">
        <v>2745.2918218048999</v>
      </c>
      <c r="M3231">
        <v>58.961768826355801</v>
      </c>
      <c r="N3231">
        <v>48.268299014951602</v>
      </c>
      <c r="O3231">
        <v>46.507071218570999</v>
      </c>
      <c r="P3231">
        <v>-0.17815343312242701</v>
      </c>
      <c r="Q3231">
        <v>0.43791437122682397</v>
      </c>
      <c r="R3231">
        <v>0.68156066451144703</v>
      </c>
      <c r="S3231" t="s">
        <v>7063</v>
      </c>
      <c r="T3231" t="s">
        <v>7662</v>
      </c>
      <c r="U3231" t="s">
        <v>7662</v>
      </c>
      <c r="V3231" t="s">
        <v>7662</v>
      </c>
      <c r="W3231">
        <v>8</v>
      </c>
      <c r="X3231" t="s">
        <v>10893</v>
      </c>
      <c r="Y3231">
        <v>0.56166340610054066</v>
      </c>
      <c r="Z3231" t="str">
        <f>HYPERLINK("Melting_Curves/meltCurve_tr_B4DH53_B4DH53_HUMAN_.pdf", "Melting_Curves/meltCurve_tr_B4DH53_B4DH53_HUMAN_.pdf")</f>
        <v>Melting_Curves/meltCurve_tr_B4DH53_B4DH53_HUMAN_.pdf</v>
      </c>
      <c r="AA3231" t="s">
        <v>14683</v>
      </c>
      <c r="AB3231" t="s">
        <v>18468</v>
      </c>
    </row>
    <row r="3232" spans="1:28" x14ac:dyDescent="0.25">
      <c r="A3232" t="s">
        <v>3236</v>
      </c>
      <c r="B3232">
        <v>0.98876768158843997</v>
      </c>
      <c r="C3232">
        <v>0.77737674539869595</v>
      </c>
      <c r="D3232">
        <v>0.41304332590188803</v>
      </c>
      <c r="E3232">
        <v>0.14499039007119</v>
      </c>
      <c r="F3232">
        <v>6.4946863241194405E-2</v>
      </c>
      <c r="G3232">
        <v>3.3725708594879701E-2</v>
      </c>
      <c r="H3232">
        <v>2.1819073892348401E-2</v>
      </c>
      <c r="I3232">
        <v>1.8960014477235301E-2</v>
      </c>
      <c r="J3232">
        <v>2.0937606525799499E-2</v>
      </c>
      <c r="K3232">
        <v>2.06338541851828E-2</v>
      </c>
      <c r="L3232">
        <v>1029.41472952206</v>
      </c>
      <c r="M3232">
        <v>22.743232004601701</v>
      </c>
      <c r="N3232">
        <v>45.360822814768099</v>
      </c>
      <c r="O3232">
        <v>44.916911773694103</v>
      </c>
      <c r="P3232">
        <v>-0.123541911452761</v>
      </c>
      <c r="Q3232">
        <v>2.4059601643762901E-2</v>
      </c>
      <c r="R3232">
        <v>0.99832659446751604</v>
      </c>
      <c r="S3232" t="s">
        <v>7064</v>
      </c>
      <c r="T3232" t="s">
        <v>7662</v>
      </c>
      <c r="U3232" t="s">
        <v>7662</v>
      </c>
      <c r="V3232" t="s">
        <v>7662</v>
      </c>
      <c r="W3232">
        <v>19</v>
      </c>
      <c r="X3232" t="s">
        <v>10894</v>
      </c>
      <c r="Y3232">
        <v>0.20712901435622449</v>
      </c>
      <c r="Z3232" t="str">
        <f>HYPERLINK("Melting_Curves/meltCurve_tr_B4DHT5_B4DHT5_HUMAN_.pdf", "Melting_Curves/meltCurve_tr_B4DHT5_B4DHT5_HUMAN_.pdf")</f>
        <v>Melting_Curves/meltCurve_tr_B4DHT5_B4DHT5_HUMAN_.pdf</v>
      </c>
      <c r="AA3232" t="s">
        <v>14684</v>
      </c>
      <c r="AB3232" t="s">
        <v>18469</v>
      </c>
    </row>
    <row r="3233" spans="1:28" x14ac:dyDescent="0.25">
      <c r="A3233" t="s">
        <v>3237</v>
      </c>
      <c r="B3233">
        <v>0.98876768158843997</v>
      </c>
      <c r="C3233">
        <v>0.88384428189865105</v>
      </c>
      <c r="D3233">
        <v>0.75110560592481801</v>
      </c>
      <c r="E3233">
        <v>0.374793320331057</v>
      </c>
      <c r="F3233">
        <v>0.121300711864944</v>
      </c>
      <c r="G3233">
        <v>5.1601302104372603E-2</v>
      </c>
      <c r="H3233">
        <v>2.8262133906351398E-2</v>
      </c>
      <c r="I3233">
        <v>2.26949196039163E-2</v>
      </c>
      <c r="J3233">
        <v>2.5288991804459302E-2</v>
      </c>
      <c r="K3233">
        <v>2.0162352349913999E-2</v>
      </c>
      <c r="L3233">
        <v>964.36193187002903</v>
      </c>
      <c r="M3233">
        <v>19.9381548816954</v>
      </c>
      <c r="N3233">
        <v>48.423947808464199</v>
      </c>
      <c r="O3233">
        <v>47.889010491359599</v>
      </c>
      <c r="P3233">
        <v>-0.102896423586804</v>
      </c>
      <c r="Q3233">
        <v>1.14545358115623E-2</v>
      </c>
      <c r="R3233">
        <v>0.99697430545892296</v>
      </c>
      <c r="S3233" t="s">
        <v>7065</v>
      </c>
      <c r="T3233" t="s">
        <v>7662</v>
      </c>
      <c r="U3233" t="s">
        <v>7662</v>
      </c>
      <c r="V3233" t="s">
        <v>7662</v>
      </c>
      <c r="W3233">
        <v>27</v>
      </c>
      <c r="X3233" t="s">
        <v>10895</v>
      </c>
      <c r="Y3233">
        <v>0.30122756912648402</v>
      </c>
      <c r="Z3233" t="str">
        <f>HYPERLINK("Melting_Curves/meltCurve_tr_B4DIT7_B4DIT7_HUMAN_.pdf", "Melting_Curves/meltCurve_tr_B4DIT7_B4DIT7_HUMAN_.pdf")</f>
        <v>Melting_Curves/meltCurve_tr_B4DIT7_B4DIT7_HUMAN_.pdf</v>
      </c>
      <c r="AA3233" t="s">
        <v>14685</v>
      </c>
      <c r="AB3233" t="s">
        <v>18470</v>
      </c>
    </row>
    <row r="3234" spans="1:28" x14ac:dyDescent="0.25">
      <c r="A3234" t="s">
        <v>3238</v>
      </c>
      <c r="B3234">
        <v>0.98876768158843997</v>
      </c>
      <c r="C3234">
        <v>0.76161646508465797</v>
      </c>
      <c r="D3234">
        <v>0.93962985418372202</v>
      </c>
      <c r="E3234">
        <v>0.720615055651186</v>
      </c>
      <c r="F3234">
        <v>0.29891784286881001</v>
      </c>
      <c r="G3234">
        <v>0.123846160437373</v>
      </c>
      <c r="H3234">
        <v>7.8348824053996E-2</v>
      </c>
      <c r="I3234">
        <v>4.0509381907112903E-2</v>
      </c>
      <c r="J3234">
        <v>0</v>
      </c>
      <c r="K3234">
        <v>4.0896159580555501E-2</v>
      </c>
      <c r="L3234">
        <v>1263.8037699490401</v>
      </c>
      <c r="M3234">
        <v>24.5925619028882</v>
      </c>
      <c r="N3234">
        <v>51.523466586356697</v>
      </c>
      <c r="O3234">
        <v>51.053473792301702</v>
      </c>
      <c r="P3234">
        <v>-0.11670222064871701</v>
      </c>
      <c r="Q3234">
        <v>3.0931306213948399E-2</v>
      </c>
      <c r="R3234">
        <v>0.95963739721235597</v>
      </c>
      <c r="S3234" t="s">
        <v>7066</v>
      </c>
      <c r="T3234" t="s">
        <v>7662</v>
      </c>
      <c r="U3234" t="s">
        <v>7662</v>
      </c>
      <c r="V3234" t="s">
        <v>7662</v>
      </c>
      <c r="W3234">
        <v>1</v>
      </c>
      <c r="X3234" t="s">
        <v>10896</v>
      </c>
      <c r="Y3234">
        <v>0.40792133892017901</v>
      </c>
      <c r="Z3234" t="str">
        <f>HYPERLINK("Melting_Curves/meltCurve_tr_B4DJ85_B4DJ85_HUMAN_.pdf", "Melting_Curves/meltCurve_tr_B4DJ85_B4DJ85_HUMAN_.pdf")</f>
        <v>Melting_Curves/meltCurve_tr_B4DJ85_B4DJ85_HUMAN_.pdf</v>
      </c>
      <c r="AA3234" t="s">
        <v>14686</v>
      </c>
      <c r="AB3234" t="s">
        <v>18471</v>
      </c>
    </row>
    <row r="3235" spans="1:28" x14ac:dyDescent="0.25">
      <c r="A3235" t="s">
        <v>3239</v>
      </c>
      <c r="B3235">
        <v>0.98876768158843997</v>
      </c>
      <c r="C3235">
        <v>0.98457651221514697</v>
      </c>
      <c r="D3235">
        <v>0.76208662822541096</v>
      </c>
      <c r="E3235">
        <v>0.47200480981068199</v>
      </c>
      <c r="F3235">
        <v>0.25434484230839</v>
      </c>
      <c r="G3235">
        <v>6.9038980951474996E-2</v>
      </c>
      <c r="H3235">
        <v>2.5952276136338399E-2</v>
      </c>
      <c r="I3235">
        <v>1.6774711235006502E-2</v>
      </c>
      <c r="J3235">
        <v>8.7247304131846792E-3</v>
      </c>
      <c r="K3235">
        <v>5.9058282676999301E-3</v>
      </c>
      <c r="L3235">
        <v>882.81740895340795</v>
      </c>
      <c r="M3235">
        <v>17.811933831354199</v>
      </c>
      <c r="N3235">
        <v>49.563245170485203</v>
      </c>
      <c r="O3235">
        <v>48.951193651646399</v>
      </c>
      <c r="P3235">
        <v>-9.0972499750761701E-2</v>
      </c>
      <c r="Q3235">
        <v>0</v>
      </c>
      <c r="R3235">
        <v>0.99733335634235099</v>
      </c>
      <c r="S3235" t="s">
        <v>7067</v>
      </c>
      <c r="T3235" t="s">
        <v>7662</v>
      </c>
      <c r="U3235" t="s">
        <v>7662</v>
      </c>
      <c r="V3235" t="s">
        <v>7662</v>
      </c>
      <c r="W3235">
        <v>4</v>
      </c>
      <c r="X3235" t="s">
        <v>10897</v>
      </c>
      <c r="Y3235">
        <v>0.33628572376357219</v>
      </c>
      <c r="Z3235" t="str">
        <f>HYPERLINK("Melting_Curves/meltCurve_tr_B4DJA5_B4DJA5_HUMAN_.pdf", "Melting_Curves/meltCurve_tr_B4DJA5_B4DJA5_HUMAN_.pdf")</f>
        <v>Melting_Curves/meltCurve_tr_B4DJA5_B4DJA5_HUMAN_.pdf</v>
      </c>
      <c r="AA3235" t="s">
        <v>14687</v>
      </c>
      <c r="AB3235" t="s">
        <v>18472</v>
      </c>
    </row>
    <row r="3236" spans="1:28" x14ac:dyDescent="0.25">
      <c r="A3236" t="s">
        <v>3240</v>
      </c>
      <c r="B3236">
        <v>0.98876768158843997</v>
      </c>
      <c r="C3236">
        <v>1.0181213932098201</v>
      </c>
      <c r="D3236">
        <v>0.92267957522099497</v>
      </c>
      <c r="E3236">
        <v>0.77991727464996696</v>
      </c>
      <c r="F3236">
        <v>0.76541917679603599</v>
      </c>
      <c r="G3236">
        <v>0.47742299494065199</v>
      </c>
      <c r="H3236">
        <v>0.29710814036424199</v>
      </c>
      <c r="I3236">
        <v>0.16651645315850699</v>
      </c>
      <c r="J3236">
        <v>0.11273507848582601</v>
      </c>
      <c r="K3236">
        <v>7.5772687342642295E-2</v>
      </c>
      <c r="L3236">
        <v>723.42011349593201</v>
      </c>
      <c r="M3236">
        <v>12.7717401347316</v>
      </c>
      <c r="N3236">
        <v>56.642250018000098</v>
      </c>
      <c r="O3236">
        <v>55.307463056060001</v>
      </c>
      <c r="P3236">
        <v>-5.7741544171202398E-2</v>
      </c>
      <c r="Q3236">
        <v>0</v>
      </c>
      <c r="R3236">
        <v>0.99188287569771205</v>
      </c>
      <c r="S3236" t="s">
        <v>7068</v>
      </c>
      <c r="T3236" t="s">
        <v>7662</v>
      </c>
      <c r="U3236" t="s">
        <v>7662</v>
      </c>
      <c r="V3236" t="s">
        <v>7662</v>
      </c>
      <c r="W3236">
        <v>1</v>
      </c>
      <c r="X3236" t="s">
        <v>10898</v>
      </c>
      <c r="Y3236">
        <v>0.57266116952699186</v>
      </c>
      <c r="Z3236" t="str">
        <f>HYPERLINK("Melting_Curves/meltCurve_tr_B4DJC3_B4DJC3_HUMAN_.pdf", "Melting_Curves/meltCurve_tr_B4DJC3_B4DJC3_HUMAN_.pdf")</f>
        <v>Melting_Curves/meltCurve_tr_B4DJC3_B4DJC3_HUMAN_.pdf</v>
      </c>
      <c r="AA3236" t="s">
        <v>14688</v>
      </c>
      <c r="AB3236" t="s">
        <v>18473</v>
      </c>
    </row>
    <row r="3237" spans="1:28" x14ac:dyDescent="0.25">
      <c r="A3237" t="s">
        <v>3241</v>
      </c>
      <c r="B3237">
        <v>0.98876768158843997</v>
      </c>
      <c r="C3237">
        <v>0.97784702123913503</v>
      </c>
      <c r="D3237">
        <v>0.94214686265101599</v>
      </c>
      <c r="E3237">
        <v>0.82691726188332304</v>
      </c>
      <c r="F3237">
        <v>0.53791518629877499</v>
      </c>
      <c r="G3237">
        <v>0.42397809167598599</v>
      </c>
      <c r="H3237">
        <v>0.37976291276549501</v>
      </c>
      <c r="I3237">
        <v>0.43205281594426198</v>
      </c>
      <c r="J3237">
        <v>0.36940794016981299</v>
      </c>
      <c r="K3237">
        <v>0.28704708873260698</v>
      </c>
      <c r="L3237">
        <v>1379.0505984198401</v>
      </c>
      <c r="M3237">
        <v>26.797507165267799</v>
      </c>
      <c r="N3237">
        <v>54.093245807228001</v>
      </c>
      <c r="O3237">
        <v>51.177861487871397</v>
      </c>
      <c r="P3237">
        <v>-8.3227107491159899E-2</v>
      </c>
      <c r="Q3237">
        <v>0.36421797899770098</v>
      </c>
      <c r="R3237">
        <v>0.981395538117663</v>
      </c>
      <c r="S3237" t="s">
        <v>7069</v>
      </c>
      <c r="T3237" t="s">
        <v>7662</v>
      </c>
      <c r="U3237" t="s">
        <v>7662</v>
      </c>
      <c r="V3237" t="s">
        <v>7662</v>
      </c>
      <c r="W3237">
        <v>3</v>
      </c>
      <c r="X3237" t="s">
        <v>10899</v>
      </c>
      <c r="Y3237">
        <v>0.61216500708913324</v>
      </c>
      <c r="Z3237" t="str">
        <f>HYPERLINK("Melting_Curves/meltCurve_tr_B4DJP7_B4DJP7_HUMAN_.pdf", "Melting_Curves/meltCurve_tr_B4DJP7_B4DJP7_HUMAN_.pdf")</f>
        <v>Melting_Curves/meltCurve_tr_B4DJP7_B4DJP7_HUMAN_.pdf</v>
      </c>
      <c r="AA3237" t="s">
        <v>14689</v>
      </c>
      <c r="AB3237" t="s">
        <v>18474</v>
      </c>
    </row>
    <row r="3238" spans="1:28" x14ac:dyDescent="0.25">
      <c r="A3238" t="s">
        <v>3242</v>
      </c>
      <c r="B3238">
        <v>0.98876768158843997</v>
      </c>
      <c r="C3238">
        <v>0.69485060449329905</v>
      </c>
      <c r="D3238">
        <v>0.86187732972343101</v>
      </c>
      <c r="E3238">
        <v>0.63770311591130502</v>
      </c>
      <c r="F3238">
        <v>0.19205852502669901</v>
      </c>
      <c r="G3238">
        <v>9.7294694596074302E-2</v>
      </c>
      <c r="H3238">
        <v>6.0176324427887298E-2</v>
      </c>
      <c r="I3238">
        <v>4.9192474680460903E-2</v>
      </c>
      <c r="J3238">
        <v>5.0291153311455297E-2</v>
      </c>
      <c r="K3238">
        <v>4.1059761797542303E-2</v>
      </c>
      <c r="L3238">
        <v>784.92467991495198</v>
      </c>
      <c r="M3238">
        <v>15.6722742451184</v>
      </c>
      <c r="N3238">
        <v>50.130574888729598</v>
      </c>
      <c r="O3238">
        <v>49.289477837982602</v>
      </c>
      <c r="P3238">
        <v>-7.8918793343627502E-2</v>
      </c>
      <c r="Q3238">
        <v>7.2822684385108402E-3</v>
      </c>
      <c r="R3238">
        <v>0.93064435138013402</v>
      </c>
      <c r="S3238" t="s">
        <v>7070</v>
      </c>
      <c r="T3238" t="s">
        <v>7662</v>
      </c>
      <c r="U3238" t="s">
        <v>7662</v>
      </c>
      <c r="V3238" t="s">
        <v>7662</v>
      </c>
      <c r="W3238">
        <v>14</v>
      </c>
      <c r="X3238" t="s">
        <v>10900</v>
      </c>
      <c r="Y3238">
        <v>0.36279332173913692</v>
      </c>
      <c r="Z3238" t="str">
        <f>HYPERLINK("Melting_Curves/meltCurve_tr_B4DJV2_B4DJV2_HUMAN_.pdf", "Melting_Curves/meltCurve_tr_B4DJV2_B4DJV2_HUMAN_.pdf")</f>
        <v>Melting_Curves/meltCurve_tr_B4DJV2_B4DJV2_HUMAN_.pdf</v>
      </c>
      <c r="AA3238" t="s">
        <v>14690</v>
      </c>
      <c r="AB3238" t="s">
        <v>18475</v>
      </c>
    </row>
    <row r="3239" spans="1:28" x14ac:dyDescent="0.25">
      <c r="A3239" t="s">
        <v>3243</v>
      </c>
      <c r="B3239">
        <v>0.98876768158843997</v>
      </c>
      <c r="C3239">
        <v>1.0145282865471299</v>
      </c>
      <c r="D3239">
        <v>0.76699919502712</v>
      </c>
      <c r="E3239">
        <v>0.53496141813791198</v>
      </c>
      <c r="F3239">
        <v>0.46147729023302297</v>
      </c>
      <c r="G3239">
        <v>0.18343191230436101</v>
      </c>
      <c r="H3239">
        <v>0.16637823112938999</v>
      </c>
      <c r="I3239">
        <v>0.111106870525346</v>
      </c>
      <c r="J3239">
        <v>0.22142709513299</v>
      </c>
      <c r="K3239">
        <v>0.10080543687745901</v>
      </c>
      <c r="L3239">
        <v>768.79271081070306</v>
      </c>
      <c r="M3239">
        <v>15.362847996859299</v>
      </c>
      <c r="N3239">
        <v>50.952184874746798</v>
      </c>
      <c r="O3239">
        <v>49.217421079969398</v>
      </c>
      <c r="P3239">
        <v>-6.86807082567059E-2</v>
      </c>
      <c r="Q3239">
        <v>0.119961015978406</v>
      </c>
      <c r="R3239">
        <v>0.97564120620703998</v>
      </c>
      <c r="S3239" t="s">
        <v>7071</v>
      </c>
      <c r="T3239" t="s">
        <v>7662</v>
      </c>
      <c r="U3239" t="s">
        <v>7662</v>
      </c>
      <c r="V3239" t="s">
        <v>7662</v>
      </c>
      <c r="W3239">
        <v>20</v>
      </c>
      <c r="X3239" t="s">
        <v>10901</v>
      </c>
      <c r="Y3239">
        <v>0.4346350651329664</v>
      </c>
      <c r="Z3239" t="str">
        <f>HYPERLINK("Melting_Curves/meltCurve_tr_B4DK69_B4DK69_HUMAN_.pdf", "Melting_Curves/meltCurve_tr_B4DK69_B4DK69_HUMAN_.pdf")</f>
        <v>Melting_Curves/meltCurve_tr_B4DK69_B4DK69_HUMAN_.pdf</v>
      </c>
      <c r="AA3239" t="s">
        <v>14691</v>
      </c>
      <c r="AB3239" t="s">
        <v>18476</v>
      </c>
    </row>
    <row r="3240" spans="1:28" x14ac:dyDescent="0.25">
      <c r="A3240" t="s">
        <v>3244</v>
      </c>
      <c r="B3240">
        <v>0.98876768158843997</v>
      </c>
      <c r="C3240">
        <v>0.84607072059904898</v>
      </c>
      <c r="D3240">
        <v>0.86083113932219002</v>
      </c>
      <c r="E3240">
        <v>0.66262551115984303</v>
      </c>
      <c r="F3240">
        <v>0.24939925227236601</v>
      </c>
      <c r="G3240">
        <v>7.9174286482573797E-2</v>
      </c>
      <c r="H3240">
        <v>0.112150663414725</v>
      </c>
      <c r="I3240">
        <v>0.117881114966159</v>
      </c>
      <c r="J3240">
        <v>0</v>
      </c>
      <c r="K3240">
        <v>0</v>
      </c>
      <c r="L3240">
        <v>1018.16152387288</v>
      </c>
      <c r="M3240">
        <v>20.097060620931099</v>
      </c>
      <c r="N3240">
        <v>50.814147149137199</v>
      </c>
      <c r="O3240">
        <v>50.1685979398802</v>
      </c>
      <c r="P3240">
        <v>-9.7230354264750601E-2</v>
      </c>
      <c r="Q3240">
        <v>2.9160556635780301E-2</v>
      </c>
      <c r="R3240">
        <v>0.97145079018848601</v>
      </c>
      <c r="S3240" t="s">
        <v>7072</v>
      </c>
      <c r="T3240" t="s">
        <v>7662</v>
      </c>
      <c r="U3240" t="s">
        <v>7662</v>
      </c>
      <c r="V3240" t="s">
        <v>7662</v>
      </c>
      <c r="W3240">
        <v>1</v>
      </c>
      <c r="X3240" t="s">
        <v>10902</v>
      </c>
      <c r="Y3240">
        <v>0.38756826407953932</v>
      </c>
      <c r="Z3240" t="str">
        <f>HYPERLINK("Melting_Curves/meltCurve_tr_B4DK95_B4DK95_HUMAN_.pdf", "Melting_Curves/meltCurve_tr_B4DK95_B4DK95_HUMAN_.pdf")</f>
        <v>Melting_Curves/meltCurve_tr_B4DK95_B4DK95_HUMAN_.pdf</v>
      </c>
      <c r="AA3240" t="s">
        <v>14692</v>
      </c>
      <c r="AB3240" t="s">
        <v>18477</v>
      </c>
    </row>
    <row r="3241" spans="1:28" x14ac:dyDescent="0.25">
      <c r="A3241" t="s">
        <v>3245</v>
      </c>
      <c r="B3241">
        <v>0.98876768158843997</v>
      </c>
      <c r="C3241">
        <v>1.1130752233746399</v>
      </c>
      <c r="D3241">
        <v>0.88567181958528096</v>
      </c>
      <c r="E3241">
        <v>0.75644644370056302</v>
      </c>
      <c r="F3241">
        <v>0.66800591474807103</v>
      </c>
      <c r="G3241">
        <v>0.422076608112473</v>
      </c>
      <c r="H3241">
        <v>0.24734500333029699</v>
      </c>
      <c r="I3241">
        <v>0.140438031079956</v>
      </c>
      <c r="J3241">
        <v>0.10547829662673</v>
      </c>
      <c r="K3241">
        <v>0.145377842880799</v>
      </c>
      <c r="L3241">
        <v>748.399253394992</v>
      </c>
      <c r="M3241">
        <v>13.655578283790501</v>
      </c>
      <c r="N3241">
        <v>55.301293047605398</v>
      </c>
      <c r="O3241">
        <v>53.670139380945301</v>
      </c>
      <c r="P3241">
        <v>-5.9951985785078203E-2</v>
      </c>
      <c r="Q3241">
        <v>5.7626788861393302E-2</v>
      </c>
      <c r="R3241">
        <v>0.979470202052519</v>
      </c>
      <c r="S3241" t="s">
        <v>7073</v>
      </c>
      <c r="T3241" t="s">
        <v>7662</v>
      </c>
      <c r="U3241" t="s">
        <v>7662</v>
      </c>
      <c r="V3241" t="s">
        <v>7662</v>
      </c>
      <c r="W3241">
        <v>2</v>
      </c>
      <c r="X3241" t="s">
        <v>10903</v>
      </c>
      <c r="Y3241">
        <v>0.54297854326493566</v>
      </c>
      <c r="Z3241" t="str">
        <f>HYPERLINK("Melting_Curves/meltCurve_tr_B4DKJ3_B4DKJ3_HUMAN_.pdf", "Melting_Curves/meltCurve_tr_B4DKJ3_B4DKJ3_HUMAN_.pdf")</f>
        <v>Melting_Curves/meltCurve_tr_B4DKJ3_B4DKJ3_HUMAN_.pdf</v>
      </c>
      <c r="AA3241" t="s">
        <v>14693</v>
      </c>
      <c r="AB3241" t="s">
        <v>18478</v>
      </c>
    </row>
    <row r="3242" spans="1:28" x14ac:dyDescent="0.25">
      <c r="A3242" t="s">
        <v>3246</v>
      </c>
      <c r="B3242">
        <v>0.98876768158843997</v>
      </c>
      <c r="C3242">
        <v>1.12530151999923</v>
      </c>
      <c r="D3242">
        <v>0.93830819811060195</v>
      </c>
      <c r="E3242">
        <v>0.82776243865822197</v>
      </c>
      <c r="F3242">
        <v>0.81252371388795497</v>
      </c>
      <c r="G3242">
        <v>0.58964258262722402</v>
      </c>
      <c r="H3242">
        <v>0.431870704015064</v>
      </c>
      <c r="I3242">
        <v>0.45594540338044398</v>
      </c>
      <c r="J3242">
        <v>0.582027605595973</v>
      </c>
      <c r="K3242">
        <v>0.63784645165978404</v>
      </c>
      <c r="L3242">
        <v>1183.0326793852801</v>
      </c>
      <c r="M3242">
        <v>22.4908731023157</v>
      </c>
      <c r="O3242">
        <v>52.190020084371703</v>
      </c>
      <c r="P3242">
        <v>-5.1261767763733201E-2</v>
      </c>
      <c r="Q3242">
        <v>0.52419846652259205</v>
      </c>
      <c r="R3242">
        <v>0.87690296804606804</v>
      </c>
      <c r="S3242" t="s">
        <v>7074</v>
      </c>
      <c r="T3242" t="s">
        <v>7662</v>
      </c>
      <c r="U3242" t="s">
        <v>7662</v>
      </c>
      <c r="V3242" t="s">
        <v>7662</v>
      </c>
      <c r="W3242">
        <v>9</v>
      </c>
      <c r="X3242" t="s">
        <v>10904</v>
      </c>
      <c r="Y3242">
        <v>0.72936459688960487</v>
      </c>
      <c r="Z3242" t="str">
        <f>HYPERLINK("Melting_Curves/meltCurve_tr_B4DKL4_B4DKL4_HUMAN_.pdf", "Melting_Curves/meltCurve_tr_B4DKL4_B4DKL4_HUMAN_.pdf")</f>
        <v>Melting_Curves/meltCurve_tr_B4DKL4_B4DKL4_HUMAN_.pdf</v>
      </c>
      <c r="AA3242" t="s">
        <v>14694</v>
      </c>
      <c r="AB3242" t="s">
        <v>18479</v>
      </c>
    </row>
    <row r="3243" spans="1:28" x14ac:dyDescent="0.25">
      <c r="A3243" t="s">
        <v>3247</v>
      </c>
      <c r="B3243">
        <v>0.98876768158843997</v>
      </c>
      <c r="C3243">
        <v>0.81994691199486602</v>
      </c>
      <c r="D3243">
        <v>0.83895960373246703</v>
      </c>
      <c r="E3243">
        <v>0.43344350611202898</v>
      </c>
      <c r="F3243">
        <v>0.31495300518337099</v>
      </c>
      <c r="G3243">
        <v>0.17850220956562601</v>
      </c>
      <c r="H3243">
        <v>0.10475951181434701</v>
      </c>
      <c r="I3243">
        <v>9.7575390542265605E-2</v>
      </c>
      <c r="J3243">
        <v>0.157350626405622</v>
      </c>
      <c r="K3243">
        <v>0.111017276829597</v>
      </c>
      <c r="L3243">
        <v>802.213024400672</v>
      </c>
      <c r="M3243">
        <v>16.410501725268201</v>
      </c>
      <c r="N3243">
        <v>49.567867263936101</v>
      </c>
      <c r="O3243">
        <v>48.175522407833199</v>
      </c>
      <c r="P3243">
        <v>-7.6539759819323802E-2</v>
      </c>
      <c r="Q3243">
        <v>0.101287404208719</v>
      </c>
      <c r="R3243">
        <v>0.98138141591235195</v>
      </c>
      <c r="S3243" t="s">
        <v>7075</v>
      </c>
      <c r="T3243" t="s">
        <v>7662</v>
      </c>
      <c r="U3243" t="s">
        <v>7662</v>
      </c>
      <c r="V3243" t="s">
        <v>7662</v>
      </c>
      <c r="W3243">
        <v>1</v>
      </c>
      <c r="X3243" t="s">
        <v>10905</v>
      </c>
      <c r="Y3243">
        <v>0.3861678725534286</v>
      </c>
      <c r="Z3243" t="str">
        <f>HYPERLINK("Melting_Curves/meltCurve_tr_B4DL14_B4DL14_HUMAN_.pdf", "Melting_Curves/meltCurve_tr_B4DL14_B4DL14_HUMAN_.pdf")</f>
        <v>Melting_Curves/meltCurve_tr_B4DL14_B4DL14_HUMAN_.pdf</v>
      </c>
      <c r="AA3243" t="s">
        <v>14695</v>
      </c>
      <c r="AB3243" t="s">
        <v>18480</v>
      </c>
    </row>
    <row r="3244" spans="1:28" x14ac:dyDescent="0.25">
      <c r="A3244" t="s">
        <v>3248</v>
      </c>
      <c r="B3244">
        <v>0.98876768158843997</v>
      </c>
      <c r="C3244">
        <v>1.0154260396436099</v>
      </c>
      <c r="D3244">
        <v>0.82786870675348001</v>
      </c>
      <c r="E3244">
        <v>0.70061333920431101</v>
      </c>
      <c r="F3244">
        <v>0.64874381178678298</v>
      </c>
      <c r="G3244">
        <v>0.37465971844645302</v>
      </c>
      <c r="H3244">
        <v>0.21067697284324499</v>
      </c>
      <c r="I3244">
        <v>0.14919570341569499</v>
      </c>
      <c r="J3244">
        <v>0.147589283185555</v>
      </c>
      <c r="K3244">
        <v>0.19318513576903401</v>
      </c>
      <c r="L3244">
        <v>673.84350530209497</v>
      </c>
      <c r="M3244">
        <v>12.597109081303101</v>
      </c>
      <c r="N3244">
        <v>54.341375271495799</v>
      </c>
      <c r="O3244">
        <v>52.197594405989101</v>
      </c>
      <c r="P3244">
        <v>-5.4952674743738703E-2</v>
      </c>
      <c r="Q3244">
        <v>8.9370495627813906E-2</v>
      </c>
      <c r="R3244">
        <v>0.98058107124551996</v>
      </c>
      <c r="S3244" t="s">
        <v>7076</v>
      </c>
      <c r="T3244" t="s">
        <v>7662</v>
      </c>
      <c r="U3244" t="s">
        <v>7662</v>
      </c>
      <c r="V3244" t="s">
        <v>7662</v>
      </c>
      <c r="W3244">
        <v>3</v>
      </c>
      <c r="X3244" t="s">
        <v>10906</v>
      </c>
      <c r="Y3244">
        <v>0.52256471741246802</v>
      </c>
      <c r="Z3244" t="str">
        <f>HYPERLINK("Melting_Curves/meltCurve_tr_B4DL54_B4DL54_HUMAN_.pdf", "Melting_Curves/meltCurve_tr_B4DL54_B4DL54_HUMAN_.pdf")</f>
        <v>Melting_Curves/meltCurve_tr_B4DL54_B4DL54_HUMAN_.pdf</v>
      </c>
      <c r="AA3244" t="s">
        <v>14696</v>
      </c>
      <c r="AB3244" t="s">
        <v>18481</v>
      </c>
    </row>
    <row r="3245" spans="1:28" x14ac:dyDescent="0.25">
      <c r="A3245" t="s">
        <v>3249</v>
      </c>
      <c r="B3245">
        <v>0.98876768158843997</v>
      </c>
      <c r="C3245">
        <v>0.96381796038797996</v>
      </c>
      <c r="D3245">
        <v>0.94786518613644599</v>
      </c>
      <c r="E3245">
        <v>0.67735706831240305</v>
      </c>
      <c r="F3245">
        <v>0.35159637784697301</v>
      </c>
      <c r="G3245">
        <v>0.201050667779719</v>
      </c>
      <c r="H3245">
        <v>0.120498347696555</v>
      </c>
      <c r="I3245">
        <v>0.123901153355402</v>
      </c>
      <c r="J3245">
        <v>0.168435190958904</v>
      </c>
      <c r="K3245">
        <v>0.13327438502835201</v>
      </c>
      <c r="L3245">
        <v>1343.8999952387801</v>
      </c>
      <c r="M3245">
        <v>26.394719174365999</v>
      </c>
      <c r="N3245">
        <v>51.530927094059898</v>
      </c>
      <c r="O3245">
        <v>50.625923336757502</v>
      </c>
      <c r="P3245">
        <v>-0.11272184750650301</v>
      </c>
      <c r="Q3245">
        <v>0.13519281489433199</v>
      </c>
      <c r="R3245">
        <v>0.99744792689140505</v>
      </c>
      <c r="S3245" t="s">
        <v>7077</v>
      </c>
      <c r="T3245" t="s">
        <v>7662</v>
      </c>
      <c r="U3245" t="s">
        <v>7662</v>
      </c>
      <c r="V3245" t="s">
        <v>7662</v>
      </c>
      <c r="W3245">
        <v>13</v>
      </c>
      <c r="X3245" t="s">
        <v>10907</v>
      </c>
      <c r="Y3245">
        <v>0.45686323846766569</v>
      </c>
      <c r="Z3245" t="str">
        <f>HYPERLINK("Melting_Curves/meltCurve_tr_B4DLW8_B4DLW8_HUMAN_.pdf", "Melting_Curves/meltCurve_tr_B4DLW8_B4DLW8_HUMAN_.pdf")</f>
        <v>Melting_Curves/meltCurve_tr_B4DLW8_B4DLW8_HUMAN_.pdf</v>
      </c>
      <c r="AA3245" t="s">
        <v>14697</v>
      </c>
      <c r="AB3245" t="s">
        <v>18482</v>
      </c>
    </row>
    <row r="3246" spans="1:28" x14ac:dyDescent="0.25">
      <c r="A3246" t="s">
        <v>3250</v>
      </c>
      <c r="B3246">
        <v>0.98876768158843997</v>
      </c>
      <c r="C3246">
        <v>1.13832023606086</v>
      </c>
      <c r="D3246">
        <v>0.85374164027784605</v>
      </c>
      <c r="E3246">
        <v>0.737349488163068</v>
      </c>
      <c r="F3246">
        <v>0.88161603983092596</v>
      </c>
      <c r="G3246">
        <v>0.51824818941198403</v>
      </c>
      <c r="H3246">
        <v>0.29982453040460399</v>
      </c>
      <c r="I3246">
        <v>0.308618969793096</v>
      </c>
      <c r="J3246">
        <v>0.36719040240460699</v>
      </c>
      <c r="K3246">
        <v>0.39689599594866398</v>
      </c>
      <c r="L3246">
        <v>909.96847523290705</v>
      </c>
      <c r="M3246">
        <v>16.747195112423501</v>
      </c>
      <c r="N3246">
        <v>57.598759849780997</v>
      </c>
      <c r="O3246">
        <v>53.578578662978998</v>
      </c>
      <c r="P3246">
        <v>-5.4203985253000603E-2</v>
      </c>
      <c r="Q3246">
        <v>0.30639557950114699</v>
      </c>
      <c r="R3246">
        <v>0.88822327137646395</v>
      </c>
      <c r="S3246" t="s">
        <v>7078</v>
      </c>
      <c r="T3246" t="s">
        <v>7662</v>
      </c>
      <c r="U3246" t="s">
        <v>7662</v>
      </c>
      <c r="V3246" t="s">
        <v>7662</v>
      </c>
      <c r="W3246">
        <v>7</v>
      </c>
      <c r="X3246" t="s">
        <v>10908</v>
      </c>
      <c r="Y3246">
        <v>0.64998527176210119</v>
      </c>
      <c r="Z3246" t="str">
        <f>HYPERLINK("Melting_Curves/meltCurve_tr_B4DP21_B4DP21_HUMAN_.pdf", "Melting_Curves/meltCurve_tr_B4DP21_B4DP21_HUMAN_.pdf")</f>
        <v>Melting_Curves/meltCurve_tr_B4DP21_B4DP21_HUMAN_.pdf</v>
      </c>
      <c r="AA3246" t="s">
        <v>14698</v>
      </c>
      <c r="AB3246" t="s">
        <v>18483</v>
      </c>
    </row>
    <row r="3247" spans="1:28" x14ac:dyDescent="0.25">
      <c r="A3247" t="s">
        <v>3251</v>
      </c>
      <c r="B3247">
        <v>0.98876768158843997</v>
      </c>
      <c r="C3247">
        <v>0.95962956654957099</v>
      </c>
      <c r="D3247">
        <v>1.1485947314607099</v>
      </c>
      <c r="E3247">
        <v>1.0554074038821799</v>
      </c>
      <c r="F3247">
        <v>0.30166702653168598</v>
      </c>
      <c r="G3247">
        <v>0.15559773139345201</v>
      </c>
      <c r="H3247">
        <v>9.0597471065007207E-2</v>
      </c>
      <c r="I3247">
        <v>6.6843584371842804E-2</v>
      </c>
      <c r="J3247">
        <v>7.9080457731709297E-2</v>
      </c>
      <c r="K3247">
        <v>6.8060656886387405E-2</v>
      </c>
      <c r="L3247">
        <v>13186.2227424055</v>
      </c>
      <c r="M3247">
        <v>250</v>
      </c>
      <c r="N3247">
        <v>52.787846356548798</v>
      </c>
      <c r="O3247">
        <v>52.741515666362297</v>
      </c>
      <c r="P3247">
        <v>-1.0759598672702899</v>
      </c>
      <c r="Q3247">
        <v>9.2035934270863498E-2</v>
      </c>
      <c r="R3247">
        <v>0.98427345133204303</v>
      </c>
      <c r="S3247" t="s">
        <v>7079</v>
      </c>
      <c r="T3247" t="s">
        <v>7662</v>
      </c>
      <c r="U3247" t="s">
        <v>7662</v>
      </c>
      <c r="V3247" t="s">
        <v>7662</v>
      </c>
      <c r="W3247">
        <v>3</v>
      </c>
      <c r="X3247" t="s">
        <v>10909</v>
      </c>
      <c r="Y3247">
        <v>0.47785008202782592</v>
      </c>
      <c r="Z3247" t="str">
        <f>HYPERLINK("Melting_Curves/meltCurve_tr_B4DP38_B4DP38_HUMAN_.pdf", "Melting_Curves/meltCurve_tr_B4DP38_B4DP38_HUMAN_.pdf")</f>
        <v>Melting_Curves/meltCurve_tr_B4DP38_B4DP38_HUMAN_.pdf</v>
      </c>
      <c r="AA3247" t="s">
        <v>14699</v>
      </c>
      <c r="AB3247" t="s">
        <v>18484</v>
      </c>
    </row>
    <row r="3248" spans="1:28" x14ac:dyDescent="0.25">
      <c r="A3248" t="s">
        <v>3252</v>
      </c>
      <c r="B3248">
        <v>0.98876768158843997</v>
      </c>
      <c r="C3248">
        <v>1.17760193083486</v>
      </c>
      <c r="D3248">
        <v>0.88827056591774001</v>
      </c>
      <c r="E3248">
        <v>0.72509180318074695</v>
      </c>
      <c r="F3248">
        <v>0.88275078080462599</v>
      </c>
      <c r="G3248">
        <v>0.51987553829867095</v>
      </c>
      <c r="H3248">
        <v>0.324844325678804</v>
      </c>
      <c r="I3248">
        <v>0.33797255900941597</v>
      </c>
      <c r="J3248">
        <v>0.31110851518356503</v>
      </c>
      <c r="K3248">
        <v>0.43105063808197203</v>
      </c>
      <c r="L3248">
        <v>923.29247157683005</v>
      </c>
      <c r="M3248">
        <v>16.9822665696597</v>
      </c>
      <c r="N3248">
        <v>57.731213396849199</v>
      </c>
      <c r="O3248">
        <v>53.630943500552497</v>
      </c>
      <c r="P3248">
        <v>-5.4302251736548103E-2</v>
      </c>
      <c r="Q3248">
        <v>0.31408441421407302</v>
      </c>
      <c r="R3248">
        <v>0.88252931730106199</v>
      </c>
      <c r="S3248" t="s">
        <v>7080</v>
      </c>
      <c r="T3248" t="s">
        <v>7662</v>
      </c>
      <c r="U3248" t="s">
        <v>7662</v>
      </c>
      <c r="V3248" t="s">
        <v>7662</v>
      </c>
      <c r="W3248">
        <v>2</v>
      </c>
      <c r="X3248" t="s">
        <v>10910</v>
      </c>
      <c r="Y3248">
        <v>0.6543679462963925</v>
      </c>
      <c r="Z3248" t="str">
        <f>HYPERLINK("Melting_Curves/meltCurve_tr_B4DPR4_B4DPR4_HUMAN_.pdf", "Melting_Curves/meltCurve_tr_B4DPR4_B4DPR4_HUMAN_.pdf")</f>
        <v>Melting_Curves/meltCurve_tr_B4DPR4_B4DPR4_HUMAN_.pdf</v>
      </c>
      <c r="AA3248" t="s">
        <v>14700</v>
      </c>
      <c r="AB3248" t="s">
        <v>18485</v>
      </c>
    </row>
    <row r="3249" spans="1:28" x14ac:dyDescent="0.25">
      <c r="A3249" t="s">
        <v>3253</v>
      </c>
      <c r="B3249">
        <v>0.98876768158843997</v>
      </c>
      <c r="C3249">
        <v>1.04283860099243</v>
      </c>
      <c r="D3249">
        <v>0.88168570367505295</v>
      </c>
      <c r="E3249">
        <v>0.62040513700187305</v>
      </c>
      <c r="F3249">
        <v>0.77324120106837202</v>
      </c>
      <c r="G3249">
        <v>0.55064080263439896</v>
      </c>
      <c r="H3249">
        <v>0.43128559384979498</v>
      </c>
      <c r="I3249">
        <v>0.46852325194092698</v>
      </c>
      <c r="J3249">
        <v>0.57946393479049296</v>
      </c>
      <c r="K3249">
        <v>0.67861338745362998</v>
      </c>
      <c r="L3249">
        <v>989.24214380262697</v>
      </c>
      <c r="M3249">
        <v>20.409357336590801</v>
      </c>
      <c r="O3249">
        <v>48.011887947613999</v>
      </c>
      <c r="P3249">
        <v>-4.7666622440265302E-2</v>
      </c>
      <c r="Q3249">
        <v>0.55148103087623801</v>
      </c>
      <c r="R3249">
        <v>0.81011358038123604</v>
      </c>
      <c r="S3249" t="s">
        <v>7081</v>
      </c>
      <c r="T3249" t="s">
        <v>7662</v>
      </c>
      <c r="U3249" t="s">
        <v>7662</v>
      </c>
      <c r="V3249" t="s">
        <v>7662</v>
      </c>
      <c r="W3249">
        <v>4</v>
      </c>
      <c r="X3249" t="s">
        <v>10911</v>
      </c>
      <c r="Y3249">
        <v>0.68417433953310081</v>
      </c>
      <c r="Z3249" t="str">
        <f>HYPERLINK("Melting_Curves/meltCurve_tr_B4DPY8_B4DPY8_HUMAN_.pdf", "Melting_Curves/meltCurve_tr_B4DPY8_B4DPY8_HUMAN_.pdf")</f>
        <v>Melting_Curves/meltCurve_tr_B4DPY8_B4DPY8_HUMAN_.pdf</v>
      </c>
      <c r="AA3249" t="s">
        <v>14701</v>
      </c>
      <c r="AB3249" t="s">
        <v>18486</v>
      </c>
    </row>
    <row r="3250" spans="1:28" x14ac:dyDescent="0.25">
      <c r="A3250" t="s">
        <v>3254</v>
      </c>
      <c r="B3250">
        <v>0.98876768158843997</v>
      </c>
      <c r="C3250">
        <v>1.0785889911371001</v>
      </c>
      <c r="D3250">
        <v>0.85829938590994503</v>
      </c>
      <c r="E3250">
        <v>0.70585140606439201</v>
      </c>
      <c r="F3250">
        <v>0.61702665783675203</v>
      </c>
      <c r="G3250">
        <v>0.27512227519137</v>
      </c>
      <c r="H3250">
        <v>0.16478883366368</v>
      </c>
      <c r="I3250">
        <v>0.17798040890653999</v>
      </c>
      <c r="J3250">
        <v>0.22133564810652001</v>
      </c>
      <c r="K3250">
        <v>0.239940676395413</v>
      </c>
      <c r="L3250">
        <v>947.84964780763005</v>
      </c>
      <c r="M3250">
        <v>18.174898557171002</v>
      </c>
      <c r="N3250">
        <v>53.421124247339797</v>
      </c>
      <c r="O3250">
        <v>51.532531478286799</v>
      </c>
      <c r="P3250">
        <v>-7.2712661595002198E-2</v>
      </c>
      <c r="Q3250">
        <v>0.175370644998213</v>
      </c>
      <c r="R3250">
        <v>0.96983246751160801</v>
      </c>
      <c r="S3250" t="s">
        <v>7082</v>
      </c>
      <c r="T3250" t="s">
        <v>7662</v>
      </c>
      <c r="U3250" t="s">
        <v>7662</v>
      </c>
      <c r="V3250" t="s">
        <v>7662</v>
      </c>
      <c r="W3250">
        <v>10</v>
      </c>
      <c r="X3250" t="s">
        <v>10912</v>
      </c>
      <c r="Y3250">
        <v>0.52285964186504341</v>
      </c>
      <c r="Z3250" t="str">
        <f>HYPERLINK("Melting_Curves/meltCurve_tr_B4DQ14_B4DQ14_HUMAN_.pdf", "Melting_Curves/meltCurve_tr_B4DQ14_B4DQ14_HUMAN_.pdf")</f>
        <v>Melting_Curves/meltCurve_tr_B4DQ14_B4DQ14_HUMAN_.pdf</v>
      </c>
      <c r="AA3250" t="s">
        <v>14702</v>
      </c>
      <c r="AB3250" t="s">
        <v>15711</v>
      </c>
    </row>
    <row r="3251" spans="1:28" x14ac:dyDescent="0.25">
      <c r="A3251" t="s">
        <v>3255</v>
      </c>
      <c r="B3251">
        <v>0.98876768158843997</v>
      </c>
      <c r="C3251">
        <v>1.0642869074116299</v>
      </c>
      <c r="D3251">
        <v>0.87455631126984301</v>
      </c>
      <c r="E3251">
        <v>0.71879545460663796</v>
      </c>
      <c r="F3251">
        <v>0.70886883096914299</v>
      </c>
      <c r="G3251">
        <v>0.45849244494160402</v>
      </c>
      <c r="H3251">
        <v>0.335331228908544</v>
      </c>
      <c r="I3251">
        <v>0.43617343025753802</v>
      </c>
      <c r="J3251">
        <v>0.56553930021785104</v>
      </c>
      <c r="K3251">
        <v>0.573466158145437</v>
      </c>
      <c r="L3251">
        <v>996.83091934804702</v>
      </c>
      <c r="M3251">
        <v>19.854796742246101</v>
      </c>
      <c r="N3251">
        <v>58.743677340754402</v>
      </c>
      <c r="O3251">
        <v>49.705072083648297</v>
      </c>
      <c r="P3251">
        <v>-5.2720422426054403E-2</v>
      </c>
      <c r="Q3251">
        <v>0.47209038995387298</v>
      </c>
      <c r="R3251">
        <v>0.87557238740479604</v>
      </c>
      <c r="S3251" t="s">
        <v>7083</v>
      </c>
      <c r="T3251" t="s">
        <v>7662</v>
      </c>
      <c r="U3251" t="s">
        <v>7662</v>
      </c>
      <c r="V3251" t="s">
        <v>7662</v>
      </c>
      <c r="W3251">
        <v>6</v>
      </c>
      <c r="X3251" t="s">
        <v>10913</v>
      </c>
      <c r="Y3251">
        <v>0.65913411266650235</v>
      </c>
      <c r="Z3251" t="str">
        <f>HYPERLINK("Melting_Curves/meltCurve_tr_B4DQA8_B4DQA8_HUMAN_.pdf", "Melting_Curves/meltCurve_tr_B4DQA8_B4DQA8_HUMAN_.pdf")</f>
        <v>Melting_Curves/meltCurve_tr_B4DQA8_B4DQA8_HUMAN_.pdf</v>
      </c>
      <c r="AA3251" t="s">
        <v>14703</v>
      </c>
      <c r="AB3251" t="s">
        <v>18487</v>
      </c>
    </row>
    <row r="3252" spans="1:28" x14ac:dyDescent="0.25">
      <c r="A3252" t="s">
        <v>3256</v>
      </c>
      <c r="B3252">
        <v>0.98876768158843997</v>
      </c>
      <c r="C3252">
        <v>0.93205134982317595</v>
      </c>
      <c r="D3252">
        <v>0.94678762341672995</v>
      </c>
      <c r="E3252">
        <v>0.98394364061847495</v>
      </c>
      <c r="F3252">
        <v>0.56590241041926603</v>
      </c>
      <c r="G3252">
        <v>9.9597947130744005E-2</v>
      </c>
      <c r="H3252">
        <v>4.2711604765663401E-2</v>
      </c>
      <c r="I3252">
        <v>3.6187810420950199E-2</v>
      </c>
      <c r="J3252">
        <v>4.3398192999091201E-2</v>
      </c>
      <c r="K3252">
        <v>3.6746040332541599E-2</v>
      </c>
      <c r="L3252">
        <v>2603.9436810147299</v>
      </c>
      <c r="M3252">
        <v>48.918785665616099</v>
      </c>
      <c r="N3252">
        <v>53.3291594255139</v>
      </c>
      <c r="O3252">
        <v>53.141201572171802</v>
      </c>
      <c r="P3252">
        <v>-0.22012274645608801</v>
      </c>
      <c r="Q3252">
        <v>4.3510410561476198E-2</v>
      </c>
      <c r="R3252">
        <v>0.99537998339328604</v>
      </c>
      <c r="S3252" t="s">
        <v>7084</v>
      </c>
      <c r="T3252" t="s">
        <v>7662</v>
      </c>
      <c r="U3252" t="s">
        <v>7662</v>
      </c>
      <c r="V3252" t="s">
        <v>7662</v>
      </c>
      <c r="W3252">
        <v>23</v>
      </c>
      <c r="X3252" t="s">
        <v>10914</v>
      </c>
      <c r="Y3252">
        <v>0.46766646547171198</v>
      </c>
      <c r="Z3252" t="str">
        <f>HYPERLINK("Melting_Curves/meltCurve_tr_B4DQJ8_B4DQJ8_HUMAN_.pdf", "Melting_Curves/meltCurve_tr_B4DQJ8_B4DQJ8_HUMAN_.pdf")</f>
        <v>Melting_Curves/meltCurve_tr_B4DQJ8_B4DQJ8_HUMAN_.pdf</v>
      </c>
      <c r="AA3252" t="s">
        <v>14704</v>
      </c>
      <c r="AB3252" t="s">
        <v>18488</v>
      </c>
    </row>
    <row r="3253" spans="1:28" x14ac:dyDescent="0.25">
      <c r="A3253" t="s">
        <v>3257</v>
      </c>
      <c r="B3253">
        <v>0.98876768158843997</v>
      </c>
      <c r="C3253">
        <v>1.20228980799184</v>
      </c>
      <c r="D3253">
        <v>1.0374831669595199</v>
      </c>
      <c r="E3253">
        <v>0.98926972697916005</v>
      </c>
      <c r="F3253">
        <v>1.7532261835815299</v>
      </c>
      <c r="G3253">
        <v>1.07424850630175</v>
      </c>
      <c r="H3253">
        <v>0.99329849941704096</v>
      </c>
      <c r="I3253">
        <v>0.88534852830776001</v>
      </c>
      <c r="J3253">
        <v>0.82861875665483697</v>
      </c>
      <c r="K3253">
        <v>1.9903184661030699</v>
      </c>
      <c r="L3253">
        <v>190.82256484298799</v>
      </c>
      <c r="M3253">
        <v>2.8628163880170301</v>
      </c>
      <c r="O3253">
        <v>48.052318865567798</v>
      </c>
      <c r="P3253">
        <v>7.7100197301692803E-3</v>
      </c>
      <c r="Q3253">
        <v>1.5</v>
      </c>
      <c r="R3253">
        <v>3.7470052959016703E-2</v>
      </c>
      <c r="S3253" t="s">
        <v>7085</v>
      </c>
      <c r="T3253" t="s">
        <v>7662</v>
      </c>
      <c r="U3253" t="s">
        <v>7662</v>
      </c>
      <c r="V3253" t="s">
        <v>7662</v>
      </c>
      <c r="W3253">
        <v>2</v>
      </c>
      <c r="X3253" t="s">
        <v>10915</v>
      </c>
      <c r="Y3253">
        <v>1.1723880149097201</v>
      </c>
      <c r="Z3253" t="str">
        <f>HYPERLINK("Melting_Curves/meltCurve_tr_B4DQT1_B4DQT1_HUMAN_.pdf", "Melting_Curves/meltCurve_tr_B4DQT1_B4DQT1_HUMAN_.pdf")</f>
        <v>Melting_Curves/meltCurve_tr_B4DQT1_B4DQT1_HUMAN_.pdf</v>
      </c>
      <c r="AA3253" t="s">
        <v>14705</v>
      </c>
      <c r="AB3253" t="s">
        <v>18489</v>
      </c>
    </row>
    <row r="3254" spans="1:28" x14ac:dyDescent="0.25">
      <c r="A3254" t="s">
        <v>3258</v>
      </c>
      <c r="B3254">
        <v>0.98876768158843997</v>
      </c>
      <c r="C3254">
        <v>0.96601140262459895</v>
      </c>
      <c r="D3254">
        <v>0.84461576115226999</v>
      </c>
      <c r="E3254">
        <v>0.57431773366293704</v>
      </c>
      <c r="F3254">
        <v>0.31829053945956998</v>
      </c>
      <c r="G3254">
        <v>0.164048230096935</v>
      </c>
      <c r="H3254">
        <v>0.107267661557087</v>
      </c>
      <c r="I3254">
        <v>8.56127479646073E-2</v>
      </c>
      <c r="J3254">
        <v>0.118787383381202</v>
      </c>
      <c r="K3254">
        <v>7.8547681492363894E-2</v>
      </c>
      <c r="L3254">
        <v>948.25557978659197</v>
      </c>
      <c r="M3254">
        <v>18.896144187600601</v>
      </c>
      <c r="N3254">
        <v>50.660927337289699</v>
      </c>
      <c r="O3254">
        <v>49.630620263916597</v>
      </c>
      <c r="P3254">
        <v>-8.7409234066807007E-2</v>
      </c>
      <c r="Q3254">
        <v>8.1718291138396099E-2</v>
      </c>
      <c r="R3254">
        <v>0.99867113900067495</v>
      </c>
      <c r="S3254" t="s">
        <v>7086</v>
      </c>
      <c r="T3254" t="s">
        <v>7662</v>
      </c>
      <c r="U3254" t="s">
        <v>7662</v>
      </c>
      <c r="V3254" t="s">
        <v>7662</v>
      </c>
      <c r="W3254">
        <v>6</v>
      </c>
      <c r="X3254" t="s">
        <v>10916</v>
      </c>
      <c r="Y3254">
        <v>0.40764709867677679</v>
      </c>
      <c r="Z3254" t="str">
        <f>HYPERLINK("Melting_Curves/meltCurve_tr_B4DR80_B4DR80_HUMAN_.pdf", "Melting_Curves/meltCurve_tr_B4DR80_B4DR80_HUMAN_.pdf")</f>
        <v>Melting_Curves/meltCurve_tr_B4DR80_B4DR80_HUMAN_.pdf</v>
      </c>
      <c r="AA3254" t="s">
        <v>14706</v>
      </c>
      <c r="AB3254" t="s">
        <v>18490</v>
      </c>
    </row>
    <row r="3255" spans="1:28" x14ac:dyDescent="0.25">
      <c r="A3255" t="s">
        <v>3259</v>
      </c>
      <c r="B3255">
        <v>0.98876768158843997</v>
      </c>
      <c r="C3255">
        <v>0.99776293788523596</v>
      </c>
      <c r="D3255">
        <v>1.0394945451667199</v>
      </c>
      <c r="E3255">
        <v>0.90377593861746996</v>
      </c>
      <c r="F3255">
        <v>0.56063384589646603</v>
      </c>
      <c r="G3255">
        <v>0.15907322585220299</v>
      </c>
      <c r="H3255">
        <v>6.9455611924769595E-2</v>
      </c>
      <c r="I3255">
        <v>5.3285627622094399E-2</v>
      </c>
      <c r="J3255">
        <v>7.0911340300801803E-2</v>
      </c>
      <c r="K3255">
        <v>3.2330780347209299E-2</v>
      </c>
      <c r="L3255">
        <v>1749.5778592403699</v>
      </c>
      <c r="M3255">
        <v>32.844666323344001</v>
      </c>
      <c r="N3255">
        <v>53.449753639108401</v>
      </c>
      <c r="O3255">
        <v>53.071943436014102</v>
      </c>
      <c r="P3255">
        <v>-0.14655384287499301</v>
      </c>
      <c r="Q3255">
        <v>5.2770115314007701E-2</v>
      </c>
      <c r="R3255">
        <v>0.99839755914939099</v>
      </c>
      <c r="S3255" t="s">
        <v>7087</v>
      </c>
      <c r="T3255" t="s">
        <v>7662</v>
      </c>
      <c r="U3255" t="s">
        <v>7662</v>
      </c>
      <c r="V3255" t="s">
        <v>7662</v>
      </c>
      <c r="W3255">
        <v>3</v>
      </c>
      <c r="X3255" t="s">
        <v>10917</v>
      </c>
      <c r="Y3255">
        <v>0.4768660291069704</v>
      </c>
      <c r="Z3255" t="str">
        <f>HYPERLINK("Melting_Curves/meltCurve_tr_B4DRL9_B4DRL9_HUMAN_.pdf", "Melting_Curves/meltCurve_tr_B4DRL9_B4DRL9_HUMAN_.pdf")</f>
        <v>Melting_Curves/meltCurve_tr_B4DRL9_B4DRL9_HUMAN_.pdf</v>
      </c>
      <c r="AA3255" t="s">
        <v>14707</v>
      </c>
      <c r="AB3255" t="s">
        <v>18491</v>
      </c>
    </row>
    <row r="3256" spans="1:28" x14ac:dyDescent="0.25">
      <c r="A3256" t="s">
        <v>3260</v>
      </c>
      <c r="B3256">
        <v>0.98876768158843997</v>
      </c>
      <c r="C3256">
        <v>0.88971617154494897</v>
      </c>
      <c r="D3256">
        <v>0.74858499129002398</v>
      </c>
      <c r="E3256">
        <v>0.54545357835555996</v>
      </c>
      <c r="F3256">
        <v>0.44628556505810302</v>
      </c>
      <c r="G3256">
        <v>0.31309763405608398</v>
      </c>
      <c r="H3256">
        <v>0.22450911169051199</v>
      </c>
      <c r="I3256">
        <v>0.18020144670847099</v>
      </c>
      <c r="J3256">
        <v>7.5304577699819894E-2</v>
      </c>
      <c r="K3256">
        <v>0.14490886840544701</v>
      </c>
      <c r="L3256">
        <v>527.73688388461801</v>
      </c>
      <c r="M3256">
        <v>10.3902884584944</v>
      </c>
      <c r="N3256">
        <v>51.522185541163502</v>
      </c>
      <c r="O3256">
        <v>49.017995539753102</v>
      </c>
      <c r="P3256">
        <v>-4.9382016558674101E-2</v>
      </c>
      <c r="Q3256">
        <v>6.8518221909731905E-2</v>
      </c>
      <c r="R3256">
        <v>0.99126475167628902</v>
      </c>
      <c r="S3256" t="s">
        <v>7088</v>
      </c>
      <c r="T3256" t="s">
        <v>7662</v>
      </c>
      <c r="U3256" t="s">
        <v>7662</v>
      </c>
      <c r="V3256" t="s">
        <v>7662</v>
      </c>
      <c r="W3256">
        <v>1</v>
      </c>
      <c r="X3256" t="s">
        <v>10918</v>
      </c>
      <c r="Y3256">
        <v>0.44113060057469861</v>
      </c>
      <c r="Z3256" t="str">
        <f>HYPERLINK("Melting_Curves/meltCurve_tr_B4DSR5_B4DSR5_HUMAN_.pdf", "Melting_Curves/meltCurve_tr_B4DSR5_B4DSR5_HUMAN_.pdf")</f>
        <v>Melting_Curves/meltCurve_tr_B4DSR5_B4DSR5_HUMAN_.pdf</v>
      </c>
      <c r="AA3256" t="s">
        <v>14708</v>
      </c>
      <c r="AB3256" t="s">
        <v>18492</v>
      </c>
    </row>
    <row r="3257" spans="1:28" x14ac:dyDescent="0.25">
      <c r="A3257" t="s">
        <v>3261</v>
      </c>
      <c r="B3257">
        <v>0.98876768158843997</v>
      </c>
      <c r="C3257">
        <v>1.04586868495864</v>
      </c>
      <c r="D3257">
        <v>0.88761339436382802</v>
      </c>
      <c r="E3257">
        <v>0.62028074630178398</v>
      </c>
      <c r="F3257">
        <v>0.28586131389135999</v>
      </c>
      <c r="G3257">
        <v>0.14587844208141701</v>
      </c>
      <c r="H3257">
        <v>9.6443449961879604E-2</v>
      </c>
      <c r="I3257">
        <v>8.2806973438983494E-2</v>
      </c>
      <c r="J3257">
        <v>9.8334015378448797E-2</v>
      </c>
      <c r="K3257">
        <v>0.106291586531033</v>
      </c>
      <c r="L3257">
        <v>1268.0395470221599</v>
      </c>
      <c r="M3257">
        <v>25.120742903809301</v>
      </c>
      <c r="N3257">
        <v>50.8856261452582</v>
      </c>
      <c r="O3257">
        <v>50.161168547906797</v>
      </c>
      <c r="P3257">
        <v>-0.113785734605253</v>
      </c>
      <c r="Q3257">
        <v>9.1181321728595E-2</v>
      </c>
      <c r="R3257">
        <v>0.99592887947642905</v>
      </c>
      <c r="S3257" t="s">
        <v>7089</v>
      </c>
      <c r="T3257" t="s">
        <v>7662</v>
      </c>
      <c r="U3257" t="s">
        <v>7662</v>
      </c>
      <c r="V3257" t="s">
        <v>7662</v>
      </c>
      <c r="W3257">
        <v>3</v>
      </c>
      <c r="X3257" t="s">
        <v>10919</v>
      </c>
      <c r="Y3257">
        <v>0.41668073770257058</v>
      </c>
      <c r="Z3257" t="str">
        <f>HYPERLINK("Melting_Curves/meltCurve_tr_B4DT77_B4DT77_HUMAN_.pdf", "Melting_Curves/meltCurve_tr_B4DT77_B4DT77_HUMAN_.pdf")</f>
        <v>Melting_Curves/meltCurve_tr_B4DT77_B4DT77_HUMAN_.pdf</v>
      </c>
      <c r="AA3257" t="s">
        <v>14709</v>
      </c>
      <c r="AB3257" t="s">
        <v>18493</v>
      </c>
    </row>
    <row r="3258" spans="1:28" x14ac:dyDescent="0.25">
      <c r="A3258" t="s">
        <v>3262</v>
      </c>
      <c r="B3258">
        <v>0.98876768158843997</v>
      </c>
      <c r="C3258">
        <v>1.0984214430602901</v>
      </c>
      <c r="D3258">
        <v>0.87881324759898705</v>
      </c>
      <c r="E3258">
        <v>0.72173259004358203</v>
      </c>
      <c r="F3258">
        <v>0.90127909970032405</v>
      </c>
      <c r="G3258">
        <v>0.62733108475610599</v>
      </c>
      <c r="H3258">
        <v>0.48455103627539597</v>
      </c>
      <c r="I3258">
        <v>0.59222563789539495</v>
      </c>
      <c r="J3258">
        <v>0.59498592344936996</v>
      </c>
      <c r="K3258">
        <v>0.79444361801061603</v>
      </c>
      <c r="L3258">
        <v>839.22201184035498</v>
      </c>
      <c r="M3258">
        <v>16.741357099892301</v>
      </c>
      <c r="O3258">
        <v>49.429811134755496</v>
      </c>
      <c r="P3258">
        <v>-3.2204613752931703E-2</v>
      </c>
      <c r="Q3258">
        <v>0.61968113584513196</v>
      </c>
      <c r="R3258">
        <v>0.68195443470824102</v>
      </c>
      <c r="S3258" t="s">
        <v>7090</v>
      </c>
      <c r="T3258" t="s">
        <v>7662</v>
      </c>
      <c r="U3258" t="s">
        <v>7662</v>
      </c>
      <c r="V3258" t="s">
        <v>7662</v>
      </c>
      <c r="W3258">
        <v>6</v>
      </c>
      <c r="X3258" t="s">
        <v>10920</v>
      </c>
      <c r="Y3258">
        <v>0.75549720059381287</v>
      </c>
      <c r="Z3258" t="str">
        <f>HYPERLINK("Melting_Curves/meltCurve_tr_B4DTG6_B4DTG6_HUMAN_.pdf", "Melting_Curves/meltCurve_tr_B4DTG6_B4DTG6_HUMAN_.pdf")</f>
        <v>Melting_Curves/meltCurve_tr_B4DTG6_B4DTG6_HUMAN_.pdf</v>
      </c>
      <c r="AA3258" t="s">
        <v>14710</v>
      </c>
      <c r="AB3258" t="s">
        <v>18494</v>
      </c>
    </row>
    <row r="3259" spans="1:28" x14ac:dyDescent="0.25">
      <c r="A3259" t="s">
        <v>3263</v>
      </c>
      <c r="B3259">
        <v>0.98876768158843997</v>
      </c>
      <c r="C3259">
        <v>1.05941962341331</v>
      </c>
      <c r="D3259">
        <v>0.83660845459480004</v>
      </c>
      <c r="E3259">
        <v>0.70659467895496897</v>
      </c>
      <c r="F3259">
        <v>0.44959432177993602</v>
      </c>
      <c r="G3259">
        <v>0.14455517586580099</v>
      </c>
      <c r="H3259">
        <v>8.0697301837099694E-2</v>
      </c>
      <c r="I3259">
        <v>6.4275731895288193E-2</v>
      </c>
      <c r="J3259">
        <v>6.4788061758442803E-2</v>
      </c>
      <c r="K3259">
        <v>6.1231474110137199E-2</v>
      </c>
      <c r="L3259">
        <v>990.95223682519702</v>
      </c>
      <c r="M3259">
        <v>19.0975079955378</v>
      </c>
      <c r="N3259">
        <v>52.109809735582502</v>
      </c>
      <c r="O3259">
        <v>51.330166854532003</v>
      </c>
      <c r="P3259">
        <v>-8.9402676533193295E-2</v>
      </c>
      <c r="Q3259">
        <v>3.8853360026725799E-2</v>
      </c>
      <c r="R3259">
        <v>0.98922610951890799</v>
      </c>
      <c r="S3259" t="s">
        <v>7091</v>
      </c>
      <c r="T3259" t="s">
        <v>7662</v>
      </c>
      <c r="U3259" t="s">
        <v>7662</v>
      </c>
      <c r="V3259" t="s">
        <v>7662</v>
      </c>
      <c r="W3259">
        <v>14</v>
      </c>
      <c r="X3259" t="s">
        <v>10921</v>
      </c>
      <c r="Y3259">
        <v>0.43420794011621028</v>
      </c>
      <c r="Z3259" t="str">
        <f>HYPERLINK("Melting_Curves/meltCurve_tr_B4DUS9_B4DUS9_HUMAN_.pdf", "Melting_Curves/meltCurve_tr_B4DUS9_B4DUS9_HUMAN_.pdf")</f>
        <v>Melting_Curves/meltCurve_tr_B4DUS9_B4DUS9_HUMAN_.pdf</v>
      </c>
      <c r="AA3259" t="s">
        <v>14711</v>
      </c>
      <c r="AB3259" t="s">
        <v>18495</v>
      </c>
    </row>
    <row r="3260" spans="1:28" x14ac:dyDescent="0.25">
      <c r="A3260" t="s">
        <v>3264</v>
      </c>
      <c r="B3260">
        <v>0.98876768158843997</v>
      </c>
      <c r="C3260">
        <v>1.04246356047013</v>
      </c>
      <c r="D3260">
        <v>0.91227240706633805</v>
      </c>
      <c r="E3260">
        <v>0.82112224134723999</v>
      </c>
      <c r="F3260">
        <v>0.79003496036166099</v>
      </c>
      <c r="G3260">
        <v>0.57636947698310104</v>
      </c>
      <c r="H3260">
        <v>0.50509137793703396</v>
      </c>
      <c r="I3260">
        <v>0.62163914099845896</v>
      </c>
      <c r="J3260">
        <v>0.73922618091596903</v>
      </c>
      <c r="K3260">
        <v>0.85311601702166295</v>
      </c>
      <c r="L3260">
        <v>1201.0886835997701</v>
      </c>
      <c r="M3260">
        <v>24.188075538692601</v>
      </c>
      <c r="O3260">
        <v>49.3205576400903</v>
      </c>
      <c r="P3260">
        <v>-4.0939508614768E-2</v>
      </c>
      <c r="Q3260">
        <v>0.66609523647389002</v>
      </c>
      <c r="R3260">
        <v>0.68322872391836598</v>
      </c>
      <c r="S3260" t="s">
        <v>7092</v>
      </c>
      <c r="T3260" t="s">
        <v>7662</v>
      </c>
      <c r="U3260" t="s">
        <v>7662</v>
      </c>
      <c r="V3260" t="s">
        <v>7662</v>
      </c>
      <c r="W3260">
        <v>4</v>
      </c>
      <c r="X3260" t="s">
        <v>10922</v>
      </c>
      <c r="Y3260">
        <v>0.77675070543232583</v>
      </c>
      <c r="Z3260" t="str">
        <f>HYPERLINK("Melting_Curves/meltCurve_tr_B4DV96_B4DV96_HUMAN_.pdf", "Melting_Curves/meltCurve_tr_B4DV96_B4DV96_HUMAN_.pdf")</f>
        <v>Melting_Curves/meltCurve_tr_B4DV96_B4DV96_HUMAN_.pdf</v>
      </c>
      <c r="AA3260" t="s">
        <v>14712</v>
      </c>
      <c r="AB3260" t="s">
        <v>18496</v>
      </c>
    </row>
    <row r="3261" spans="1:28" x14ac:dyDescent="0.25">
      <c r="A3261" t="s">
        <v>3265</v>
      </c>
      <c r="B3261">
        <v>0.98876768158843997</v>
      </c>
      <c r="C3261">
        <v>0.90298781356588698</v>
      </c>
      <c r="D3261">
        <v>0.83550059441601399</v>
      </c>
      <c r="E3261">
        <v>0.37719278642828502</v>
      </c>
      <c r="F3261">
        <v>0.25702120793798799</v>
      </c>
      <c r="G3261">
        <v>0.16179712238142799</v>
      </c>
      <c r="H3261">
        <v>0.12121292900426001</v>
      </c>
      <c r="I3261">
        <v>0.133180035715318</v>
      </c>
      <c r="J3261">
        <v>0.132165963732056</v>
      </c>
      <c r="K3261">
        <v>0.149881591464297</v>
      </c>
      <c r="L3261">
        <v>1137.7506429289799</v>
      </c>
      <c r="M3261">
        <v>23.534527582240202</v>
      </c>
      <c r="N3261">
        <v>48.995361436013802</v>
      </c>
      <c r="O3261">
        <v>47.998927726959302</v>
      </c>
      <c r="P3261">
        <v>-0.10611199834498</v>
      </c>
      <c r="Q3261">
        <v>0.13434888284024199</v>
      </c>
      <c r="R3261">
        <v>0.99430197065038695</v>
      </c>
      <c r="S3261" t="s">
        <v>7093</v>
      </c>
      <c r="T3261" t="s">
        <v>7662</v>
      </c>
      <c r="U3261" t="s">
        <v>7662</v>
      </c>
      <c r="V3261" t="s">
        <v>7662</v>
      </c>
      <c r="W3261">
        <v>4</v>
      </c>
      <c r="X3261" t="s">
        <v>10923</v>
      </c>
      <c r="Y3261">
        <v>0.3837982140545968</v>
      </c>
      <c r="Z3261" t="str">
        <f>HYPERLINK("Melting_Curves/meltCurve_tr_B4DVY1_B4DVY1_HUMAN_.pdf", "Melting_Curves/meltCurve_tr_B4DVY1_B4DVY1_HUMAN_.pdf")</f>
        <v>Melting_Curves/meltCurve_tr_B4DVY1_B4DVY1_HUMAN_.pdf</v>
      </c>
      <c r="AA3261" t="s">
        <v>14713</v>
      </c>
      <c r="AB3261" t="s">
        <v>18497</v>
      </c>
    </row>
    <row r="3262" spans="1:28" x14ac:dyDescent="0.25">
      <c r="A3262" t="s">
        <v>3266</v>
      </c>
      <c r="B3262">
        <v>0.98876768158843997</v>
      </c>
      <c r="C3262">
        <v>0.90200140905646697</v>
      </c>
      <c r="D3262">
        <v>1.0379316277241599</v>
      </c>
      <c r="E3262">
        <v>1.00934382447294</v>
      </c>
      <c r="F3262">
        <v>0.61189213529884401</v>
      </c>
      <c r="G3262">
        <v>0.52378835805666502</v>
      </c>
      <c r="H3262">
        <v>0.38723220736575398</v>
      </c>
      <c r="I3262">
        <v>0.28126787332501302</v>
      </c>
      <c r="J3262">
        <v>0.14775968812597601</v>
      </c>
      <c r="K3262">
        <v>0.12575942445778601</v>
      </c>
      <c r="L3262">
        <v>762.64336472755895</v>
      </c>
      <c r="M3262">
        <v>13.405043661310801</v>
      </c>
      <c r="N3262">
        <v>57.565528781926901</v>
      </c>
      <c r="O3262">
        <v>55.670916414631002</v>
      </c>
      <c r="P3262">
        <v>-5.58388957932466E-2</v>
      </c>
      <c r="Q3262">
        <v>7.2553487474253497E-2</v>
      </c>
      <c r="R3262">
        <v>0.95345786034608604</v>
      </c>
      <c r="S3262" t="s">
        <v>7094</v>
      </c>
      <c r="T3262" t="s">
        <v>7662</v>
      </c>
      <c r="U3262" t="s">
        <v>7662</v>
      </c>
      <c r="V3262" t="s">
        <v>7662</v>
      </c>
      <c r="W3262">
        <v>22</v>
      </c>
      <c r="X3262" t="s">
        <v>10924</v>
      </c>
      <c r="Y3262">
        <v>0.6104606424715221</v>
      </c>
      <c r="Z3262" t="str">
        <f>HYPERLINK("Melting_Curves/meltCurve_tr_B4DWI1_B4DWI1_HUMAN_.pdf", "Melting_Curves/meltCurve_tr_B4DWI1_B4DWI1_HUMAN_.pdf")</f>
        <v>Melting_Curves/meltCurve_tr_B4DWI1_B4DWI1_HUMAN_.pdf</v>
      </c>
      <c r="AA3262" t="s">
        <v>14714</v>
      </c>
      <c r="AB3262" t="s">
        <v>18498</v>
      </c>
    </row>
    <row r="3263" spans="1:28" x14ac:dyDescent="0.25">
      <c r="A3263" t="s">
        <v>3267</v>
      </c>
      <c r="B3263">
        <v>0.98876768158843997</v>
      </c>
      <c r="C3263">
        <v>0.86974817947926997</v>
      </c>
      <c r="D3263">
        <v>0.86834704200067603</v>
      </c>
      <c r="E3263">
        <v>0.57729495233860595</v>
      </c>
      <c r="F3263">
        <v>0.27639329168161397</v>
      </c>
      <c r="G3263">
        <v>9.1333851418889E-2</v>
      </c>
      <c r="H3263">
        <v>3.1163343881899699E-2</v>
      </c>
      <c r="I3263">
        <v>2.5903875988924199E-2</v>
      </c>
      <c r="J3263">
        <v>3.0336552029142899E-2</v>
      </c>
      <c r="K3263">
        <v>1.8437005501847899E-2</v>
      </c>
      <c r="L3263">
        <v>933.759022098027</v>
      </c>
      <c r="M3263">
        <v>18.5005130899387</v>
      </c>
      <c r="N3263">
        <v>50.490724953548302</v>
      </c>
      <c r="O3263">
        <v>49.893446540653798</v>
      </c>
      <c r="P3263">
        <v>-9.2388311823490901E-2</v>
      </c>
      <c r="Q3263">
        <v>3.4077282969525902E-3</v>
      </c>
      <c r="R3263">
        <v>0.99249431222476203</v>
      </c>
      <c r="S3263" t="s">
        <v>7095</v>
      </c>
      <c r="T3263" t="s">
        <v>7662</v>
      </c>
      <c r="U3263" t="s">
        <v>7662</v>
      </c>
      <c r="V3263" t="s">
        <v>7662</v>
      </c>
      <c r="W3263">
        <v>5</v>
      </c>
      <c r="X3263" t="s">
        <v>10925</v>
      </c>
      <c r="Y3263">
        <v>0.36734152099932049</v>
      </c>
      <c r="Z3263" t="str">
        <f>HYPERLINK("Melting_Curves/meltCurve_tr_B4DWW4_B4DWW4_HUMAN_.pdf", "Melting_Curves/meltCurve_tr_B4DWW4_B4DWW4_HUMAN_.pdf")</f>
        <v>Melting_Curves/meltCurve_tr_B4DWW4_B4DWW4_HUMAN_.pdf</v>
      </c>
      <c r="AA3263" t="s">
        <v>14715</v>
      </c>
      <c r="AB3263" t="s">
        <v>18499</v>
      </c>
    </row>
    <row r="3264" spans="1:28" x14ac:dyDescent="0.25">
      <c r="A3264" t="s">
        <v>3268</v>
      </c>
      <c r="B3264">
        <v>0.98876768158843997</v>
      </c>
      <c r="C3264">
        <v>1.25559071559955</v>
      </c>
      <c r="D3264">
        <v>0.92657010199009004</v>
      </c>
      <c r="E3264">
        <v>0.84647873088994796</v>
      </c>
      <c r="F3264">
        <v>0.268873407093079</v>
      </c>
      <c r="G3264">
        <v>9.7979524355212497E-2</v>
      </c>
      <c r="H3264">
        <v>6.2319055476225099E-2</v>
      </c>
      <c r="I3264">
        <v>3.2915317138029199E-2</v>
      </c>
      <c r="J3264">
        <v>2.80475517578457E-2</v>
      </c>
      <c r="K3264">
        <v>3.1798013947873599E-2</v>
      </c>
      <c r="L3264">
        <v>2422.3024078528001</v>
      </c>
      <c r="M3264">
        <v>46.853188269168697</v>
      </c>
      <c r="N3264">
        <v>51.8090284331807</v>
      </c>
      <c r="O3264">
        <v>51.6059246838796</v>
      </c>
      <c r="P3264">
        <v>-0.216306686749242</v>
      </c>
      <c r="Q3264">
        <v>4.7006688426894601E-2</v>
      </c>
      <c r="R3264">
        <v>0.96611702346246697</v>
      </c>
      <c r="S3264" t="s">
        <v>7096</v>
      </c>
      <c r="T3264" t="s">
        <v>7662</v>
      </c>
      <c r="U3264" t="s">
        <v>7662</v>
      </c>
      <c r="V3264" t="s">
        <v>7662</v>
      </c>
      <c r="W3264">
        <v>1</v>
      </c>
      <c r="X3264" t="s">
        <v>10926</v>
      </c>
      <c r="Y3264">
        <v>0.42114572181113519</v>
      </c>
      <c r="Z3264" t="str">
        <f>HYPERLINK("Melting_Curves/meltCurve_tr_B4DXK4_B4DXK4_HUMAN_.pdf", "Melting_Curves/meltCurve_tr_B4DXK4_B4DXK4_HUMAN_.pdf")</f>
        <v>Melting_Curves/meltCurve_tr_B4DXK4_B4DXK4_HUMAN_.pdf</v>
      </c>
      <c r="AA3264" t="s">
        <v>14716</v>
      </c>
      <c r="AB3264" t="s">
        <v>18500</v>
      </c>
    </row>
    <row r="3265" spans="1:28" x14ac:dyDescent="0.25">
      <c r="A3265" t="s">
        <v>3269</v>
      </c>
      <c r="B3265">
        <v>0.98876768158843997</v>
      </c>
      <c r="C3265">
        <v>0.88540682870599796</v>
      </c>
      <c r="D3265">
        <v>0.78114065631122598</v>
      </c>
      <c r="E3265">
        <v>0.437345520613238</v>
      </c>
      <c r="F3265">
        <v>0.27535612348834698</v>
      </c>
      <c r="G3265">
        <v>0.161169625640814</v>
      </c>
      <c r="H3265">
        <v>0.140924427617374</v>
      </c>
      <c r="I3265">
        <v>0.119472174722622</v>
      </c>
      <c r="J3265">
        <v>9.8601448310876597E-2</v>
      </c>
      <c r="K3265">
        <v>8.46920263793772E-2</v>
      </c>
      <c r="L3265">
        <v>828.26221572016402</v>
      </c>
      <c r="M3265">
        <v>17.0086941699441</v>
      </c>
      <c r="N3265">
        <v>49.305068833274497</v>
      </c>
      <c r="O3265">
        <v>48.038212712356803</v>
      </c>
      <c r="P3265">
        <v>-8.0139275209405503E-2</v>
      </c>
      <c r="Q3265">
        <v>9.4695988987924001E-2</v>
      </c>
      <c r="R3265">
        <v>0.99774298353490698</v>
      </c>
      <c r="S3265" t="s">
        <v>7097</v>
      </c>
      <c r="T3265" t="s">
        <v>7662</v>
      </c>
      <c r="U3265" t="s">
        <v>7662</v>
      </c>
      <c r="V3265" t="s">
        <v>7662</v>
      </c>
      <c r="W3265">
        <v>3</v>
      </c>
      <c r="X3265" t="s">
        <v>10927</v>
      </c>
      <c r="Y3265">
        <v>0.37480478535580458</v>
      </c>
      <c r="Z3265" t="str">
        <f>HYPERLINK("Melting_Curves/meltCurve_tr_B4DXW4_B4DXW4_HUMAN_.pdf", "Melting_Curves/meltCurve_tr_B4DXW4_B4DXW4_HUMAN_.pdf")</f>
        <v>Melting_Curves/meltCurve_tr_B4DXW4_B4DXW4_HUMAN_.pdf</v>
      </c>
      <c r="AA3265" t="s">
        <v>14717</v>
      </c>
      <c r="AB3265" t="s">
        <v>18501</v>
      </c>
    </row>
    <row r="3266" spans="1:28" x14ac:dyDescent="0.25">
      <c r="A3266" t="s">
        <v>3270</v>
      </c>
      <c r="B3266">
        <v>0.98876768158843997</v>
      </c>
      <c r="C3266">
        <v>1.06086426325504</v>
      </c>
      <c r="D3266">
        <v>0.85787535141176396</v>
      </c>
      <c r="E3266">
        <v>0.69514717261747405</v>
      </c>
      <c r="F3266">
        <v>0.35652096553025198</v>
      </c>
      <c r="G3266">
        <v>0.15111682570632401</v>
      </c>
      <c r="H3266">
        <v>0.112489572602398</v>
      </c>
      <c r="I3266">
        <v>9.9829657331312799E-2</v>
      </c>
      <c r="J3266">
        <v>0.13792761756567201</v>
      </c>
      <c r="K3266">
        <v>9.00312321553602E-2</v>
      </c>
      <c r="L3266">
        <v>1192.3903210884801</v>
      </c>
      <c r="M3266">
        <v>23.345046238344899</v>
      </c>
      <c r="N3266">
        <v>51.555439265825697</v>
      </c>
      <c r="O3266">
        <v>50.706422846114897</v>
      </c>
      <c r="P3266">
        <v>-0.103887009524536</v>
      </c>
      <c r="Q3266">
        <v>9.7427738630647201E-2</v>
      </c>
      <c r="R3266">
        <v>0.98994628550658603</v>
      </c>
      <c r="S3266" t="s">
        <v>7098</v>
      </c>
      <c r="T3266" t="s">
        <v>7662</v>
      </c>
      <c r="U3266" t="s">
        <v>7662</v>
      </c>
      <c r="V3266" t="s">
        <v>7662</v>
      </c>
      <c r="W3266">
        <v>3</v>
      </c>
      <c r="X3266" t="s">
        <v>10928</v>
      </c>
      <c r="Y3266">
        <v>0.44001021977761973</v>
      </c>
      <c r="Z3266" t="str">
        <f>HYPERLINK("Melting_Curves/meltCurve_tr_B4DZW6_B4DZW6_HUMAN_.pdf", "Melting_Curves/meltCurve_tr_B4DZW6_B4DZW6_HUMAN_.pdf")</f>
        <v>Melting_Curves/meltCurve_tr_B4DZW6_B4DZW6_HUMAN_.pdf</v>
      </c>
      <c r="AA3266" t="s">
        <v>14718</v>
      </c>
      <c r="AB3266" t="s">
        <v>18502</v>
      </c>
    </row>
    <row r="3267" spans="1:28" x14ac:dyDescent="0.25">
      <c r="A3267" t="s">
        <v>3271</v>
      </c>
      <c r="B3267">
        <v>0.98876768158843997</v>
      </c>
      <c r="C3267">
        <v>1.0416095035053701</v>
      </c>
      <c r="D3267">
        <v>0.82400922538166099</v>
      </c>
      <c r="E3267">
        <v>0.53124022176393404</v>
      </c>
      <c r="F3267">
        <v>0.24762954802266601</v>
      </c>
      <c r="G3267">
        <v>0.122885597140532</v>
      </c>
      <c r="H3267">
        <v>2.8615348846969198E-2</v>
      </c>
      <c r="I3267">
        <v>1.5076221817731701E-2</v>
      </c>
      <c r="J3267">
        <v>8.7804915552851005E-3</v>
      </c>
      <c r="K3267">
        <v>1.2036762570402501E-2</v>
      </c>
      <c r="L3267">
        <v>989.61501165253196</v>
      </c>
      <c r="M3267">
        <v>19.726301827706799</v>
      </c>
      <c r="N3267">
        <v>50.2057259129936</v>
      </c>
      <c r="O3267">
        <v>49.660268294858099</v>
      </c>
      <c r="P3267">
        <v>-9.8565356006857993E-2</v>
      </c>
      <c r="Q3267">
        <v>7.4950900345933302E-3</v>
      </c>
      <c r="R3267">
        <v>0.99495192461168502</v>
      </c>
      <c r="S3267" t="s">
        <v>7099</v>
      </c>
      <c r="T3267" t="s">
        <v>7662</v>
      </c>
      <c r="U3267" t="s">
        <v>7662</v>
      </c>
      <c r="V3267" t="s">
        <v>7662</v>
      </c>
      <c r="W3267">
        <v>2</v>
      </c>
      <c r="X3267" t="s">
        <v>10929</v>
      </c>
      <c r="Y3267">
        <v>0.35804611574544259</v>
      </c>
      <c r="Z3267" t="str">
        <f>HYPERLINK("Melting_Curves/meltCurve_tr_B4E0T7_B4E0T7_HUMAN_.pdf", "Melting_Curves/meltCurve_tr_B4E0T7_B4E0T7_HUMAN_.pdf")</f>
        <v>Melting_Curves/meltCurve_tr_B4E0T7_B4E0T7_HUMAN_.pdf</v>
      </c>
      <c r="AA3267" t="s">
        <v>14719</v>
      </c>
      <c r="AB3267" t="s">
        <v>18503</v>
      </c>
    </row>
    <row r="3268" spans="1:28" x14ac:dyDescent="0.25">
      <c r="A3268" t="s">
        <v>3272</v>
      </c>
      <c r="B3268">
        <v>0.98876768158843997</v>
      </c>
      <c r="C3268">
        <v>0.94289744666477304</v>
      </c>
      <c r="D3268">
        <v>0.93917056007907096</v>
      </c>
      <c r="E3268">
        <v>0.79895088901979305</v>
      </c>
      <c r="F3268">
        <v>0.44076176799254602</v>
      </c>
      <c r="G3268">
        <v>0.24337007965534599</v>
      </c>
      <c r="H3268">
        <v>0.172808963227325</v>
      </c>
      <c r="I3268">
        <v>0.18928827691753999</v>
      </c>
      <c r="J3268">
        <v>0.200988964058924</v>
      </c>
      <c r="K3268">
        <v>0.21541660148818501</v>
      </c>
      <c r="L3268">
        <v>1574.3871883388299</v>
      </c>
      <c r="M3268">
        <v>30.4733136073095</v>
      </c>
      <c r="N3268">
        <v>52.503811336599099</v>
      </c>
      <c r="O3268">
        <v>51.443506812674698</v>
      </c>
      <c r="P3268">
        <v>-0.119536923734597</v>
      </c>
      <c r="Q3268">
        <v>0.19282030953705501</v>
      </c>
      <c r="R3268">
        <v>0.99427366706435105</v>
      </c>
      <c r="S3268" t="s">
        <v>7100</v>
      </c>
      <c r="T3268" t="s">
        <v>7662</v>
      </c>
      <c r="U3268" t="s">
        <v>7662</v>
      </c>
      <c r="V3268" t="s">
        <v>7662</v>
      </c>
      <c r="W3268">
        <v>5</v>
      </c>
      <c r="X3268" t="s">
        <v>10930</v>
      </c>
      <c r="Y3268">
        <v>0.51163671380967013</v>
      </c>
      <c r="Z3268" t="str">
        <f>HYPERLINK("Melting_Curves/meltCurve_tr_B4E107_B4E107_HUMAN_.pdf", "Melting_Curves/meltCurve_tr_B4E107_B4E107_HUMAN_.pdf")</f>
        <v>Melting_Curves/meltCurve_tr_B4E107_B4E107_HUMAN_.pdf</v>
      </c>
      <c r="AA3268" t="s">
        <v>14720</v>
      </c>
      <c r="AB3268" t="s">
        <v>18504</v>
      </c>
    </row>
    <row r="3269" spans="1:28" x14ac:dyDescent="0.25">
      <c r="A3269" t="s">
        <v>3273</v>
      </c>
      <c r="B3269">
        <v>0.98876768158843997</v>
      </c>
      <c r="C3269">
        <v>0.92228318203127202</v>
      </c>
      <c r="D3269">
        <v>0.88629676780141697</v>
      </c>
      <c r="E3269">
        <v>0.52798634359252405</v>
      </c>
      <c r="F3269">
        <v>0.262786534019252</v>
      </c>
      <c r="G3269">
        <v>0.138142330147595</v>
      </c>
      <c r="H3269">
        <v>7.5269684381656099E-2</v>
      </c>
      <c r="I3269">
        <v>6.1853099658070697E-2</v>
      </c>
      <c r="J3269">
        <v>6.5861373611683802E-2</v>
      </c>
      <c r="K3269">
        <v>5.2910107838558901E-2</v>
      </c>
      <c r="L3269">
        <v>1039.4879151386201</v>
      </c>
      <c r="M3269">
        <v>20.7991318641539</v>
      </c>
      <c r="N3269">
        <v>50.2632142381457</v>
      </c>
      <c r="O3269">
        <v>49.522355422924697</v>
      </c>
      <c r="P3269">
        <v>-9.9146717636981699E-2</v>
      </c>
      <c r="Q3269">
        <v>5.57601849433082E-2</v>
      </c>
      <c r="R3269">
        <v>0.99769008006362603</v>
      </c>
      <c r="S3269" t="s">
        <v>7101</v>
      </c>
      <c r="T3269" t="s">
        <v>7662</v>
      </c>
      <c r="U3269" t="s">
        <v>7662</v>
      </c>
      <c r="V3269" t="s">
        <v>7662</v>
      </c>
      <c r="W3269">
        <v>27</v>
      </c>
      <c r="X3269" t="s">
        <v>10931</v>
      </c>
      <c r="Y3269">
        <v>0.38197194382241101</v>
      </c>
      <c r="Z3269" t="str">
        <f>HYPERLINK("Melting_Curves/meltCurve_tr_B4E1Z4_B4E1Z4_HUMAN_.pdf", "Melting_Curves/meltCurve_tr_B4E1Z4_B4E1Z4_HUMAN_.pdf")</f>
        <v>Melting_Curves/meltCurve_tr_B4E1Z4_B4E1Z4_HUMAN_.pdf</v>
      </c>
      <c r="AA3269" t="s">
        <v>14721</v>
      </c>
      <c r="AB3269" t="s">
        <v>18505</v>
      </c>
    </row>
    <row r="3270" spans="1:28" x14ac:dyDescent="0.25">
      <c r="A3270" t="s">
        <v>3274</v>
      </c>
      <c r="B3270">
        <v>0.98876768158843997</v>
      </c>
      <c r="C3270">
        <v>1.1528251739523001</v>
      </c>
      <c r="D3270">
        <v>0.91702445129180099</v>
      </c>
      <c r="E3270">
        <v>0.83640616151020597</v>
      </c>
      <c r="F3270">
        <v>0.87738662569894599</v>
      </c>
      <c r="G3270">
        <v>0.63956220681783105</v>
      </c>
      <c r="H3270">
        <v>0.42416514187398602</v>
      </c>
      <c r="I3270">
        <v>0.67981169023935695</v>
      </c>
      <c r="J3270">
        <v>0.75819026898269004</v>
      </c>
      <c r="K3270">
        <v>0.91635734645966305</v>
      </c>
      <c r="L3270">
        <v>1244.5631680133699</v>
      </c>
      <c r="M3270">
        <v>24.494150623569901</v>
      </c>
      <c r="O3270">
        <v>50.475585047934501</v>
      </c>
      <c r="P3270">
        <v>-3.7461728745668103E-2</v>
      </c>
      <c r="Q3270">
        <v>0.69121196768826498</v>
      </c>
      <c r="R3270">
        <v>0.53280177018686503</v>
      </c>
      <c r="S3270" t="s">
        <v>7102</v>
      </c>
      <c r="T3270" t="s">
        <v>7662</v>
      </c>
      <c r="U3270" t="s">
        <v>7662</v>
      </c>
      <c r="V3270" t="s">
        <v>7662</v>
      </c>
      <c r="W3270">
        <v>4</v>
      </c>
      <c r="X3270" t="s">
        <v>10932</v>
      </c>
      <c r="Y3270">
        <v>0.80538341985743955</v>
      </c>
      <c r="Z3270" t="str">
        <f>HYPERLINK("Melting_Curves/meltCurve_tr_B4E241_B4E241_HUMAN_.pdf", "Melting_Curves/meltCurve_tr_B4E241_B4E241_HUMAN_.pdf")</f>
        <v>Melting_Curves/meltCurve_tr_B4E241_B4E241_HUMAN_.pdf</v>
      </c>
      <c r="AA3270" t="s">
        <v>14722</v>
      </c>
      <c r="AB3270" t="s">
        <v>18506</v>
      </c>
    </row>
    <row r="3271" spans="1:28" x14ac:dyDescent="0.25">
      <c r="A3271" t="s">
        <v>3275</v>
      </c>
      <c r="B3271">
        <v>0.98876768158843997</v>
      </c>
      <c r="C3271">
        <v>1.0121583177381399</v>
      </c>
      <c r="D3271">
        <v>0.92103423924245398</v>
      </c>
      <c r="E3271">
        <v>0.55164656163271497</v>
      </c>
      <c r="F3271">
        <v>0.335994102836562</v>
      </c>
      <c r="G3271">
        <v>0.254956373630639</v>
      </c>
      <c r="H3271">
        <v>0.187950373608509</v>
      </c>
      <c r="I3271">
        <v>0.14695903227988499</v>
      </c>
      <c r="J3271">
        <v>0.13945495146090101</v>
      </c>
      <c r="K3271">
        <v>0.13758372063911101</v>
      </c>
      <c r="L3271">
        <v>1143.55828505503</v>
      </c>
      <c r="M3271">
        <v>22.886448927978801</v>
      </c>
      <c r="N3271">
        <v>50.804164936253301</v>
      </c>
      <c r="O3271">
        <v>49.589820629157899</v>
      </c>
      <c r="P3271">
        <v>-9.7249267710537296E-2</v>
      </c>
      <c r="Q3271">
        <v>0.15714638118732599</v>
      </c>
      <c r="R3271">
        <v>0.99506277441823399</v>
      </c>
      <c r="S3271" t="s">
        <v>7103</v>
      </c>
      <c r="T3271" t="s">
        <v>7662</v>
      </c>
      <c r="U3271" t="s">
        <v>7662</v>
      </c>
      <c r="V3271" t="s">
        <v>7662</v>
      </c>
      <c r="W3271">
        <v>1</v>
      </c>
      <c r="X3271" t="s">
        <v>10933</v>
      </c>
      <c r="Y3271">
        <v>0.4461492841754558</v>
      </c>
      <c r="Z3271" t="str">
        <f>HYPERLINK("Melting_Curves/meltCurve_tr_B4E2T8_B4E2T8_HUMAN_.pdf", "Melting_Curves/meltCurve_tr_B4E2T8_B4E2T8_HUMAN_.pdf")</f>
        <v>Melting_Curves/meltCurve_tr_B4E2T8_B4E2T8_HUMAN_.pdf</v>
      </c>
      <c r="AA3271" t="s">
        <v>14723</v>
      </c>
      <c r="AB3271" t="s">
        <v>18507</v>
      </c>
    </row>
    <row r="3272" spans="1:28" x14ac:dyDescent="0.25">
      <c r="A3272" t="s">
        <v>3276</v>
      </c>
      <c r="B3272">
        <v>0.98876768158843997</v>
      </c>
      <c r="C3272">
        <v>0.86890641554222303</v>
      </c>
      <c r="D3272">
        <v>0.902324608963185</v>
      </c>
      <c r="E3272">
        <v>0.51346393316880201</v>
      </c>
      <c r="F3272">
        <v>0.21103139179544</v>
      </c>
      <c r="G3272">
        <v>9.3262412188946195E-2</v>
      </c>
      <c r="H3272">
        <v>4.4565381159001299E-2</v>
      </c>
      <c r="I3272">
        <v>3.6734769249419499E-2</v>
      </c>
      <c r="J3272">
        <v>4.7099142467769799E-2</v>
      </c>
      <c r="K3272">
        <v>3.7722021106409397E-2</v>
      </c>
      <c r="L3272">
        <v>1137.09373131149</v>
      </c>
      <c r="M3272">
        <v>22.804980164924501</v>
      </c>
      <c r="N3272">
        <v>50.016794411286703</v>
      </c>
      <c r="O3272">
        <v>49.482984373141903</v>
      </c>
      <c r="P3272">
        <v>-0.11128393813477599</v>
      </c>
      <c r="Q3272">
        <v>3.4148740336487703E-2</v>
      </c>
      <c r="R3272">
        <v>0.99102939882053598</v>
      </c>
      <c r="S3272" t="s">
        <v>7104</v>
      </c>
      <c r="T3272" t="s">
        <v>7662</v>
      </c>
      <c r="U3272" t="s">
        <v>7662</v>
      </c>
      <c r="V3272" t="s">
        <v>7662</v>
      </c>
      <c r="W3272">
        <v>23</v>
      </c>
      <c r="X3272" t="s">
        <v>10934</v>
      </c>
      <c r="Y3272">
        <v>0.36201438382630602</v>
      </c>
      <c r="Z3272" t="str">
        <f>HYPERLINK("Melting_Curves/meltCurve_tr_B4E2W0_B4E2W0_HUMAN_.pdf", "Melting_Curves/meltCurve_tr_B4E2W0_B4E2W0_HUMAN_.pdf")</f>
        <v>Melting_Curves/meltCurve_tr_B4E2W0_B4E2W0_HUMAN_.pdf</v>
      </c>
      <c r="AA3272" t="s">
        <v>14724</v>
      </c>
      <c r="AB3272" t="s">
        <v>18508</v>
      </c>
    </row>
    <row r="3273" spans="1:28" x14ac:dyDescent="0.25">
      <c r="A3273" t="s">
        <v>3277</v>
      </c>
      <c r="B3273">
        <v>0.98876768158843997</v>
      </c>
      <c r="C3273">
        <v>0.99919311871319005</v>
      </c>
      <c r="D3273">
        <v>0.841263874285471</v>
      </c>
      <c r="E3273">
        <v>0.69704949022477602</v>
      </c>
      <c r="F3273">
        <v>0.79096259549282</v>
      </c>
      <c r="G3273">
        <v>0.46134022305668998</v>
      </c>
      <c r="H3273">
        <v>0.39664758464848499</v>
      </c>
      <c r="I3273">
        <v>0.40710808618781003</v>
      </c>
      <c r="J3273">
        <v>0.55974084579693795</v>
      </c>
      <c r="K3273">
        <v>0.63439654201270801</v>
      </c>
      <c r="L3273">
        <v>787.48117137791201</v>
      </c>
      <c r="M3273">
        <v>15.798494267444299</v>
      </c>
      <c r="N3273">
        <v>65.574134624523893</v>
      </c>
      <c r="O3273">
        <v>49.0672038676745</v>
      </c>
      <c r="P3273">
        <v>-4.1160360885136499E-2</v>
      </c>
      <c r="Q3273">
        <v>0.48869624455027399</v>
      </c>
      <c r="R3273">
        <v>0.811393333333436</v>
      </c>
      <c r="S3273" t="s">
        <v>7105</v>
      </c>
      <c r="T3273" t="s">
        <v>7662</v>
      </c>
      <c r="U3273" t="s">
        <v>7662</v>
      </c>
      <c r="V3273" t="s">
        <v>7662</v>
      </c>
      <c r="W3273">
        <v>4</v>
      </c>
      <c r="X3273" t="s">
        <v>10935</v>
      </c>
      <c r="Y3273">
        <v>0.66765130187317678</v>
      </c>
      <c r="Z3273" t="str">
        <f>HYPERLINK("Melting_Curves/meltCurve_tr_B4E351_B4E351_HUMAN_.pdf", "Melting_Curves/meltCurve_tr_B4E351_B4E351_HUMAN_.pdf")</f>
        <v>Melting_Curves/meltCurve_tr_B4E351_B4E351_HUMAN_.pdf</v>
      </c>
      <c r="AA3273" t="s">
        <v>14725</v>
      </c>
      <c r="AB3273" t="s">
        <v>18509</v>
      </c>
    </row>
    <row r="3274" spans="1:28" x14ac:dyDescent="0.25">
      <c r="A3274" t="s">
        <v>3278</v>
      </c>
      <c r="B3274">
        <v>0.98876768158843997</v>
      </c>
      <c r="C3274">
        <v>0.86687192251027301</v>
      </c>
      <c r="D3274">
        <v>0.99786763040266901</v>
      </c>
      <c r="E3274">
        <v>0.82085428021710305</v>
      </c>
      <c r="F3274">
        <v>0.65249823926946604</v>
      </c>
      <c r="G3274">
        <v>0.39576669663863501</v>
      </c>
      <c r="H3274">
        <v>0.32844487033106801</v>
      </c>
      <c r="I3274">
        <v>0.23855251831993601</v>
      </c>
      <c r="J3274">
        <v>0.14149201110571699</v>
      </c>
      <c r="K3274">
        <v>6.7210243371377001E-2</v>
      </c>
      <c r="L3274">
        <v>631.72311084487399</v>
      </c>
      <c r="M3274">
        <v>11.259052827804</v>
      </c>
      <c r="N3274">
        <v>56.133199877215098</v>
      </c>
      <c r="O3274">
        <v>54.425383669606198</v>
      </c>
      <c r="P3274">
        <v>-5.16034887327433E-2</v>
      </c>
      <c r="Q3274">
        <v>2.5186609401621801E-3</v>
      </c>
      <c r="R3274">
        <v>0.97868476138173099</v>
      </c>
      <c r="S3274" t="s">
        <v>7106</v>
      </c>
      <c r="T3274" t="s">
        <v>7662</v>
      </c>
      <c r="U3274" t="s">
        <v>7662</v>
      </c>
      <c r="V3274" t="s">
        <v>7662</v>
      </c>
      <c r="W3274">
        <v>2</v>
      </c>
      <c r="X3274" t="s">
        <v>10936</v>
      </c>
      <c r="Y3274">
        <v>0.55843406851996591</v>
      </c>
      <c r="Z3274" t="str">
        <f>HYPERLINK("Melting_Curves/meltCurve_tr_B4E3Q4_B4E3Q4_HUMAN_.pdf", "Melting_Curves/meltCurve_tr_B4E3Q4_B4E3Q4_HUMAN_.pdf")</f>
        <v>Melting_Curves/meltCurve_tr_B4E3Q4_B4E3Q4_HUMAN_.pdf</v>
      </c>
      <c r="AA3274" t="s">
        <v>14726</v>
      </c>
      <c r="AB3274" t="s">
        <v>18510</v>
      </c>
    </row>
    <row r="3275" spans="1:28" x14ac:dyDescent="0.25">
      <c r="A3275" t="s">
        <v>3279</v>
      </c>
      <c r="B3275">
        <v>0.98876768158843997</v>
      </c>
      <c r="C3275">
        <v>0.97581125399055102</v>
      </c>
      <c r="D3275">
        <v>0.91673033638728296</v>
      </c>
      <c r="E3275">
        <v>0.76970941389734604</v>
      </c>
      <c r="F3275">
        <v>0.55852160495191705</v>
      </c>
      <c r="G3275">
        <v>0.25536505381824798</v>
      </c>
      <c r="H3275">
        <v>0.119226546420323</v>
      </c>
      <c r="I3275">
        <v>0.105887801823476</v>
      </c>
      <c r="J3275">
        <v>0.13814475794028</v>
      </c>
      <c r="K3275">
        <v>0.131613309840763</v>
      </c>
      <c r="L3275">
        <v>1050.2485502509901</v>
      </c>
      <c r="M3275">
        <v>19.900481533674402</v>
      </c>
      <c r="N3275">
        <v>53.365457449424497</v>
      </c>
      <c r="O3275">
        <v>52.250792843095503</v>
      </c>
      <c r="P3275">
        <v>-8.5810638833270697E-2</v>
      </c>
      <c r="Q3275">
        <v>9.8810739663227107E-2</v>
      </c>
      <c r="R3275">
        <v>0.99565075494479305</v>
      </c>
      <c r="S3275" t="s">
        <v>7107</v>
      </c>
      <c r="T3275" t="s">
        <v>7662</v>
      </c>
      <c r="U3275" t="s">
        <v>7662</v>
      </c>
      <c r="V3275" t="s">
        <v>7662</v>
      </c>
      <c r="W3275">
        <v>2</v>
      </c>
      <c r="X3275" t="s">
        <v>10937</v>
      </c>
      <c r="Y3275">
        <v>0.49509238453312743</v>
      </c>
      <c r="Z3275" t="str">
        <f>HYPERLINK("Melting_Curves/meltCurve_tr_B5MC59_B5MC59_HUMAN_.pdf", "Melting_Curves/meltCurve_tr_B5MC59_B5MC59_HUMAN_.pdf")</f>
        <v>Melting_Curves/meltCurve_tr_B5MC59_B5MC59_HUMAN_.pdf</v>
      </c>
      <c r="AA3275" t="s">
        <v>14727</v>
      </c>
      <c r="AB3275" t="s">
        <v>18511</v>
      </c>
    </row>
    <row r="3276" spans="1:28" x14ac:dyDescent="0.25">
      <c r="A3276" t="s">
        <v>3280</v>
      </c>
      <c r="B3276">
        <v>0.98876768158843997</v>
      </c>
      <c r="C3276">
        <v>0.87622750740910904</v>
      </c>
      <c r="D3276">
        <v>0.61295483502381198</v>
      </c>
      <c r="E3276">
        <v>0.25876602027009898</v>
      </c>
      <c r="F3276">
        <v>0.15326131763419501</v>
      </c>
      <c r="G3276">
        <v>9.1989975737207699E-2</v>
      </c>
      <c r="H3276">
        <v>7.3968215389445494E-2</v>
      </c>
      <c r="I3276">
        <v>6.7236683254448495E-2</v>
      </c>
      <c r="J3276">
        <v>8.1464927910088095E-2</v>
      </c>
      <c r="K3276">
        <v>7.6333033955109306E-2</v>
      </c>
      <c r="L3276">
        <v>985.021811888206</v>
      </c>
      <c r="M3276">
        <v>21.072284969366301</v>
      </c>
      <c r="N3276">
        <v>47.097401501220197</v>
      </c>
      <c r="O3276">
        <v>46.330026215267303</v>
      </c>
      <c r="P3276">
        <v>-0.105414850547425</v>
      </c>
      <c r="Q3276">
        <v>7.2954161438808299E-2</v>
      </c>
      <c r="R3276">
        <v>0.99959412818644</v>
      </c>
      <c r="S3276" t="s">
        <v>7108</v>
      </c>
      <c r="T3276" t="s">
        <v>7662</v>
      </c>
      <c r="U3276" t="s">
        <v>7662</v>
      </c>
      <c r="V3276" t="s">
        <v>7662</v>
      </c>
      <c r="W3276">
        <v>2</v>
      </c>
      <c r="X3276" t="s">
        <v>10938</v>
      </c>
      <c r="Y3276">
        <v>0.29359132258148918</v>
      </c>
      <c r="Z3276" t="str">
        <f>HYPERLINK("Melting_Curves/meltCurve_tr_B5MCP9_B5MCP9_HUMAN_.pdf", "Melting_Curves/meltCurve_tr_B5MCP9_B5MCP9_HUMAN_.pdf")</f>
        <v>Melting_Curves/meltCurve_tr_B5MCP9_B5MCP9_HUMAN_.pdf</v>
      </c>
      <c r="AA3276" t="s">
        <v>14728</v>
      </c>
      <c r="AB3276" t="s">
        <v>18512</v>
      </c>
    </row>
    <row r="3277" spans="1:28" x14ac:dyDescent="0.25">
      <c r="A3277" t="s">
        <v>3281</v>
      </c>
      <c r="B3277">
        <v>0.98876768158843997</v>
      </c>
      <c r="C3277">
        <v>0.93399428136277296</v>
      </c>
      <c r="D3277">
        <v>1.09391795507415</v>
      </c>
      <c r="E3277">
        <v>0.98586064735092105</v>
      </c>
      <c r="F3277">
        <v>0.72170621963167703</v>
      </c>
      <c r="G3277">
        <v>0.48585071345464698</v>
      </c>
      <c r="H3277">
        <v>0.33906087632326998</v>
      </c>
      <c r="I3277">
        <v>0.19355323752296899</v>
      </c>
      <c r="J3277">
        <v>6.2373675384436299E-2</v>
      </c>
      <c r="K3277">
        <v>4.5037968770922601E-2</v>
      </c>
      <c r="L3277">
        <v>891.66650150406599</v>
      </c>
      <c r="M3277">
        <v>15.5446187393127</v>
      </c>
      <c r="N3277">
        <v>57.361748034801202</v>
      </c>
      <c r="O3277">
        <v>56.437581084322602</v>
      </c>
      <c r="P3277">
        <v>-6.8863618655990097E-2</v>
      </c>
      <c r="Q3277">
        <v>0</v>
      </c>
      <c r="R3277">
        <v>0.97790114678892204</v>
      </c>
      <c r="S3277" t="s">
        <v>7109</v>
      </c>
      <c r="T3277" t="s">
        <v>7662</v>
      </c>
      <c r="U3277" t="s">
        <v>7662</v>
      </c>
      <c r="V3277" t="s">
        <v>7662</v>
      </c>
      <c r="W3277">
        <v>18</v>
      </c>
      <c r="X3277" t="s">
        <v>10939</v>
      </c>
      <c r="Y3277">
        <v>0.59347780693204966</v>
      </c>
      <c r="Z3277" t="str">
        <f>HYPERLINK("Melting_Curves/meltCurve_tr_B5MCX3_B5MCX3_HUMAN_.pdf", "Melting_Curves/meltCurve_tr_B5MCX3_B5MCX3_HUMAN_.pdf")</f>
        <v>Melting_Curves/meltCurve_tr_B5MCX3_B5MCX3_HUMAN_.pdf</v>
      </c>
      <c r="AA3277" t="s">
        <v>14729</v>
      </c>
      <c r="AB3277" t="s">
        <v>18513</v>
      </c>
    </row>
    <row r="3278" spans="1:28" x14ac:dyDescent="0.25">
      <c r="A3278" t="s">
        <v>3282</v>
      </c>
      <c r="B3278">
        <v>0.98876768158843997</v>
      </c>
      <c r="C3278">
        <v>1.0308081588987901</v>
      </c>
      <c r="D3278">
        <v>0.90680826547819104</v>
      </c>
      <c r="E3278">
        <v>0.95372369158794101</v>
      </c>
      <c r="F3278">
        <v>0.82502709375916905</v>
      </c>
      <c r="G3278">
        <v>0.61957169251150801</v>
      </c>
      <c r="H3278">
        <v>0.32658883209240203</v>
      </c>
      <c r="I3278">
        <v>0.143593628631484</v>
      </c>
      <c r="J3278">
        <v>1.8552616854686999E-2</v>
      </c>
      <c r="K3278">
        <v>1.12848363702674E-2</v>
      </c>
      <c r="L3278">
        <v>1103.6572931574699</v>
      </c>
      <c r="M3278">
        <v>18.9632821400286</v>
      </c>
      <c r="N3278">
        <v>58.199699707980201</v>
      </c>
      <c r="O3278">
        <v>57.564077739574799</v>
      </c>
      <c r="P3278">
        <v>-8.2360583180480507E-2</v>
      </c>
      <c r="Q3278">
        <v>0</v>
      </c>
      <c r="R3278">
        <v>0.98985418280331405</v>
      </c>
      <c r="S3278" t="s">
        <v>7110</v>
      </c>
      <c r="T3278" t="s">
        <v>7662</v>
      </c>
      <c r="U3278" t="s">
        <v>7662</v>
      </c>
      <c r="V3278" t="s">
        <v>7662</v>
      </c>
      <c r="W3278">
        <v>1</v>
      </c>
      <c r="X3278" t="s">
        <v>10940</v>
      </c>
      <c r="Y3278">
        <v>0.61827233605098719</v>
      </c>
      <c r="Z3278" t="str">
        <f>HYPERLINK("Melting_Curves/meltCurve_tr_B7WPP2_B7WPP2_HUMAN_.pdf", "Melting_Curves/meltCurve_tr_B7WPP2_B7WPP2_HUMAN_.pdf")</f>
        <v>Melting_Curves/meltCurve_tr_B7WPP2_B7WPP2_HUMAN_.pdf</v>
      </c>
      <c r="AA3278" t="s">
        <v>14730</v>
      </c>
      <c r="AB3278" t="s">
        <v>18514</v>
      </c>
    </row>
    <row r="3279" spans="1:28" x14ac:dyDescent="0.25">
      <c r="A3279" t="s">
        <v>3283</v>
      </c>
      <c r="B3279">
        <v>0.98876768158843997</v>
      </c>
      <c r="C3279">
        <v>0.83716179733378604</v>
      </c>
      <c r="D3279">
        <v>0.797767500233035</v>
      </c>
      <c r="E3279">
        <v>0.51935392116996304</v>
      </c>
      <c r="F3279">
        <v>0.34539770078717202</v>
      </c>
      <c r="G3279">
        <v>0.193456132645145</v>
      </c>
      <c r="H3279">
        <v>0.178485840540202</v>
      </c>
      <c r="I3279">
        <v>0.19202407212637801</v>
      </c>
      <c r="J3279">
        <v>0.233517514672196</v>
      </c>
      <c r="K3279">
        <v>0.28790464650019698</v>
      </c>
      <c r="L3279">
        <v>832.47838868844997</v>
      </c>
      <c r="M3279">
        <v>17.206567708478399</v>
      </c>
      <c r="N3279">
        <v>49.876710322831997</v>
      </c>
      <c r="O3279">
        <v>47.742109157642702</v>
      </c>
      <c r="P3279">
        <v>-7.1950216098179295E-2</v>
      </c>
      <c r="Q3279">
        <v>0.20150174442369201</v>
      </c>
      <c r="R3279">
        <v>0.97362453200564902</v>
      </c>
      <c r="S3279" t="s">
        <v>7111</v>
      </c>
      <c r="T3279" t="s">
        <v>7662</v>
      </c>
      <c r="U3279" t="s">
        <v>7662</v>
      </c>
      <c r="V3279" t="s">
        <v>7662</v>
      </c>
      <c r="W3279">
        <v>2</v>
      </c>
      <c r="X3279" t="s">
        <v>10941</v>
      </c>
      <c r="Y3279">
        <v>0.43995774089812528</v>
      </c>
      <c r="Z3279" t="str">
        <f>HYPERLINK("Melting_Curves/meltCurve_tr_B7Z1L3_B7Z1L3_HUMAN_.pdf", "Melting_Curves/meltCurve_tr_B7Z1L3_B7Z1L3_HUMAN_.pdf")</f>
        <v>Melting_Curves/meltCurve_tr_B7Z1L3_B7Z1L3_HUMAN_.pdf</v>
      </c>
      <c r="AA3279" t="s">
        <v>14731</v>
      </c>
      <c r="AB3279" t="s">
        <v>18515</v>
      </c>
    </row>
    <row r="3280" spans="1:28" x14ac:dyDescent="0.25">
      <c r="A3280" t="s">
        <v>3284</v>
      </c>
      <c r="B3280">
        <v>0.98876768158843997</v>
      </c>
      <c r="C3280">
        <v>0.91316164700676306</v>
      </c>
      <c r="D3280">
        <v>0.97362571479862603</v>
      </c>
      <c r="E3280">
        <v>0.70139926558316001</v>
      </c>
      <c r="F3280">
        <v>0.32180905418982297</v>
      </c>
      <c r="G3280">
        <v>0.26644484210881703</v>
      </c>
      <c r="H3280">
        <v>0.164819255876752</v>
      </c>
      <c r="I3280">
        <v>4.8433372864200699E-2</v>
      </c>
      <c r="J3280">
        <v>3.5969372781008098E-2</v>
      </c>
      <c r="K3280">
        <v>2.8868779553634601E-2</v>
      </c>
      <c r="L3280">
        <v>967.52995235656101</v>
      </c>
      <c r="M3280">
        <v>18.724141436594699</v>
      </c>
      <c r="N3280">
        <v>51.967259669303402</v>
      </c>
      <c r="O3280">
        <v>51.094283713498299</v>
      </c>
      <c r="P3280">
        <v>-8.7009144612362796E-2</v>
      </c>
      <c r="Q3280">
        <v>5.0320740231628802E-2</v>
      </c>
      <c r="R3280">
        <v>0.97985321812968296</v>
      </c>
      <c r="S3280" t="s">
        <v>7112</v>
      </c>
      <c r="T3280" t="s">
        <v>7662</v>
      </c>
      <c r="U3280" t="s">
        <v>7662</v>
      </c>
      <c r="V3280" t="s">
        <v>7662</v>
      </c>
      <c r="W3280">
        <v>12</v>
      </c>
      <c r="X3280" t="s">
        <v>10942</v>
      </c>
      <c r="Y3280">
        <v>0.43464747512124352</v>
      </c>
      <c r="Z3280" t="str">
        <f>HYPERLINK("Melting_Curves/meltCurve_tr_B7Z1R5_B7Z1R5_HUMAN_.pdf", "Melting_Curves/meltCurve_tr_B7Z1R5_B7Z1R5_HUMAN_.pdf")</f>
        <v>Melting_Curves/meltCurve_tr_B7Z1R5_B7Z1R5_HUMAN_.pdf</v>
      </c>
      <c r="AA3280" t="s">
        <v>14732</v>
      </c>
      <c r="AB3280" t="s">
        <v>18516</v>
      </c>
    </row>
    <row r="3281" spans="1:28" x14ac:dyDescent="0.25">
      <c r="A3281" t="s">
        <v>3285</v>
      </c>
      <c r="B3281">
        <v>0.98876768158843997</v>
      </c>
      <c r="C3281">
        <v>0.97353321207902499</v>
      </c>
      <c r="D3281">
        <v>0.74398014259258005</v>
      </c>
      <c r="E3281">
        <v>0.40458316369654101</v>
      </c>
      <c r="F3281">
        <v>0.26090156151042099</v>
      </c>
      <c r="G3281">
        <v>0.13730015719567101</v>
      </c>
      <c r="H3281">
        <v>9.0286369346168405E-2</v>
      </c>
      <c r="I3281">
        <v>9.7788393271795906E-2</v>
      </c>
      <c r="J3281">
        <v>0.112351345772605</v>
      </c>
      <c r="K3281">
        <v>0.126909997228459</v>
      </c>
      <c r="L3281">
        <v>971.95922942035997</v>
      </c>
      <c r="M3281">
        <v>20.0957296743371</v>
      </c>
      <c r="N3281">
        <v>48.928431369350903</v>
      </c>
      <c r="O3281">
        <v>47.895149872785701</v>
      </c>
      <c r="P3281">
        <v>-9.4087407790529695E-2</v>
      </c>
      <c r="Q3281">
        <v>0.103055896217098</v>
      </c>
      <c r="R3281">
        <v>0.99676716303151003</v>
      </c>
      <c r="S3281" t="s">
        <v>7113</v>
      </c>
      <c r="T3281" t="s">
        <v>7662</v>
      </c>
      <c r="U3281" t="s">
        <v>7662</v>
      </c>
      <c r="V3281" t="s">
        <v>7662</v>
      </c>
      <c r="W3281">
        <v>5</v>
      </c>
      <c r="X3281" t="s">
        <v>10943</v>
      </c>
      <c r="Y3281">
        <v>0.365734193371335</v>
      </c>
      <c r="Z3281" t="str">
        <f>HYPERLINK("Melting_Curves/meltCurve_tr_B7Z1W9_B7Z1W9_HUMAN_.pdf", "Melting_Curves/meltCurve_tr_B7Z1W9_B7Z1W9_HUMAN_.pdf")</f>
        <v>Melting_Curves/meltCurve_tr_B7Z1W9_B7Z1W9_HUMAN_.pdf</v>
      </c>
      <c r="AA3281" t="s">
        <v>14733</v>
      </c>
      <c r="AB3281" t="s">
        <v>18517</v>
      </c>
    </row>
    <row r="3282" spans="1:28" x14ac:dyDescent="0.25">
      <c r="A3282" t="s">
        <v>3286</v>
      </c>
      <c r="B3282">
        <v>0.98876768158843997</v>
      </c>
      <c r="C3282">
        <v>0.98486596704367702</v>
      </c>
      <c r="D3282">
        <v>0.87584348170206705</v>
      </c>
      <c r="E3282">
        <v>0.81018352976492702</v>
      </c>
      <c r="F3282">
        <v>0.78340626874941799</v>
      </c>
      <c r="G3282">
        <v>0.32223098446326998</v>
      </c>
      <c r="H3282">
        <v>5.53431174080821E-2</v>
      </c>
      <c r="I3282">
        <v>3.8929170968550697E-2</v>
      </c>
      <c r="J3282">
        <v>4.0932143437433399E-2</v>
      </c>
      <c r="K3282">
        <v>3.3924496701159497E-2</v>
      </c>
      <c r="L3282">
        <v>1200.7457963536699</v>
      </c>
      <c r="M3282">
        <v>21.779189777695699</v>
      </c>
      <c r="N3282">
        <v>55.132715735302099</v>
      </c>
      <c r="O3282">
        <v>54.674196995539702</v>
      </c>
      <c r="P3282">
        <v>-9.9588517677656696E-2</v>
      </c>
      <c r="Q3282">
        <v>0</v>
      </c>
      <c r="R3282">
        <v>0.98112987232133897</v>
      </c>
      <c r="S3282" t="s">
        <v>7114</v>
      </c>
      <c r="T3282" t="s">
        <v>7662</v>
      </c>
      <c r="U3282" t="s">
        <v>7662</v>
      </c>
      <c r="V3282" t="s">
        <v>7662</v>
      </c>
      <c r="W3282">
        <v>12</v>
      </c>
      <c r="X3282" t="s">
        <v>10944</v>
      </c>
      <c r="Y3282">
        <v>0.51606280282946615</v>
      </c>
      <c r="Z3282" t="str">
        <f>HYPERLINK("Melting_Curves/meltCurve_tr_B7Z254_B7Z254_HUMAN_.pdf", "Melting_Curves/meltCurve_tr_B7Z254_B7Z254_HUMAN_.pdf")</f>
        <v>Melting_Curves/meltCurve_tr_B7Z254_B7Z254_HUMAN_.pdf</v>
      </c>
      <c r="AA3282" t="s">
        <v>14734</v>
      </c>
      <c r="AB3282" t="s">
        <v>18518</v>
      </c>
    </row>
    <row r="3283" spans="1:28" x14ac:dyDescent="0.25">
      <c r="A3283" t="s">
        <v>3287</v>
      </c>
      <c r="B3283">
        <v>0.98876768158843997</v>
      </c>
      <c r="C3283">
        <v>1.05222709641801</v>
      </c>
      <c r="D3283">
        <v>0.89102291998467098</v>
      </c>
      <c r="E3283">
        <v>0.75517869382650205</v>
      </c>
      <c r="F3283">
        <v>0.37637097404407699</v>
      </c>
      <c r="G3283">
        <v>0.34163798841899901</v>
      </c>
      <c r="H3283">
        <v>0.29044824629305699</v>
      </c>
      <c r="I3283">
        <v>0.178228285361097</v>
      </c>
      <c r="J3283">
        <v>0.13012722884190001</v>
      </c>
      <c r="K3283">
        <v>9.6766365144002095E-2</v>
      </c>
      <c r="L3283">
        <v>896.39416409388502</v>
      </c>
      <c r="M3283">
        <v>17.3343972317554</v>
      </c>
      <c r="N3283">
        <v>52.754599357414499</v>
      </c>
      <c r="O3283">
        <v>51.038379706959297</v>
      </c>
      <c r="P3283">
        <v>-7.25969966317421E-2</v>
      </c>
      <c r="Q3283">
        <v>0.14504762628317899</v>
      </c>
      <c r="R3283">
        <v>0.97095309256219497</v>
      </c>
      <c r="S3283" t="s">
        <v>7115</v>
      </c>
      <c r="T3283" t="s">
        <v>7662</v>
      </c>
      <c r="U3283" t="s">
        <v>7662</v>
      </c>
      <c r="V3283" t="s">
        <v>7662</v>
      </c>
      <c r="W3283">
        <v>5</v>
      </c>
      <c r="X3283" t="s">
        <v>10945</v>
      </c>
      <c r="Y3283">
        <v>0.49405450844924659</v>
      </c>
      <c r="Z3283" t="str">
        <f>HYPERLINK("Melting_Curves/meltCurve_tr_B7Z2C3_B7Z2C3_HUMAN_.pdf", "Melting_Curves/meltCurve_tr_B7Z2C3_B7Z2C3_HUMAN_.pdf")</f>
        <v>Melting_Curves/meltCurve_tr_B7Z2C3_B7Z2C3_HUMAN_.pdf</v>
      </c>
      <c r="AA3283" t="s">
        <v>14735</v>
      </c>
      <c r="AB3283" t="s">
        <v>18519</v>
      </c>
    </row>
    <row r="3284" spans="1:28" x14ac:dyDescent="0.25">
      <c r="A3284" t="s">
        <v>3288</v>
      </c>
      <c r="B3284">
        <v>0.98876768158843997</v>
      </c>
      <c r="C3284">
        <v>1.06863201304337</v>
      </c>
      <c r="D3284">
        <v>0.80128484871017203</v>
      </c>
      <c r="E3284">
        <v>0.72524298498417195</v>
      </c>
      <c r="F3284">
        <v>0.73463089017619898</v>
      </c>
      <c r="G3284">
        <v>0.47840848393507901</v>
      </c>
      <c r="H3284">
        <v>0.26492353786011802</v>
      </c>
      <c r="I3284">
        <v>0.29253471348802101</v>
      </c>
      <c r="J3284">
        <v>0.37185549565626402</v>
      </c>
      <c r="K3284">
        <v>0.57539295162456905</v>
      </c>
      <c r="L3284">
        <v>805.46224189607904</v>
      </c>
      <c r="M3284">
        <v>15.6537658046032</v>
      </c>
      <c r="N3284">
        <v>56.189269672393003</v>
      </c>
      <c r="O3284">
        <v>50.637072124147799</v>
      </c>
      <c r="P3284">
        <v>-4.8979598101410102E-2</v>
      </c>
      <c r="Q3284">
        <v>0.36629395559641997</v>
      </c>
      <c r="R3284">
        <v>0.84374398636048997</v>
      </c>
      <c r="S3284" t="s">
        <v>7116</v>
      </c>
      <c r="T3284" t="s">
        <v>7662</v>
      </c>
      <c r="U3284" t="s">
        <v>7662</v>
      </c>
      <c r="V3284" t="s">
        <v>7662</v>
      </c>
      <c r="W3284">
        <v>2</v>
      </c>
      <c r="X3284" t="s">
        <v>10946</v>
      </c>
      <c r="Y3284">
        <v>0.62172830781984623</v>
      </c>
      <c r="Z3284" t="str">
        <f>HYPERLINK("Melting_Curves/meltCurve_tr_B7Z2R9_B7Z2R9_HUMAN_.pdf", "Melting_Curves/meltCurve_tr_B7Z2R9_B7Z2R9_HUMAN_.pdf")</f>
        <v>Melting_Curves/meltCurve_tr_B7Z2R9_B7Z2R9_HUMAN_.pdf</v>
      </c>
      <c r="AA3284" t="s">
        <v>14736</v>
      </c>
      <c r="AB3284" t="s">
        <v>18520</v>
      </c>
    </row>
    <row r="3285" spans="1:28" x14ac:dyDescent="0.25">
      <c r="A3285" t="s">
        <v>3289</v>
      </c>
      <c r="B3285">
        <v>0.98876768158843997</v>
      </c>
      <c r="C3285">
        <v>0.74360751641739098</v>
      </c>
      <c r="D3285">
        <v>0.904301244594509</v>
      </c>
      <c r="E3285">
        <v>0.78187173463043302</v>
      </c>
      <c r="F3285">
        <v>0.63298898671076598</v>
      </c>
      <c r="G3285">
        <v>0.29569476929681898</v>
      </c>
      <c r="H3285">
        <v>6.2692690867300199E-2</v>
      </c>
      <c r="I3285">
        <v>3.4708565024771099E-2</v>
      </c>
      <c r="J3285">
        <v>3.4341776876761099E-2</v>
      </c>
      <c r="K3285">
        <v>4.3673381499310902E-2</v>
      </c>
      <c r="L3285">
        <v>896.73498580937905</v>
      </c>
      <c r="M3285">
        <v>16.622613405126199</v>
      </c>
      <c r="N3285">
        <v>53.946691261371001</v>
      </c>
      <c r="O3285">
        <v>53.184067375245903</v>
      </c>
      <c r="P3285">
        <v>-7.8142457669136106E-2</v>
      </c>
      <c r="Q3285">
        <v>0</v>
      </c>
      <c r="R3285">
        <v>0.95023934343299299</v>
      </c>
      <c r="S3285" t="s">
        <v>7117</v>
      </c>
      <c r="T3285" t="s">
        <v>7662</v>
      </c>
      <c r="U3285" t="s">
        <v>7662</v>
      </c>
      <c r="V3285" t="s">
        <v>7662</v>
      </c>
      <c r="W3285">
        <v>5</v>
      </c>
      <c r="X3285" t="s">
        <v>10947</v>
      </c>
      <c r="Y3285">
        <v>0.48285931637224783</v>
      </c>
      <c r="Z3285" t="str">
        <f>HYPERLINK("Melting_Curves/meltCurve_tr_B7Z2X9_B7Z2X9_HUMAN_.pdf", "Melting_Curves/meltCurve_tr_B7Z2X9_B7Z2X9_HUMAN_.pdf")</f>
        <v>Melting_Curves/meltCurve_tr_B7Z2X9_B7Z2X9_HUMAN_.pdf</v>
      </c>
      <c r="AA3285" t="s">
        <v>14737</v>
      </c>
      <c r="AB3285" t="s">
        <v>18521</v>
      </c>
    </row>
    <row r="3286" spans="1:28" x14ac:dyDescent="0.25">
      <c r="A3286" t="s">
        <v>3290</v>
      </c>
      <c r="B3286">
        <v>0.98876768158843997</v>
      </c>
      <c r="C3286">
        <v>0.92239217558737197</v>
      </c>
      <c r="D3286">
        <v>0.86492233178467104</v>
      </c>
      <c r="E3286">
        <v>0.40514435292705497</v>
      </c>
      <c r="F3286">
        <v>0.30558223984196198</v>
      </c>
      <c r="G3286">
        <v>0.17479698377356501</v>
      </c>
      <c r="H3286">
        <v>0.14251160869514501</v>
      </c>
      <c r="I3286">
        <v>0.15305928138834299</v>
      </c>
      <c r="J3286">
        <v>0.32781969764663998</v>
      </c>
      <c r="K3286">
        <v>0.38280770477812998</v>
      </c>
      <c r="L3286">
        <v>1495.62260769613</v>
      </c>
      <c r="M3286">
        <v>31.1128873803506</v>
      </c>
      <c r="N3286">
        <v>49.095380855619098</v>
      </c>
      <c r="O3286">
        <v>47.873561862438201</v>
      </c>
      <c r="P3286">
        <v>-0.123678061281357</v>
      </c>
      <c r="Q3286">
        <v>0.23878802605063601</v>
      </c>
      <c r="R3286">
        <v>0.94393340692316596</v>
      </c>
      <c r="S3286" t="s">
        <v>7118</v>
      </c>
      <c r="T3286" t="s">
        <v>7662</v>
      </c>
      <c r="U3286" t="s">
        <v>7662</v>
      </c>
      <c r="V3286" t="s">
        <v>7662</v>
      </c>
      <c r="W3286">
        <v>4</v>
      </c>
      <c r="X3286" t="s">
        <v>10948</v>
      </c>
      <c r="Y3286">
        <v>0.44782492095446241</v>
      </c>
      <c r="Z3286" t="str">
        <f>HYPERLINK("Melting_Curves/meltCurve_tr_B7Z2Y2_B7Z2Y2_HUMAN_.pdf", "Melting_Curves/meltCurve_tr_B7Z2Y2_B7Z2Y2_HUMAN_.pdf")</f>
        <v>Melting_Curves/meltCurve_tr_B7Z2Y2_B7Z2Y2_HUMAN_.pdf</v>
      </c>
      <c r="AA3286" t="s">
        <v>14738</v>
      </c>
      <c r="AB3286" t="s">
        <v>18522</v>
      </c>
    </row>
    <row r="3287" spans="1:28" x14ac:dyDescent="0.25">
      <c r="A3287" t="s">
        <v>3291</v>
      </c>
      <c r="B3287">
        <v>0.98876768158843997</v>
      </c>
      <c r="C3287">
        <v>0.98455921838875304</v>
      </c>
      <c r="D3287">
        <v>0.89228273847835404</v>
      </c>
      <c r="E3287">
        <v>0.66771006250567899</v>
      </c>
      <c r="F3287">
        <v>0.49483831218801899</v>
      </c>
      <c r="G3287">
        <v>0.121318698906453</v>
      </c>
      <c r="H3287">
        <v>4.4499053653882202E-2</v>
      </c>
      <c r="I3287">
        <v>3.6044571478675999E-2</v>
      </c>
      <c r="J3287">
        <v>3.3944830778997098E-2</v>
      </c>
      <c r="K3287">
        <v>0</v>
      </c>
      <c r="L3287">
        <v>962.85288305341805</v>
      </c>
      <c r="M3287">
        <v>18.448243285139402</v>
      </c>
      <c r="N3287">
        <v>52.192118119997303</v>
      </c>
      <c r="O3287">
        <v>51.590452966215302</v>
      </c>
      <c r="P3287">
        <v>-8.9401567163226697E-2</v>
      </c>
      <c r="Q3287">
        <v>0</v>
      </c>
      <c r="R3287">
        <v>0.99425499903913594</v>
      </c>
      <c r="S3287" t="s">
        <v>7119</v>
      </c>
      <c r="T3287" t="s">
        <v>7662</v>
      </c>
      <c r="U3287" t="s">
        <v>7662</v>
      </c>
      <c r="V3287" t="s">
        <v>7662</v>
      </c>
      <c r="W3287">
        <v>1</v>
      </c>
      <c r="X3287" t="s">
        <v>10949</v>
      </c>
      <c r="Y3287">
        <v>0.42232092259288873</v>
      </c>
      <c r="Z3287" t="str">
        <f>HYPERLINK("Melting_Curves/meltCurve_tr_B7Z341_B7Z341_HUMAN_.pdf", "Melting_Curves/meltCurve_tr_B7Z341_B7Z341_HUMAN_.pdf")</f>
        <v>Melting_Curves/meltCurve_tr_B7Z341_B7Z341_HUMAN_.pdf</v>
      </c>
      <c r="AA3287" t="s">
        <v>14739</v>
      </c>
      <c r="AB3287" t="s">
        <v>18523</v>
      </c>
    </row>
    <row r="3288" spans="1:28" x14ac:dyDescent="0.25">
      <c r="A3288" t="s">
        <v>3292</v>
      </c>
      <c r="B3288">
        <v>0.98876768158843997</v>
      </c>
      <c r="C3288">
        <v>0.93843799780491999</v>
      </c>
      <c r="D3288">
        <v>0.94588598190945705</v>
      </c>
      <c r="E3288">
        <v>0.69800326533696</v>
      </c>
      <c r="F3288">
        <v>0.296590529924466</v>
      </c>
      <c r="G3288">
        <v>0.17234190320781101</v>
      </c>
      <c r="H3288">
        <v>0.120722770881746</v>
      </c>
      <c r="I3288">
        <v>9.0035944611802393E-2</v>
      </c>
      <c r="J3288">
        <v>9.0889557182212602E-2</v>
      </c>
      <c r="K3288">
        <v>7.0866002882312998E-2</v>
      </c>
      <c r="L3288">
        <v>1468.7057067171299</v>
      </c>
      <c r="M3288">
        <v>28.783043929631798</v>
      </c>
      <c r="N3288">
        <v>51.401771731529998</v>
      </c>
      <c r="O3288">
        <v>50.782364790032197</v>
      </c>
      <c r="P3288">
        <v>-0.12827983298151399</v>
      </c>
      <c r="Q3288">
        <v>9.4702676129657604E-2</v>
      </c>
      <c r="R3288">
        <v>0.99500140539494797</v>
      </c>
      <c r="S3288" t="s">
        <v>7120</v>
      </c>
      <c r="T3288" t="s">
        <v>7662</v>
      </c>
      <c r="U3288" t="s">
        <v>7662</v>
      </c>
      <c r="V3288" t="s">
        <v>7662</v>
      </c>
      <c r="W3288">
        <v>4</v>
      </c>
      <c r="X3288" t="s">
        <v>10950</v>
      </c>
      <c r="Y3288">
        <v>0.4336389580753946</v>
      </c>
      <c r="Z3288" t="str">
        <f>HYPERLINK("Melting_Curves/meltCurve_tr_B7Z385_B7Z385_HUMAN_.pdf", "Melting_Curves/meltCurve_tr_B7Z385_B7Z385_HUMAN_.pdf")</f>
        <v>Melting_Curves/meltCurve_tr_B7Z385_B7Z385_HUMAN_.pdf</v>
      </c>
      <c r="AA3288" t="s">
        <v>14740</v>
      </c>
      <c r="AB3288" t="s">
        <v>18524</v>
      </c>
    </row>
    <row r="3289" spans="1:28" x14ac:dyDescent="0.25">
      <c r="A3289" t="s">
        <v>3293</v>
      </c>
      <c r="B3289">
        <v>0.98876768158843997</v>
      </c>
      <c r="C3289">
        <v>0.97603401956814495</v>
      </c>
      <c r="D3289">
        <v>0.85954573732331896</v>
      </c>
      <c r="E3289">
        <v>0.49287848957559499</v>
      </c>
      <c r="F3289">
        <v>0.51243449221437298</v>
      </c>
      <c r="G3289">
        <v>0.37484757235619598</v>
      </c>
      <c r="H3289">
        <v>0.30761307823627199</v>
      </c>
      <c r="I3289">
        <v>0.32709667380843299</v>
      </c>
      <c r="J3289">
        <v>0.408347797561396</v>
      </c>
      <c r="K3289">
        <v>0.45749353119112202</v>
      </c>
      <c r="L3289">
        <v>1271.34868503659</v>
      </c>
      <c r="M3289">
        <v>26.542001992430201</v>
      </c>
      <c r="N3289">
        <v>50.670480422461701</v>
      </c>
      <c r="O3289">
        <v>47.630073607789697</v>
      </c>
      <c r="P3289">
        <v>-8.5972709350690901E-2</v>
      </c>
      <c r="Q3289">
        <v>0.38288855172595498</v>
      </c>
      <c r="R3289">
        <v>0.96091410721905401</v>
      </c>
      <c r="S3289" t="s">
        <v>7121</v>
      </c>
      <c r="T3289" t="s">
        <v>7662</v>
      </c>
      <c r="U3289" t="s">
        <v>7662</v>
      </c>
      <c r="V3289" t="s">
        <v>7662</v>
      </c>
      <c r="W3289">
        <v>1</v>
      </c>
      <c r="X3289" t="s">
        <v>10951</v>
      </c>
      <c r="Y3289">
        <v>0.55018839869905878</v>
      </c>
      <c r="Z3289" t="str">
        <f>HYPERLINK("Melting_Curves/meltCurve_tr_B7Z3B9_B7Z3B9_HUMAN_.pdf", "Melting_Curves/meltCurve_tr_B7Z3B9_B7Z3B9_HUMAN_.pdf")</f>
        <v>Melting_Curves/meltCurve_tr_B7Z3B9_B7Z3B9_HUMAN_.pdf</v>
      </c>
      <c r="AA3289" t="s">
        <v>14741</v>
      </c>
      <c r="AB3289" t="s">
        <v>18525</v>
      </c>
    </row>
    <row r="3290" spans="1:28" x14ac:dyDescent="0.25">
      <c r="A3290" t="s">
        <v>3294</v>
      </c>
      <c r="B3290">
        <v>0.98876768158843997</v>
      </c>
      <c r="C3290">
        <v>0.86848860306935105</v>
      </c>
      <c r="D3290">
        <v>1.0637380815400701</v>
      </c>
      <c r="E3290">
        <v>0.93580326983106099</v>
      </c>
      <c r="F3290">
        <v>0.62680622857372104</v>
      </c>
      <c r="G3290">
        <v>0.485568922358176</v>
      </c>
      <c r="H3290">
        <v>0.484894992636349</v>
      </c>
      <c r="I3290">
        <v>0.61977112077804497</v>
      </c>
      <c r="J3290">
        <v>0.61244302199299205</v>
      </c>
      <c r="K3290">
        <v>0.77547893927519795</v>
      </c>
      <c r="L3290">
        <v>3764.5361210721398</v>
      </c>
      <c r="M3290">
        <v>73.608640130583396</v>
      </c>
      <c r="O3290">
        <v>51.104875984401701</v>
      </c>
      <c r="P3290">
        <v>-0.14547096587233799</v>
      </c>
      <c r="Q3290">
        <v>0.59601078313794398</v>
      </c>
      <c r="R3290">
        <v>0.80003972854004601</v>
      </c>
      <c r="S3290" t="s">
        <v>7122</v>
      </c>
      <c r="T3290" t="s">
        <v>7662</v>
      </c>
      <c r="U3290" t="s">
        <v>7662</v>
      </c>
      <c r="V3290" t="s">
        <v>7662</v>
      </c>
      <c r="W3290">
        <v>23</v>
      </c>
      <c r="X3290" t="s">
        <v>10952</v>
      </c>
      <c r="Y3290">
        <v>0.74647949542109471</v>
      </c>
      <c r="Z3290" t="str">
        <f>HYPERLINK("Melting_Curves/meltCurve_tr_B7Z3I9_B7Z3I9_HUMAN_.pdf", "Melting_Curves/meltCurve_tr_B7Z3I9_B7Z3I9_HUMAN_.pdf")</f>
        <v>Melting_Curves/meltCurve_tr_B7Z3I9_B7Z3I9_HUMAN_.pdf</v>
      </c>
      <c r="AA3290" t="s">
        <v>14742</v>
      </c>
      <c r="AB3290" t="s">
        <v>18526</v>
      </c>
    </row>
    <row r="3291" spans="1:28" x14ac:dyDescent="0.25">
      <c r="A3291" t="s">
        <v>3295</v>
      </c>
      <c r="B3291">
        <v>0.98876768158843997</v>
      </c>
      <c r="C3291">
        <v>1.06234483619516</v>
      </c>
      <c r="D3291">
        <v>0.87856195762382805</v>
      </c>
      <c r="E3291">
        <v>0.634249040710262</v>
      </c>
      <c r="F3291">
        <v>0.33045949127437602</v>
      </c>
      <c r="G3291">
        <v>0.22555961675651801</v>
      </c>
      <c r="H3291">
        <v>0.16798125626883501</v>
      </c>
      <c r="I3291">
        <v>0.18298360547577999</v>
      </c>
      <c r="J3291">
        <v>0.255144140210118</v>
      </c>
      <c r="K3291">
        <v>0.23665546738001</v>
      </c>
      <c r="L3291">
        <v>1356.39947823579</v>
      </c>
      <c r="M3291">
        <v>27.1045531999793</v>
      </c>
      <c r="N3291">
        <v>51.038041825853902</v>
      </c>
      <c r="O3291">
        <v>49.7732083537013</v>
      </c>
      <c r="P3291">
        <v>-0.108205464712449</v>
      </c>
      <c r="Q3291">
        <v>0.20519912256582301</v>
      </c>
      <c r="R3291">
        <v>0.98702540160792596</v>
      </c>
      <c r="S3291" t="s">
        <v>7123</v>
      </c>
      <c r="T3291" t="s">
        <v>7662</v>
      </c>
      <c r="U3291" t="s">
        <v>7662</v>
      </c>
      <c r="V3291" t="s">
        <v>7662</v>
      </c>
      <c r="W3291">
        <v>9</v>
      </c>
      <c r="X3291" t="s">
        <v>10953</v>
      </c>
      <c r="Y3291">
        <v>0.47731744739324211</v>
      </c>
      <c r="Z3291" t="str">
        <f>HYPERLINK("Melting_Curves/meltCurve_tr_B7Z493_B7Z493_HUMAN_.pdf", "Melting_Curves/meltCurve_tr_B7Z493_B7Z493_HUMAN_.pdf")</f>
        <v>Melting_Curves/meltCurve_tr_B7Z493_B7Z493_HUMAN_.pdf</v>
      </c>
      <c r="AA3291" t="s">
        <v>14743</v>
      </c>
      <c r="AB3291" t="s">
        <v>18527</v>
      </c>
    </row>
    <row r="3292" spans="1:28" x14ac:dyDescent="0.25">
      <c r="A3292" t="s">
        <v>3296</v>
      </c>
      <c r="B3292">
        <v>0.98876768158843997</v>
      </c>
      <c r="C3292">
        <v>1.04465285720143</v>
      </c>
      <c r="D3292">
        <v>0.87378441348581104</v>
      </c>
      <c r="E3292">
        <v>0.85378289503791205</v>
      </c>
      <c r="F3292">
        <v>0.85816479487654096</v>
      </c>
      <c r="G3292">
        <v>0.58515772944588096</v>
      </c>
      <c r="H3292">
        <v>0.47951532663826801</v>
      </c>
      <c r="I3292">
        <v>0.52473806665106904</v>
      </c>
      <c r="J3292">
        <v>0.66030803480488598</v>
      </c>
      <c r="K3292">
        <v>0.65286772937222204</v>
      </c>
      <c r="L3292">
        <v>1147.7553639846701</v>
      </c>
      <c r="M3292">
        <v>21.842602620858599</v>
      </c>
      <c r="O3292">
        <v>52.112147028674698</v>
      </c>
      <c r="P3292">
        <v>-4.5013341523631199E-2</v>
      </c>
      <c r="Q3292">
        <v>0.57043800401306699</v>
      </c>
      <c r="R3292">
        <v>0.84006946693974305</v>
      </c>
      <c r="S3292" t="s">
        <v>7124</v>
      </c>
      <c r="T3292" t="s">
        <v>7662</v>
      </c>
      <c r="U3292" t="s">
        <v>7662</v>
      </c>
      <c r="V3292" t="s">
        <v>7662</v>
      </c>
      <c r="W3292">
        <v>7</v>
      </c>
      <c r="X3292" t="s">
        <v>10954</v>
      </c>
      <c r="Y3292">
        <v>0.75515629092529934</v>
      </c>
      <c r="Z3292" t="str">
        <f>HYPERLINK("Melting_Curves/meltCurve_tr_B7Z4K6_B7Z4K6_HUMAN_.pdf", "Melting_Curves/meltCurve_tr_B7Z4K6_B7Z4K6_HUMAN_.pdf")</f>
        <v>Melting_Curves/meltCurve_tr_B7Z4K6_B7Z4K6_HUMAN_.pdf</v>
      </c>
      <c r="AA3292" t="s">
        <v>14744</v>
      </c>
      <c r="AB3292" t="s">
        <v>18528</v>
      </c>
    </row>
    <row r="3293" spans="1:28" x14ac:dyDescent="0.25">
      <c r="A3293" t="s">
        <v>3297</v>
      </c>
      <c r="B3293">
        <v>0.98876768158843997</v>
      </c>
      <c r="C3293">
        <v>0.79689258078880998</v>
      </c>
      <c r="D3293">
        <v>0.88975861259063904</v>
      </c>
      <c r="E3293">
        <v>0.47610733820509799</v>
      </c>
      <c r="F3293">
        <v>0.24698366734921301</v>
      </c>
      <c r="G3293">
        <v>0.16429422799243701</v>
      </c>
      <c r="H3293">
        <v>0.13384303258660299</v>
      </c>
      <c r="I3293">
        <v>4.7484282689307898E-2</v>
      </c>
      <c r="J3293">
        <v>8.1969079602013495E-2</v>
      </c>
      <c r="K3293">
        <v>9.6326495988422398E-2</v>
      </c>
      <c r="L3293">
        <v>891.17432604510304</v>
      </c>
      <c r="M3293">
        <v>18.061380826936301</v>
      </c>
      <c r="N3293">
        <v>49.7845780140618</v>
      </c>
      <c r="O3293">
        <v>48.748488698212299</v>
      </c>
      <c r="P3293">
        <v>-8.5751502219391706E-2</v>
      </c>
      <c r="Q3293">
        <v>7.4256242561332605E-2</v>
      </c>
      <c r="R3293">
        <v>0.97288554450779097</v>
      </c>
      <c r="S3293" t="s">
        <v>7125</v>
      </c>
      <c r="T3293" t="s">
        <v>7662</v>
      </c>
      <c r="U3293" t="s">
        <v>7662</v>
      </c>
      <c r="V3293" t="s">
        <v>7662</v>
      </c>
      <c r="W3293">
        <v>1</v>
      </c>
      <c r="X3293" t="s">
        <v>10955</v>
      </c>
      <c r="Y3293">
        <v>0.37834801546800167</v>
      </c>
      <c r="Z3293" t="str">
        <f>HYPERLINK("Melting_Curves/meltCurve_tr_B7Z4L4_B7Z4L4_HUMAN_.pdf", "Melting_Curves/meltCurve_tr_B7Z4L4_B7Z4L4_HUMAN_.pdf")</f>
        <v>Melting_Curves/meltCurve_tr_B7Z4L4_B7Z4L4_HUMAN_.pdf</v>
      </c>
      <c r="AA3293" t="s">
        <v>14745</v>
      </c>
      <c r="AB3293" t="s">
        <v>18529</v>
      </c>
    </row>
    <row r="3294" spans="1:28" x14ac:dyDescent="0.25">
      <c r="A3294" t="s">
        <v>3298</v>
      </c>
      <c r="B3294">
        <v>0.98876768158843997</v>
      </c>
      <c r="C3294">
        <v>1.1079135233647599</v>
      </c>
      <c r="D3294">
        <v>0.92031549954065095</v>
      </c>
      <c r="E3294">
        <v>0.75530983433497201</v>
      </c>
      <c r="F3294">
        <v>0.56024701060702398</v>
      </c>
      <c r="G3294">
        <v>0.47506153737635498</v>
      </c>
      <c r="H3294">
        <v>0.40311544662951299</v>
      </c>
      <c r="I3294">
        <v>0.47877878186984302</v>
      </c>
      <c r="J3294">
        <v>0.58861555062158</v>
      </c>
      <c r="K3294">
        <v>0.66742818872663201</v>
      </c>
      <c r="L3294">
        <v>1717.7766424935901</v>
      </c>
      <c r="M3294">
        <v>34.542024262657797</v>
      </c>
      <c r="O3294">
        <v>49.5642602367517</v>
      </c>
      <c r="P3294">
        <v>-8.3502442155340903E-2</v>
      </c>
      <c r="Q3294">
        <v>0.52073205328468797</v>
      </c>
      <c r="R3294">
        <v>0.88517456255301097</v>
      </c>
      <c r="S3294" t="s">
        <v>7126</v>
      </c>
      <c r="T3294" t="s">
        <v>7662</v>
      </c>
      <c r="U3294" t="s">
        <v>7662</v>
      </c>
      <c r="V3294" t="s">
        <v>7662</v>
      </c>
      <c r="W3294">
        <v>4</v>
      </c>
      <c r="X3294" t="s">
        <v>10956</v>
      </c>
      <c r="Y3294">
        <v>0.6783930259871721</v>
      </c>
      <c r="Z3294" t="str">
        <f>HYPERLINK("Melting_Curves/meltCurve_tr_B7Z4M2_B7Z4M2_HUMAN_.pdf", "Melting_Curves/meltCurve_tr_B7Z4M2_B7Z4M2_HUMAN_.pdf")</f>
        <v>Melting_Curves/meltCurve_tr_B7Z4M2_B7Z4M2_HUMAN_.pdf</v>
      </c>
      <c r="AA3294" t="s">
        <v>14746</v>
      </c>
      <c r="AB3294" t="s">
        <v>18530</v>
      </c>
    </row>
    <row r="3295" spans="1:28" x14ac:dyDescent="0.25">
      <c r="A3295" t="s">
        <v>3299</v>
      </c>
      <c r="B3295">
        <v>0.98876768158843997</v>
      </c>
      <c r="C3295">
        <v>1.0605106676302001</v>
      </c>
      <c r="D3295">
        <v>0.97410147131702296</v>
      </c>
      <c r="E3295">
        <v>0.81582181700420997</v>
      </c>
      <c r="F3295">
        <v>0.67016860621391905</v>
      </c>
      <c r="G3295">
        <v>0.26236916414364603</v>
      </c>
      <c r="H3295">
        <v>6.0902868577197698E-2</v>
      </c>
      <c r="I3295">
        <v>4.8784319349665102E-2</v>
      </c>
      <c r="J3295">
        <v>7.6449053862163593E-2</v>
      </c>
      <c r="K3295">
        <v>7.7778669431792999E-2</v>
      </c>
      <c r="L3295">
        <v>1251.8363571376799</v>
      </c>
      <c r="M3295">
        <v>23.161168206549199</v>
      </c>
      <c r="N3295">
        <v>54.255909875180599</v>
      </c>
      <c r="O3295">
        <v>53.650849481097602</v>
      </c>
      <c r="P3295">
        <v>-0.10336393125323701</v>
      </c>
      <c r="Q3295">
        <v>4.22829152976259E-2</v>
      </c>
      <c r="R3295">
        <v>0.99243848125634404</v>
      </c>
      <c r="S3295" t="s">
        <v>7127</v>
      </c>
      <c r="T3295" t="s">
        <v>7662</v>
      </c>
      <c r="U3295" t="s">
        <v>7662</v>
      </c>
      <c r="V3295" t="s">
        <v>7662</v>
      </c>
      <c r="W3295">
        <v>2</v>
      </c>
      <c r="X3295" t="s">
        <v>10957</v>
      </c>
      <c r="Y3295">
        <v>0.50093998383280314</v>
      </c>
      <c r="Z3295" t="str">
        <f>HYPERLINK("Melting_Curves/meltCurve_tr_B7Z583_B7Z583_HUMAN_.pdf", "Melting_Curves/meltCurve_tr_B7Z583_B7Z583_HUMAN_.pdf")</f>
        <v>Melting_Curves/meltCurve_tr_B7Z583_B7Z583_HUMAN_.pdf</v>
      </c>
      <c r="AA3295" t="s">
        <v>14747</v>
      </c>
      <c r="AB3295" t="s">
        <v>18531</v>
      </c>
    </row>
    <row r="3296" spans="1:28" x14ac:dyDescent="0.25">
      <c r="A3296" t="s">
        <v>3300</v>
      </c>
      <c r="B3296">
        <v>0.98876768158843997</v>
      </c>
      <c r="C3296">
        <v>1.1252321665501801</v>
      </c>
      <c r="D3296">
        <v>0.974883578587599</v>
      </c>
      <c r="E3296">
        <v>0.69551696323254597</v>
      </c>
      <c r="F3296">
        <v>0.54047557295038795</v>
      </c>
      <c r="G3296">
        <v>0.34222947420982702</v>
      </c>
      <c r="H3296">
        <v>0.32960558075073498</v>
      </c>
      <c r="I3296">
        <v>0.33792828294363098</v>
      </c>
      <c r="J3296">
        <v>0.39442671170847798</v>
      </c>
      <c r="K3296">
        <v>0.38842774858645002</v>
      </c>
      <c r="L3296">
        <v>1419.0741611205699</v>
      </c>
      <c r="M3296">
        <v>28.082341497443501</v>
      </c>
      <c r="N3296">
        <v>52.893485602408603</v>
      </c>
      <c r="O3296">
        <v>50.278453475112002</v>
      </c>
      <c r="P3296">
        <v>-8.9752044225758595E-2</v>
      </c>
      <c r="Q3296">
        <v>0.35723941438081203</v>
      </c>
      <c r="R3296">
        <v>0.97069171440583502</v>
      </c>
      <c r="S3296" t="s">
        <v>7128</v>
      </c>
      <c r="T3296" t="s">
        <v>7662</v>
      </c>
      <c r="U3296" t="s">
        <v>7662</v>
      </c>
      <c r="V3296" t="s">
        <v>7662</v>
      </c>
      <c r="W3296">
        <v>1</v>
      </c>
      <c r="X3296" t="s">
        <v>10958</v>
      </c>
      <c r="Y3296">
        <v>0.58748408307150546</v>
      </c>
      <c r="Z3296" t="str">
        <f>HYPERLINK("Melting_Curves/meltCurve_tr_B7Z5X7_B7Z5X7_HUMAN_.pdf", "Melting_Curves/meltCurve_tr_B7Z5X7_B7Z5X7_HUMAN_.pdf")</f>
        <v>Melting_Curves/meltCurve_tr_B7Z5X7_B7Z5X7_HUMAN_.pdf</v>
      </c>
      <c r="AA3296" t="s">
        <v>14748</v>
      </c>
      <c r="AB3296" t="s">
        <v>18532</v>
      </c>
    </row>
    <row r="3297" spans="1:28" x14ac:dyDescent="0.25">
      <c r="A3297" t="s">
        <v>3301</v>
      </c>
      <c r="B3297">
        <v>0.98876768158843997</v>
      </c>
      <c r="C3297">
        <v>0.90330150848878799</v>
      </c>
      <c r="D3297">
        <v>0.89321436178941205</v>
      </c>
      <c r="E3297">
        <v>0.610688130215158</v>
      </c>
      <c r="F3297">
        <v>0.230113622113997</v>
      </c>
      <c r="G3297">
        <v>7.6596917455285393E-2</v>
      </c>
      <c r="H3297">
        <v>3.5225783727206798E-2</v>
      </c>
      <c r="I3297">
        <v>2.82679129812918E-2</v>
      </c>
      <c r="J3297">
        <v>3.9841267548788403E-2</v>
      </c>
      <c r="K3297">
        <v>2.3810587160158599E-2</v>
      </c>
      <c r="L3297">
        <v>1224.5972273606101</v>
      </c>
      <c r="M3297">
        <v>24.2322731581128</v>
      </c>
      <c r="N3297">
        <v>50.629434402776702</v>
      </c>
      <c r="O3297">
        <v>50.195407035506904</v>
      </c>
      <c r="P3297">
        <v>-0.118046741730363</v>
      </c>
      <c r="Q3297">
        <v>2.1913621652641001E-2</v>
      </c>
      <c r="R3297">
        <v>0.99340746347058095</v>
      </c>
      <c r="S3297" t="s">
        <v>7129</v>
      </c>
      <c r="T3297" t="s">
        <v>7662</v>
      </c>
      <c r="U3297" t="s">
        <v>7662</v>
      </c>
      <c r="V3297" t="s">
        <v>7662</v>
      </c>
      <c r="W3297">
        <v>19</v>
      </c>
      <c r="X3297" t="s">
        <v>10959</v>
      </c>
      <c r="Y3297">
        <v>0.37476341131651958</v>
      </c>
      <c r="Z3297" t="str">
        <f>HYPERLINK("Melting_Curves/meltCurve_tr_B7Z6B8_B7Z6B8_HUMAN_.pdf", "Melting_Curves/meltCurve_tr_B7Z6B8_B7Z6B8_HUMAN_.pdf")</f>
        <v>Melting_Curves/meltCurve_tr_B7Z6B8_B7Z6B8_HUMAN_.pdf</v>
      </c>
      <c r="AA3297" t="s">
        <v>14749</v>
      </c>
      <c r="AB3297" t="s">
        <v>18533</v>
      </c>
    </row>
    <row r="3298" spans="1:28" x14ac:dyDescent="0.25">
      <c r="A3298" t="s">
        <v>3302</v>
      </c>
      <c r="B3298">
        <v>0.98876768158843997</v>
      </c>
      <c r="C3298">
        <v>0.95739759775782196</v>
      </c>
      <c r="D3298">
        <v>0.85963985228686202</v>
      </c>
      <c r="E3298">
        <v>0.76119201917704205</v>
      </c>
      <c r="F3298">
        <v>0.71850607947795797</v>
      </c>
      <c r="G3298">
        <v>0.473812689020777</v>
      </c>
      <c r="H3298">
        <v>0.28467388313041597</v>
      </c>
      <c r="I3298">
        <v>0.14514664290850601</v>
      </c>
      <c r="J3298">
        <v>7.1926966398932299E-2</v>
      </c>
      <c r="K3298">
        <v>5.1021899522306402E-2</v>
      </c>
      <c r="L3298">
        <v>682.53333971779205</v>
      </c>
      <c r="M3298">
        <v>12.204024869350601</v>
      </c>
      <c r="N3298">
        <v>55.9269079676411</v>
      </c>
      <c r="O3298">
        <v>54.488834003468199</v>
      </c>
      <c r="P3298">
        <v>-5.6005880750681497E-2</v>
      </c>
      <c r="Q3298">
        <v>0</v>
      </c>
      <c r="R3298">
        <v>0.98680249834881095</v>
      </c>
      <c r="S3298" t="s">
        <v>7130</v>
      </c>
      <c r="T3298" t="s">
        <v>7662</v>
      </c>
      <c r="U3298" t="s">
        <v>7662</v>
      </c>
      <c r="V3298" t="s">
        <v>7662</v>
      </c>
      <c r="W3298">
        <v>4</v>
      </c>
      <c r="X3298" t="s">
        <v>10960</v>
      </c>
      <c r="Y3298">
        <v>0.5513712728543877</v>
      </c>
      <c r="Z3298" t="str">
        <f>HYPERLINK("Melting_Curves/meltCurve_tr_B7Z729_B7Z729_HUMAN_.pdf", "Melting_Curves/meltCurve_tr_B7Z729_B7Z729_HUMAN_.pdf")</f>
        <v>Melting_Curves/meltCurve_tr_B7Z729_B7Z729_HUMAN_.pdf</v>
      </c>
      <c r="AA3298" t="s">
        <v>14750</v>
      </c>
      <c r="AB3298" t="s">
        <v>18534</v>
      </c>
    </row>
    <row r="3299" spans="1:28" x14ac:dyDescent="0.25">
      <c r="A3299" t="s">
        <v>3303</v>
      </c>
      <c r="B3299">
        <v>0.98876768158843997</v>
      </c>
      <c r="C3299">
        <v>0.87558840896629098</v>
      </c>
      <c r="D3299">
        <v>0.94013360774428001</v>
      </c>
      <c r="E3299">
        <v>0.76419450557874202</v>
      </c>
      <c r="F3299">
        <v>0.66360101576793296</v>
      </c>
      <c r="G3299">
        <v>0.499516425065474</v>
      </c>
      <c r="H3299">
        <v>0.38183282017872</v>
      </c>
      <c r="I3299">
        <v>0.38155833955348301</v>
      </c>
      <c r="J3299">
        <v>0.62209735437043701</v>
      </c>
      <c r="K3299">
        <v>0.40806443617300198</v>
      </c>
      <c r="L3299">
        <v>858.39896769761299</v>
      </c>
      <c r="M3299">
        <v>16.840371016139699</v>
      </c>
      <c r="N3299">
        <v>57.976096285400999</v>
      </c>
      <c r="O3299">
        <v>50.270208432410698</v>
      </c>
      <c r="P3299">
        <v>-4.7353775682009901E-2</v>
      </c>
      <c r="Q3299">
        <v>0.43461313774537702</v>
      </c>
      <c r="R3299">
        <v>0.88301880992332904</v>
      </c>
      <c r="S3299" t="s">
        <v>7131</v>
      </c>
      <c r="T3299" t="s">
        <v>7662</v>
      </c>
      <c r="U3299" t="s">
        <v>7662</v>
      </c>
      <c r="V3299" t="s">
        <v>7662</v>
      </c>
      <c r="W3299">
        <v>8</v>
      </c>
      <c r="X3299" t="s">
        <v>10961</v>
      </c>
      <c r="Y3299">
        <v>0.65213675927083092</v>
      </c>
      <c r="Z3299" t="str">
        <f>HYPERLINK("Melting_Curves/meltCurve_tr_B7Z7F3_B7Z7F3_HUMAN_.pdf", "Melting_Curves/meltCurve_tr_B7Z7F3_B7Z7F3_HUMAN_.pdf")</f>
        <v>Melting_Curves/meltCurve_tr_B7Z7F3_B7Z7F3_HUMAN_.pdf</v>
      </c>
      <c r="AA3299" t="s">
        <v>14751</v>
      </c>
      <c r="AB3299" t="s">
        <v>18535</v>
      </c>
    </row>
    <row r="3300" spans="1:28" x14ac:dyDescent="0.25">
      <c r="A3300" t="s">
        <v>3304</v>
      </c>
      <c r="B3300">
        <v>0.98876768158843997</v>
      </c>
      <c r="C3300">
        <v>0.99673878462625898</v>
      </c>
      <c r="D3300">
        <v>0.88247604089978104</v>
      </c>
      <c r="E3300">
        <v>0.619056746105482</v>
      </c>
      <c r="F3300">
        <v>0.55361804758871302</v>
      </c>
      <c r="G3300">
        <v>0.315586107162524</v>
      </c>
      <c r="H3300">
        <v>0.153043505411216</v>
      </c>
      <c r="I3300">
        <v>6.3065937481286805E-2</v>
      </c>
      <c r="J3300">
        <v>6.8339876099785493E-2</v>
      </c>
      <c r="K3300">
        <v>6.9119146436883203E-2</v>
      </c>
      <c r="L3300">
        <v>671.96337279525096</v>
      </c>
      <c r="M3300">
        <v>12.653836333563</v>
      </c>
      <c r="N3300">
        <v>53.103534815039403</v>
      </c>
      <c r="O3300">
        <v>51.829646239394201</v>
      </c>
      <c r="P3300">
        <v>-6.1047683019405698E-2</v>
      </c>
      <c r="Q3300">
        <v>0</v>
      </c>
      <c r="R3300">
        <v>0.991503431410796</v>
      </c>
      <c r="S3300" t="s">
        <v>7132</v>
      </c>
      <c r="T3300" t="s">
        <v>7662</v>
      </c>
      <c r="U3300" t="s">
        <v>7662</v>
      </c>
      <c r="V3300" t="s">
        <v>7662</v>
      </c>
      <c r="W3300">
        <v>7</v>
      </c>
      <c r="X3300" t="s">
        <v>10962</v>
      </c>
      <c r="Y3300">
        <v>0.46337856356962059</v>
      </c>
      <c r="Z3300" t="str">
        <f>HYPERLINK("Melting_Curves/meltCurve_tr_B7Z7F9_B7Z7F9_HUMAN_.pdf", "Melting_Curves/meltCurve_tr_B7Z7F9_B7Z7F9_HUMAN_.pdf")</f>
        <v>Melting_Curves/meltCurve_tr_B7Z7F9_B7Z7F9_HUMAN_.pdf</v>
      </c>
      <c r="AA3300" t="s">
        <v>14752</v>
      </c>
      <c r="AB3300" t="s">
        <v>18536</v>
      </c>
    </row>
    <row r="3301" spans="1:28" x14ac:dyDescent="0.25">
      <c r="A3301" t="s">
        <v>3305</v>
      </c>
      <c r="B3301">
        <v>0.98876768158843997</v>
      </c>
      <c r="C3301">
        <v>0.86979857797425897</v>
      </c>
      <c r="D3301">
        <v>0.91396348839470398</v>
      </c>
      <c r="E3301">
        <v>0.40666959831624</v>
      </c>
      <c r="F3301">
        <v>0.192310677882465</v>
      </c>
      <c r="G3301">
        <v>0.10892178027426699</v>
      </c>
      <c r="H3301">
        <v>7.3731882140084706E-2</v>
      </c>
      <c r="I3301">
        <v>6.5221879713062994E-2</v>
      </c>
      <c r="J3301">
        <v>7.6133288107318495E-2</v>
      </c>
      <c r="K3301">
        <v>5.4669388290130197E-2</v>
      </c>
      <c r="L3301">
        <v>1316.7626130005101</v>
      </c>
      <c r="M3301">
        <v>26.813699721735802</v>
      </c>
      <c r="N3301">
        <v>49.384106402463999</v>
      </c>
      <c r="O3301">
        <v>48.837126526103098</v>
      </c>
      <c r="P3301">
        <v>-0.12770212106522799</v>
      </c>
      <c r="Q3301">
        <v>6.9648546611981998E-2</v>
      </c>
      <c r="R3301">
        <v>0.98888489847786998</v>
      </c>
      <c r="S3301" t="s">
        <v>7133</v>
      </c>
      <c r="T3301" t="s">
        <v>7662</v>
      </c>
      <c r="U3301" t="s">
        <v>7662</v>
      </c>
      <c r="V3301" t="s">
        <v>7662</v>
      </c>
      <c r="W3301">
        <v>10</v>
      </c>
      <c r="X3301" t="s">
        <v>10963</v>
      </c>
      <c r="Y3301">
        <v>0.3592425156375823</v>
      </c>
      <c r="Z3301" t="str">
        <f>HYPERLINK("Melting_Curves/meltCurve_tr_B7Z815_B7Z815_HUMAN_.pdf", "Melting_Curves/meltCurve_tr_B7Z815_B7Z815_HUMAN_.pdf")</f>
        <v>Melting_Curves/meltCurve_tr_B7Z815_B7Z815_HUMAN_.pdf</v>
      </c>
      <c r="AA3301" t="s">
        <v>14753</v>
      </c>
      <c r="AB3301" t="s">
        <v>18537</v>
      </c>
    </row>
    <row r="3302" spans="1:28" x14ac:dyDescent="0.25">
      <c r="A3302" t="s">
        <v>3306</v>
      </c>
      <c r="B3302">
        <v>0.98876768158843997</v>
      </c>
      <c r="C3302">
        <v>0.92896030672971996</v>
      </c>
      <c r="D3302">
        <v>0.74806172827909401</v>
      </c>
      <c r="E3302">
        <v>0.59792417306002399</v>
      </c>
      <c r="F3302">
        <v>0.360819575218223</v>
      </c>
      <c r="G3302">
        <v>0.21729688958132501</v>
      </c>
      <c r="H3302">
        <v>0.12918167322513599</v>
      </c>
      <c r="I3302">
        <v>9.2055656068536093E-2</v>
      </c>
      <c r="J3302">
        <v>0.13558094423070799</v>
      </c>
      <c r="K3302">
        <v>0.118004997353366</v>
      </c>
      <c r="L3302">
        <v>702.45054956560398</v>
      </c>
      <c r="M3302">
        <v>14.015517126865401</v>
      </c>
      <c r="N3302">
        <v>50.757342369806899</v>
      </c>
      <c r="O3302">
        <v>49.132261635819397</v>
      </c>
      <c r="P3302">
        <v>-6.5565547919901296E-2</v>
      </c>
      <c r="Q3302">
        <v>8.0745157417379906E-2</v>
      </c>
      <c r="R3302">
        <v>0.99299900927264495</v>
      </c>
      <c r="S3302" t="s">
        <v>7134</v>
      </c>
      <c r="T3302" t="s">
        <v>7662</v>
      </c>
      <c r="U3302" t="s">
        <v>7662</v>
      </c>
      <c r="V3302" t="s">
        <v>7662</v>
      </c>
      <c r="W3302">
        <v>4</v>
      </c>
      <c r="X3302" t="s">
        <v>10964</v>
      </c>
      <c r="Y3302">
        <v>0.41538024737844381</v>
      </c>
      <c r="Z3302" t="str">
        <f>HYPERLINK("Melting_Curves/meltCurve_tr_B7Z848_B7Z848_HUMAN_.pdf", "Melting_Curves/meltCurve_tr_B7Z848_B7Z848_HUMAN_.pdf")</f>
        <v>Melting_Curves/meltCurve_tr_B7Z848_B7Z848_HUMAN_.pdf</v>
      </c>
      <c r="AA3302" t="s">
        <v>14754</v>
      </c>
      <c r="AB3302" t="s">
        <v>18538</v>
      </c>
    </row>
    <row r="3303" spans="1:28" x14ac:dyDescent="0.25">
      <c r="A3303" t="s">
        <v>3307</v>
      </c>
      <c r="B3303">
        <v>0.98876768158843997</v>
      </c>
      <c r="C3303">
        <v>0.96131916589359301</v>
      </c>
      <c r="D3303">
        <v>0.781190594657588</v>
      </c>
      <c r="E3303">
        <v>0.38740330384732102</v>
      </c>
      <c r="F3303">
        <v>0.19900852549213399</v>
      </c>
      <c r="G3303">
        <v>0.122743483012539</v>
      </c>
      <c r="H3303">
        <v>9.2059801847759998E-2</v>
      </c>
      <c r="I3303">
        <v>0.10033468732980599</v>
      </c>
      <c r="J3303">
        <v>0.195389054349102</v>
      </c>
      <c r="K3303">
        <v>8.5465021385129597E-2</v>
      </c>
      <c r="L3303">
        <v>1157.01479308846</v>
      </c>
      <c r="M3303">
        <v>23.994464090451</v>
      </c>
      <c r="N3303">
        <v>48.741002316049801</v>
      </c>
      <c r="O3303">
        <v>47.888884564155497</v>
      </c>
      <c r="P3303">
        <v>-0.11109565537963401</v>
      </c>
      <c r="Q3303">
        <v>0.11310162480453299</v>
      </c>
      <c r="R3303">
        <v>0.99304452992010395</v>
      </c>
      <c r="S3303" t="s">
        <v>7135</v>
      </c>
      <c r="T3303" t="s">
        <v>7662</v>
      </c>
      <c r="U3303" t="s">
        <v>7662</v>
      </c>
      <c r="V3303" t="s">
        <v>7662</v>
      </c>
      <c r="W3303">
        <v>1</v>
      </c>
      <c r="X3303" t="s">
        <v>10965</v>
      </c>
      <c r="Y3303">
        <v>0.36466027315869198</v>
      </c>
      <c r="Z3303" t="str">
        <f>HYPERLINK("Melting_Curves/meltCurve_tr_B7Z8K9_B7Z8K9_HUMAN_.pdf", "Melting_Curves/meltCurve_tr_B7Z8K9_B7Z8K9_HUMAN_.pdf")</f>
        <v>Melting_Curves/meltCurve_tr_B7Z8K9_B7Z8K9_HUMAN_.pdf</v>
      </c>
      <c r="AA3303" t="s">
        <v>14755</v>
      </c>
      <c r="AB3303" t="s">
        <v>18539</v>
      </c>
    </row>
    <row r="3304" spans="1:28" x14ac:dyDescent="0.25">
      <c r="A3304" t="s">
        <v>3308</v>
      </c>
      <c r="B3304">
        <v>0.98876768158843997</v>
      </c>
      <c r="C3304">
        <v>0.85500597189150196</v>
      </c>
      <c r="D3304">
        <v>0.78887509374445897</v>
      </c>
      <c r="E3304">
        <v>0.66566981535974301</v>
      </c>
      <c r="F3304">
        <v>0.37442897902254801</v>
      </c>
      <c r="G3304">
        <v>0.22143562375087</v>
      </c>
      <c r="H3304">
        <v>0.14543447668932299</v>
      </c>
      <c r="I3304">
        <v>0.110276138387859</v>
      </c>
      <c r="J3304">
        <v>0.176588329482012</v>
      </c>
      <c r="K3304">
        <v>0.12925616963874101</v>
      </c>
      <c r="L3304">
        <v>688.26283416529202</v>
      </c>
      <c r="M3304">
        <v>13.623758763510301</v>
      </c>
      <c r="N3304">
        <v>51.287687961437598</v>
      </c>
      <c r="O3304">
        <v>49.468122577167101</v>
      </c>
      <c r="P3304">
        <v>-6.2504537146818404E-2</v>
      </c>
      <c r="Q3304">
        <v>9.23130098765471E-2</v>
      </c>
      <c r="R3304">
        <v>0.98105869578139604</v>
      </c>
      <c r="S3304" t="s">
        <v>7136</v>
      </c>
      <c r="T3304" t="s">
        <v>7662</v>
      </c>
      <c r="U3304" t="s">
        <v>7662</v>
      </c>
      <c r="V3304" t="s">
        <v>7662</v>
      </c>
      <c r="W3304">
        <v>19</v>
      </c>
      <c r="X3304" t="s">
        <v>10966</v>
      </c>
      <c r="Y3304">
        <v>0.43558541769518622</v>
      </c>
      <c r="Z3304" t="str">
        <f>HYPERLINK("Melting_Curves/meltCurve_tr_B7Z8V7_B7Z8V7_HUMAN_.pdf", "Melting_Curves/meltCurve_tr_B7Z8V7_B7Z8V7_HUMAN_.pdf")</f>
        <v>Melting_Curves/meltCurve_tr_B7Z8V7_B7Z8V7_HUMAN_.pdf</v>
      </c>
      <c r="AA3304" t="s">
        <v>14756</v>
      </c>
      <c r="AB3304" t="s">
        <v>18540</v>
      </c>
    </row>
    <row r="3305" spans="1:28" x14ac:dyDescent="0.25">
      <c r="A3305" t="s">
        <v>3309</v>
      </c>
      <c r="B3305">
        <v>0.98876768158843997</v>
      </c>
      <c r="C3305">
        <v>0.86561183985347201</v>
      </c>
      <c r="D3305">
        <v>0.61743576748651097</v>
      </c>
      <c r="E3305">
        <v>0.64433279128768695</v>
      </c>
      <c r="F3305">
        <v>0.382509446198179</v>
      </c>
      <c r="G3305">
        <v>0.37818439541607901</v>
      </c>
      <c r="H3305">
        <v>0.122863529417662</v>
      </c>
      <c r="I3305">
        <v>7.2892923744362806E-2</v>
      </c>
      <c r="J3305">
        <v>6.6686127908991394E-2</v>
      </c>
      <c r="K3305">
        <v>8.3541152524073597E-2</v>
      </c>
      <c r="L3305">
        <v>484.90350924800703</v>
      </c>
      <c r="M3305">
        <v>9.4875707661076198</v>
      </c>
      <c r="N3305">
        <v>51.1093265752869</v>
      </c>
      <c r="O3305">
        <v>48.993230709390502</v>
      </c>
      <c r="P3305">
        <v>-4.8441447503054201E-2</v>
      </c>
      <c r="Q3305">
        <v>0</v>
      </c>
      <c r="R3305">
        <v>0.95645535612743704</v>
      </c>
      <c r="S3305" t="s">
        <v>7137</v>
      </c>
      <c r="T3305" t="s">
        <v>7662</v>
      </c>
      <c r="U3305" t="s">
        <v>7662</v>
      </c>
      <c r="V3305" t="s">
        <v>7662</v>
      </c>
      <c r="W3305">
        <v>2</v>
      </c>
      <c r="X3305" t="s">
        <v>10967</v>
      </c>
      <c r="Y3305">
        <v>0.41417584937202723</v>
      </c>
      <c r="Z3305" t="str">
        <f>HYPERLINK("Melting_Curves/meltCurve_tr_B7Z9K1_B7Z9K1_HUMAN_.pdf", "Melting_Curves/meltCurve_tr_B7Z9K1_B7Z9K1_HUMAN_.pdf")</f>
        <v>Melting_Curves/meltCurve_tr_B7Z9K1_B7Z9K1_HUMAN_.pdf</v>
      </c>
      <c r="AA3305" t="s">
        <v>14757</v>
      </c>
      <c r="AB3305" t="s">
        <v>18541</v>
      </c>
    </row>
    <row r="3306" spans="1:28" x14ac:dyDescent="0.25">
      <c r="A3306" t="s">
        <v>3310</v>
      </c>
      <c r="B3306">
        <v>0.98876768158843997</v>
      </c>
      <c r="C3306">
        <v>0.97393636612535295</v>
      </c>
      <c r="D3306">
        <v>0</v>
      </c>
      <c r="E3306">
        <v>0.63580355303237002</v>
      </c>
      <c r="F3306">
        <v>0.48478264843790098</v>
      </c>
      <c r="G3306">
        <v>0.19120516938224899</v>
      </c>
      <c r="H3306">
        <v>6.9824625334405005E-2</v>
      </c>
      <c r="I3306">
        <v>3.5298681196774498E-2</v>
      </c>
      <c r="J3306">
        <v>2.55418984596304E-2</v>
      </c>
      <c r="K3306">
        <v>3.97154818625177E-2</v>
      </c>
      <c r="L3306">
        <v>432.76903822520597</v>
      </c>
      <c r="M3306">
        <v>9.0431040502278606</v>
      </c>
      <c r="N3306">
        <v>47.856249516221801</v>
      </c>
      <c r="O3306">
        <v>45.689992654359202</v>
      </c>
      <c r="P3306">
        <v>-4.9516065730316999E-2</v>
      </c>
      <c r="Q3306">
        <v>0</v>
      </c>
      <c r="R3306">
        <v>0.63496404001868501</v>
      </c>
      <c r="S3306" t="s">
        <v>7138</v>
      </c>
      <c r="T3306" t="s">
        <v>7662</v>
      </c>
      <c r="U3306" t="s">
        <v>7662</v>
      </c>
      <c r="V3306" t="s">
        <v>7662</v>
      </c>
      <c r="W3306">
        <v>1</v>
      </c>
      <c r="X3306" t="s">
        <v>10968</v>
      </c>
      <c r="Y3306">
        <v>0.32417587209971982</v>
      </c>
      <c r="Z3306" t="str">
        <f>HYPERLINK("Melting_Curves/meltCurve_tr_B7ZA47_B7ZA47_HUMAN_.pdf", "Melting_Curves/meltCurve_tr_B7ZA47_B7ZA47_HUMAN_.pdf")</f>
        <v>Melting_Curves/meltCurve_tr_B7ZA47_B7ZA47_HUMAN_.pdf</v>
      </c>
      <c r="AA3306" t="s">
        <v>14758</v>
      </c>
      <c r="AB3306" t="s">
        <v>18542</v>
      </c>
    </row>
    <row r="3307" spans="1:28" x14ac:dyDescent="0.25">
      <c r="A3307" t="s">
        <v>3311</v>
      </c>
      <c r="B3307">
        <v>0.98876768158843997</v>
      </c>
      <c r="C3307">
        <v>1.0315431584538499</v>
      </c>
      <c r="D3307">
        <v>0.52874679454432805</v>
      </c>
      <c r="E3307">
        <v>0.71988748024419702</v>
      </c>
      <c r="F3307">
        <v>0.798097028385931</v>
      </c>
      <c r="G3307">
        <v>0.56948851891809804</v>
      </c>
      <c r="H3307">
        <v>0.38390116904907801</v>
      </c>
      <c r="I3307">
        <v>0.50174163086444801</v>
      </c>
      <c r="J3307">
        <v>0.67769186399867198</v>
      </c>
      <c r="K3307">
        <v>0.66122010754391403</v>
      </c>
      <c r="L3307">
        <v>11080.964894737501</v>
      </c>
      <c r="M3307">
        <v>250</v>
      </c>
      <c r="O3307">
        <v>44.321017847949101</v>
      </c>
      <c r="P3307">
        <v>-0.556883677603765</v>
      </c>
      <c r="Q3307">
        <v>0.60509353053973902</v>
      </c>
      <c r="R3307">
        <v>0.674312996479842</v>
      </c>
      <c r="S3307" t="s">
        <v>7139</v>
      </c>
      <c r="T3307" t="s">
        <v>7662</v>
      </c>
      <c r="U3307" t="s">
        <v>7662</v>
      </c>
      <c r="V3307" t="s">
        <v>7662</v>
      </c>
      <c r="W3307">
        <v>5</v>
      </c>
      <c r="X3307" t="s">
        <v>10969</v>
      </c>
      <c r="Y3307">
        <v>0.66204158675812741</v>
      </c>
      <c r="Z3307" t="str">
        <f>HYPERLINK("Melting_Curves/meltCurve_tr_B7ZM82_B7ZM82_HUMAN_.pdf", "Melting_Curves/meltCurve_tr_B7ZM82_B7ZM82_HUMAN_.pdf")</f>
        <v>Melting_Curves/meltCurve_tr_B7ZM82_B7ZM82_HUMAN_.pdf</v>
      </c>
      <c r="AA3307" t="s">
        <v>14759</v>
      </c>
      <c r="AB3307" t="s">
        <v>18543</v>
      </c>
    </row>
    <row r="3308" spans="1:28" x14ac:dyDescent="0.25">
      <c r="A3308" t="s">
        <v>3312</v>
      </c>
      <c r="B3308">
        <v>0.98876768158843997</v>
      </c>
      <c r="C3308">
        <v>0.73630649624419797</v>
      </c>
      <c r="D3308">
        <v>0.72409126237181198</v>
      </c>
      <c r="E3308">
        <v>0.37028328571597402</v>
      </c>
      <c r="F3308">
        <v>0.12869088860539499</v>
      </c>
      <c r="G3308">
        <v>4.8892115381601799E-2</v>
      </c>
      <c r="H3308">
        <v>4.3132008977211998E-2</v>
      </c>
      <c r="I3308">
        <v>3.6370427429704297E-2</v>
      </c>
      <c r="J3308">
        <v>1.7099574483835599E-2</v>
      </c>
      <c r="K3308">
        <v>1.6685985039998501E-2</v>
      </c>
      <c r="L3308">
        <v>734.16376750512302</v>
      </c>
      <c r="M3308">
        <v>15.3376802119364</v>
      </c>
      <c r="N3308">
        <v>47.866676026591897</v>
      </c>
      <c r="O3308">
        <v>47.075131385219599</v>
      </c>
      <c r="P3308">
        <v>-8.1460780441754699E-2</v>
      </c>
      <c r="Q3308">
        <v>0</v>
      </c>
      <c r="R3308">
        <v>0.97897513964855698</v>
      </c>
      <c r="S3308" t="s">
        <v>7140</v>
      </c>
      <c r="T3308" t="s">
        <v>7662</v>
      </c>
      <c r="U3308" t="s">
        <v>7662</v>
      </c>
      <c r="V3308" t="s">
        <v>7662</v>
      </c>
      <c r="W3308">
        <v>1</v>
      </c>
      <c r="X3308" t="s">
        <v>10970</v>
      </c>
      <c r="Y3308">
        <v>0.28699355771527618</v>
      </c>
      <c r="Z3308" t="str">
        <f>HYPERLINK("Melting_Curves/meltCurve_tr_B8K288_B8K288_HUMAN_.pdf", "Melting_Curves/meltCurve_tr_B8K288_B8K288_HUMAN_.pdf")</f>
        <v>Melting_Curves/meltCurve_tr_B8K288_B8K288_HUMAN_.pdf</v>
      </c>
      <c r="AA3308" t="s">
        <v>14760</v>
      </c>
      <c r="AB3308" t="s">
        <v>18544</v>
      </c>
    </row>
    <row r="3309" spans="1:28" x14ac:dyDescent="0.25">
      <c r="A3309" t="s">
        <v>3313</v>
      </c>
      <c r="B3309">
        <v>0.98876768158843997</v>
      </c>
      <c r="C3309">
        <v>0.91063972360276302</v>
      </c>
      <c r="D3309">
        <v>0.86755714275342399</v>
      </c>
      <c r="E3309">
        <v>0.81276441829586799</v>
      </c>
      <c r="F3309">
        <v>0.55188325308657604</v>
      </c>
      <c r="G3309">
        <v>0.40578516649392099</v>
      </c>
      <c r="H3309">
        <v>0.25184131710385999</v>
      </c>
      <c r="I3309">
        <v>0.25003824685547898</v>
      </c>
      <c r="J3309">
        <v>0.38441186359232099</v>
      </c>
      <c r="K3309">
        <v>0.33894618508159302</v>
      </c>
      <c r="L3309">
        <v>964.89783501672798</v>
      </c>
      <c r="M3309">
        <v>18.672758338249899</v>
      </c>
      <c r="N3309">
        <v>54.225130174515101</v>
      </c>
      <c r="O3309">
        <v>51.092372184172703</v>
      </c>
      <c r="P3309">
        <v>-6.4664480175226399E-2</v>
      </c>
      <c r="Q3309">
        <v>0.292290813039292</v>
      </c>
      <c r="R3309">
        <v>0.95713287808527803</v>
      </c>
      <c r="S3309" t="s">
        <v>7141</v>
      </c>
      <c r="T3309" t="s">
        <v>7662</v>
      </c>
      <c r="U3309" t="s">
        <v>7662</v>
      </c>
      <c r="V3309" t="s">
        <v>7662</v>
      </c>
      <c r="W3309">
        <v>1</v>
      </c>
      <c r="X3309" t="s">
        <v>10971</v>
      </c>
      <c r="Y3309">
        <v>0.57877712127377257</v>
      </c>
      <c r="Z3309" t="str">
        <f>HYPERLINK("Melting_Curves/meltCurve_tr_B8ZZF5_B8ZZF5_HUMAN_.pdf", "Melting_Curves/meltCurve_tr_B8ZZF5_B8ZZF5_HUMAN_.pdf")</f>
        <v>Melting_Curves/meltCurve_tr_B8ZZF5_B8ZZF5_HUMAN_.pdf</v>
      </c>
      <c r="AA3309" t="s">
        <v>14761</v>
      </c>
      <c r="AB3309" t="s">
        <v>18545</v>
      </c>
    </row>
    <row r="3310" spans="1:28" x14ac:dyDescent="0.25">
      <c r="A3310" t="s">
        <v>3314</v>
      </c>
      <c r="B3310">
        <v>0.98876768158843997</v>
      </c>
      <c r="C3310">
        <v>0.90215593670772898</v>
      </c>
      <c r="D3310">
        <v>0.78469099282188104</v>
      </c>
      <c r="E3310">
        <v>0.42772122426849002</v>
      </c>
      <c r="F3310">
        <v>0.20279417056771701</v>
      </c>
      <c r="G3310">
        <v>9.8500426444005904E-2</v>
      </c>
      <c r="H3310">
        <v>8.4931791099819604E-2</v>
      </c>
      <c r="I3310">
        <v>7.4423177933848297E-2</v>
      </c>
      <c r="J3310">
        <v>9.7057892337558196E-2</v>
      </c>
      <c r="K3310">
        <v>6.1546088473260999E-2</v>
      </c>
      <c r="L3310">
        <v>963.59211636583996</v>
      </c>
      <c r="M3310">
        <v>19.801512407571298</v>
      </c>
      <c r="N3310">
        <v>49.015302012653997</v>
      </c>
      <c r="O3310">
        <v>48.174401420931702</v>
      </c>
      <c r="P3310">
        <v>-9.5938611631967805E-2</v>
      </c>
      <c r="Q3310">
        <v>6.6408977070636102E-2</v>
      </c>
      <c r="R3310">
        <v>0.99762465448311899</v>
      </c>
      <c r="S3310" t="s">
        <v>7142</v>
      </c>
      <c r="T3310" t="s">
        <v>7662</v>
      </c>
      <c r="U3310" t="s">
        <v>7662</v>
      </c>
      <c r="V3310" t="s">
        <v>7662</v>
      </c>
      <c r="W3310">
        <v>10</v>
      </c>
      <c r="X3310" t="s">
        <v>10972</v>
      </c>
      <c r="Y3310">
        <v>0.34938282130387682</v>
      </c>
      <c r="Z3310" t="str">
        <f>HYPERLINK("Melting_Curves/meltCurve_tr_B8ZZG1_B8ZZG1_HUMAN_.pdf", "Melting_Curves/meltCurve_tr_B8ZZG1_B8ZZG1_HUMAN_.pdf")</f>
        <v>Melting_Curves/meltCurve_tr_B8ZZG1_B8ZZG1_HUMAN_.pdf</v>
      </c>
      <c r="AA3310" t="s">
        <v>14762</v>
      </c>
      <c r="AB3310" t="s">
        <v>18546</v>
      </c>
    </row>
    <row r="3311" spans="1:28" x14ac:dyDescent="0.25">
      <c r="A3311" t="s">
        <v>3315</v>
      </c>
      <c r="B3311">
        <v>0.98876768158843997</v>
      </c>
      <c r="C3311">
        <v>1.1032542973812201</v>
      </c>
      <c r="D3311">
        <v>0.85548150389330502</v>
      </c>
      <c r="E3311">
        <v>0.80594542328383201</v>
      </c>
      <c r="F3311">
        <v>1.0416466975437799</v>
      </c>
      <c r="G3311">
        <v>0.83270455304833002</v>
      </c>
      <c r="H3311">
        <v>0.63106896040114902</v>
      </c>
      <c r="I3311">
        <v>0.65532350397910999</v>
      </c>
      <c r="J3311">
        <v>0.85357747817734697</v>
      </c>
      <c r="K3311">
        <v>1.1835067045056</v>
      </c>
      <c r="L3311">
        <v>11187.4399443276</v>
      </c>
      <c r="M3311">
        <v>250</v>
      </c>
      <c r="O3311">
        <v>44.746914637150198</v>
      </c>
      <c r="P3311">
        <v>-0.19919332117895799</v>
      </c>
      <c r="Q3311">
        <v>0.85738747427233197</v>
      </c>
      <c r="R3311">
        <v>0.176127442919256</v>
      </c>
      <c r="S3311" t="s">
        <v>7143</v>
      </c>
      <c r="T3311" t="s">
        <v>7662</v>
      </c>
      <c r="U3311" t="s">
        <v>7662</v>
      </c>
      <c r="V3311" t="s">
        <v>7662</v>
      </c>
      <c r="W3311">
        <v>7</v>
      </c>
      <c r="X3311" t="s">
        <v>10973</v>
      </c>
      <c r="Y3311">
        <v>0.87997784898058817</v>
      </c>
      <c r="Z3311" t="str">
        <f>HYPERLINK("Melting_Curves/meltCurve_tr_B8ZZQ6_B8ZZQ6_HUMAN_.pdf", "Melting_Curves/meltCurve_tr_B8ZZQ6_B8ZZQ6_HUMAN_.pdf")</f>
        <v>Melting_Curves/meltCurve_tr_B8ZZQ6_B8ZZQ6_HUMAN_.pdf</v>
      </c>
      <c r="AA3311" t="s">
        <v>14763</v>
      </c>
      <c r="AB3311" t="s">
        <v>18547</v>
      </c>
    </row>
    <row r="3312" spans="1:28" x14ac:dyDescent="0.25">
      <c r="A3312" t="s">
        <v>3316</v>
      </c>
      <c r="B3312">
        <v>0.98876768158843997</v>
      </c>
      <c r="C3312">
        <v>1.12020818428777</v>
      </c>
      <c r="D3312">
        <v>0.96271065865739003</v>
      </c>
      <c r="E3312">
        <v>0.80565268337417595</v>
      </c>
      <c r="F3312">
        <v>0.89096027486424501</v>
      </c>
      <c r="G3312">
        <v>0.61590149017543505</v>
      </c>
      <c r="H3312">
        <v>0.40799012387272798</v>
      </c>
      <c r="I3312">
        <v>0.43498457817164199</v>
      </c>
      <c r="J3312">
        <v>0.53845945347588198</v>
      </c>
      <c r="K3312">
        <v>0.51818454471680397</v>
      </c>
      <c r="L3312">
        <v>1192.9274964920701</v>
      </c>
      <c r="M3312">
        <v>21.9550584801821</v>
      </c>
      <c r="N3312">
        <v>61.726985839535601</v>
      </c>
      <c r="O3312">
        <v>53.890220786632099</v>
      </c>
      <c r="P3312">
        <v>-5.4600246356789797E-2</v>
      </c>
      <c r="Q3312">
        <v>0.46393162493669898</v>
      </c>
      <c r="R3312">
        <v>0.90137398546722403</v>
      </c>
      <c r="S3312" t="s">
        <v>7144</v>
      </c>
      <c r="T3312" t="s">
        <v>7662</v>
      </c>
      <c r="U3312" t="s">
        <v>7662</v>
      </c>
      <c r="V3312" t="s">
        <v>7662</v>
      </c>
      <c r="W3312">
        <v>2</v>
      </c>
      <c r="X3312" t="s">
        <v>10974</v>
      </c>
      <c r="Y3312">
        <v>0.72630612722702126</v>
      </c>
      <c r="Z3312" t="str">
        <f>HYPERLINK("Melting_Curves/meltCurve_tr_B8ZZT4_B8ZZT4_HUMAN_.pdf", "Melting_Curves/meltCurve_tr_B8ZZT4_B8ZZT4_HUMAN_.pdf")</f>
        <v>Melting_Curves/meltCurve_tr_B8ZZT4_B8ZZT4_HUMAN_.pdf</v>
      </c>
      <c r="AA3312" t="s">
        <v>14764</v>
      </c>
      <c r="AB3312" t="s">
        <v>18548</v>
      </c>
    </row>
    <row r="3313" spans="1:28" x14ac:dyDescent="0.25">
      <c r="A3313" t="s">
        <v>3317</v>
      </c>
      <c r="B3313">
        <v>0.98876768158843997</v>
      </c>
      <c r="C3313">
        <v>1.00986441960657</v>
      </c>
      <c r="D3313">
        <v>0.93678355967177895</v>
      </c>
      <c r="E3313">
        <v>0.81147506103058697</v>
      </c>
      <c r="F3313">
        <v>0.723929865584373</v>
      </c>
      <c r="G3313">
        <v>0.35626256977513798</v>
      </c>
      <c r="H3313">
        <v>0.20841112235968401</v>
      </c>
      <c r="I3313">
        <v>0.22399987501801699</v>
      </c>
      <c r="J3313">
        <v>0.29192462922892898</v>
      </c>
      <c r="K3313">
        <v>0.32262325991851498</v>
      </c>
      <c r="L3313">
        <v>1294.7401976755</v>
      </c>
      <c r="M3313">
        <v>24.260374878633499</v>
      </c>
      <c r="N3313">
        <v>54.925572565821803</v>
      </c>
      <c r="O3313">
        <v>53.009868980712703</v>
      </c>
      <c r="P3313">
        <v>-8.5967068077713399E-2</v>
      </c>
      <c r="Q3313">
        <v>0.24864574291685901</v>
      </c>
      <c r="R3313">
        <v>0.97471978160432204</v>
      </c>
      <c r="S3313" t="s">
        <v>7145</v>
      </c>
      <c r="T3313" t="s">
        <v>7662</v>
      </c>
      <c r="U3313" t="s">
        <v>7662</v>
      </c>
      <c r="V3313" t="s">
        <v>7662</v>
      </c>
      <c r="W3313">
        <v>9</v>
      </c>
      <c r="X3313" t="s">
        <v>10975</v>
      </c>
      <c r="Y3313">
        <v>0.59079196532683653</v>
      </c>
      <c r="Z3313" t="str">
        <f>HYPERLINK("Melting_Curves/meltCurve_tr_B8ZZU8_B8ZZU8_HUMAN_.pdf", "Melting_Curves/meltCurve_tr_B8ZZU8_B8ZZU8_HUMAN_.pdf")</f>
        <v>Melting_Curves/meltCurve_tr_B8ZZU8_B8ZZU8_HUMAN_.pdf</v>
      </c>
      <c r="AA3313" t="s">
        <v>14765</v>
      </c>
      <c r="AB3313" t="s">
        <v>18549</v>
      </c>
    </row>
    <row r="3314" spans="1:28" x14ac:dyDescent="0.25">
      <c r="A3314" t="s">
        <v>3318</v>
      </c>
      <c r="B3314">
        <v>0.98876768158843997</v>
      </c>
      <c r="C3314">
        <v>0.67456664944142897</v>
      </c>
      <c r="D3314">
        <v>1.3253022119984901</v>
      </c>
      <c r="E3314">
        <v>1.0101768885727</v>
      </c>
      <c r="F3314">
        <v>0.24043807790480801</v>
      </c>
      <c r="G3314">
        <v>0.183736331174156</v>
      </c>
      <c r="H3314">
        <v>0.14196767870167901</v>
      </c>
      <c r="I3314">
        <v>0.12602578593894601</v>
      </c>
      <c r="J3314">
        <v>9.9314076615275498E-2</v>
      </c>
      <c r="K3314">
        <v>3.9523006502762498E-2</v>
      </c>
      <c r="L3314">
        <v>13153.2187794931</v>
      </c>
      <c r="M3314">
        <v>250</v>
      </c>
      <c r="N3314">
        <v>52.669649733308802</v>
      </c>
      <c r="O3314">
        <v>52.609508217369402</v>
      </c>
      <c r="P3314">
        <v>-1.04767974055192</v>
      </c>
      <c r="Q3314">
        <v>0.118113345889274</v>
      </c>
      <c r="R3314">
        <v>0.88916824082617396</v>
      </c>
      <c r="S3314" t="s">
        <v>7146</v>
      </c>
      <c r="T3314" t="s">
        <v>7662</v>
      </c>
      <c r="U3314" t="s">
        <v>7662</v>
      </c>
      <c r="V3314" t="s">
        <v>7662</v>
      </c>
      <c r="W3314">
        <v>8</v>
      </c>
      <c r="X3314" t="s">
        <v>10976</v>
      </c>
      <c r="Y3314">
        <v>0.48896564924698621</v>
      </c>
      <c r="Z3314" t="str">
        <f>HYPERLINK("Melting_Curves/meltCurve_tr_C9IZA5_C9IZA5_HUMAN_.pdf", "Melting_Curves/meltCurve_tr_C9IZA5_C9IZA5_HUMAN_.pdf")</f>
        <v>Melting_Curves/meltCurve_tr_C9IZA5_C9IZA5_HUMAN_.pdf</v>
      </c>
      <c r="AA3314" t="s">
        <v>12655</v>
      </c>
      <c r="AB3314" t="s">
        <v>18550</v>
      </c>
    </row>
    <row r="3315" spans="1:28" x14ac:dyDescent="0.25">
      <c r="A3315" t="s">
        <v>3319</v>
      </c>
      <c r="B3315">
        <v>0.98876768158843997</v>
      </c>
      <c r="C3315">
        <v>0.94873747646168805</v>
      </c>
      <c r="D3315">
        <v>0.87690608457429597</v>
      </c>
      <c r="E3315">
        <v>0.703527842489725</v>
      </c>
      <c r="F3315">
        <v>0.73431834547936603</v>
      </c>
      <c r="G3315">
        <v>0.49335570271878199</v>
      </c>
      <c r="H3315">
        <v>0.35857129369666102</v>
      </c>
      <c r="I3315">
        <v>0.37761489614416599</v>
      </c>
      <c r="J3315">
        <v>0.50676766531167905</v>
      </c>
      <c r="K3315">
        <v>0.52921105434363602</v>
      </c>
      <c r="L3315">
        <v>744.95267085385797</v>
      </c>
      <c r="M3315">
        <v>14.7092442678077</v>
      </c>
      <c r="N3315">
        <v>58.374426454073998</v>
      </c>
      <c r="O3315">
        <v>49.7367614214375</v>
      </c>
      <c r="P3315">
        <v>-4.2244470938522301E-2</v>
      </c>
      <c r="Q3315">
        <v>0.42869287528453998</v>
      </c>
      <c r="R3315">
        <v>0.90541968935714701</v>
      </c>
      <c r="S3315" t="s">
        <v>7147</v>
      </c>
      <c r="T3315" t="s">
        <v>7662</v>
      </c>
      <c r="U3315" t="s">
        <v>7662</v>
      </c>
      <c r="V3315" t="s">
        <v>7662</v>
      </c>
      <c r="W3315">
        <v>3</v>
      </c>
      <c r="X3315" t="s">
        <v>10977</v>
      </c>
      <c r="Y3315">
        <v>0.64521183702124907</v>
      </c>
      <c r="Z3315" t="str">
        <f>HYPERLINK("Melting_Curves/meltCurve_tr_C9IZG4_C9IZG4_HUMAN_.pdf", "Melting_Curves/meltCurve_tr_C9IZG4_C9IZG4_HUMAN_.pdf")</f>
        <v>Melting_Curves/meltCurve_tr_C9IZG4_C9IZG4_HUMAN_.pdf</v>
      </c>
      <c r="AA3315" t="s">
        <v>14766</v>
      </c>
      <c r="AB3315" t="s">
        <v>18551</v>
      </c>
    </row>
    <row r="3316" spans="1:28" x14ac:dyDescent="0.25">
      <c r="A3316" t="s">
        <v>3320</v>
      </c>
      <c r="B3316">
        <v>0.98876768158843997</v>
      </c>
      <c r="C3316">
        <v>0.96541898344431798</v>
      </c>
      <c r="D3316">
        <v>0.89663451517713799</v>
      </c>
      <c r="E3316">
        <v>0.64438661020105203</v>
      </c>
      <c r="F3316">
        <v>0.58381333516393796</v>
      </c>
      <c r="G3316">
        <v>0.39793485876789703</v>
      </c>
      <c r="H3316">
        <v>0.21955290878359901</v>
      </c>
      <c r="I3316">
        <v>0.103558902995787</v>
      </c>
      <c r="J3316">
        <v>0.12447051021078399</v>
      </c>
      <c r="K3316">
        <v>8.2321178514352403E-2</v>
      </c>
      <c r="L3316">
        <v>595.83369584349305</v>
      </c>
      <c r="M3316">
        <v>11.016645473142701</v>
      </c>
      <c r="N3316">
        <v>54.084856857140799</v>
      </c>
      <c r="O3316">
        <v>52.3944372757963</v>
      </c>
      <c r="P3316">
        <v>-5.2583544059117797E-2</v>
      </c>
      <c r="Q3316">
        <v>0</v>
      </c>
      <c r="R3316">
        <v>0.99146522913340696</v>
      </c>
      <c r="S3316" t="s">
        <v>7148</v>
      </c>
      <c r="T3316" t="s">
        <v>7662</v>
      </c>
      <c r="U3316" t="s">
        <v>7662</v>
      </c>
      <c r="V3316" t="s">
        <v>7662</v>
      </c>
      <c r="W3316">
        <v>6</v>
      </c>
      <c r="X3316" t="s">
        <v>10978</v>
      </c>
      <c r="Y3316">
        <v>0.49734128403928768</v>
      </c>
      <c r="Z3316" t="str">
        <f>HYPERLINK("Melting_Curves/meltCurve_tr_C9J050_C9J050_HUMAN_.pdf", "Melting_Curves/meltCurve_tr_C9J050_C9J050_HUMAN_.pdf")</f>
        <v>Melting_Curves/meltCurve_tr_C9J050_C9J050_HUMAN_.pdf</v>
      </c>
      <c r="AA3316" t="s">
        <v>14767</v>
      </c>
      <c r="AB3316" t="s">
        <v>18552</v>
      </c>
    </row>
    <row r="3317" spans="1:28" x14ac:dyDescent="0.25">
      <c r="A3317" t="s">
        <v>3321</v>
      </c>
      <c r="B3317">
        <v>0.98876768158843997</v>
      </c>
      <c r="C3317">
        <v>1.00173892642647</v>
      </c>
      <c r="D3317">
        <v>0.91985817314284302</v>
      </c>
      <c r="E3317">
        <v>0.72237656359615399</v>
      </c>
      <c r="F3317">
        <v>0.70766778637939798</v>
      </c>
      <c r="G3317">
        <v>0.36532118015225301</v>
      </c>
      <c r="H3317">
        <v>0.150848628343136</v>
      </c>
      <c r="I3317">
        <v>0.116437942266747</v>
      </c>
      <c r="J3317">
        <v>0.108009791517326</v>
      </c>
      <c r="K3317">
        <v>0.11154285975341301</v>
      </c>
      <c r="L3317">
        <v>810.44826909384403</v>
      </c>
      <c r="M3317">
        <v>14.8812858834417</v>
      </c>
      <c r="N3317">
        <v>54.783049409828202</v>
      </c>
      <c r="O3317">
        <v>53.5058235516587</v>
      </c>
      <c r="P3317">
        <v>-6.6625149531103503E-2</v>
      </c>
      <c r="Q3317">
        <v>4.1894086126135502E-2</v>
      </c>
      <c r="R3317">
        <v>0.98560975332416301</v>
      </c>
      <c r="S3317" t="s">
        <v>7149</v>
      </c>
      <c r="T3317" t="s">
        <v>7662</v>
      </c>
      <c r="U3317" t="s">
        <v>7662</v>
      </c>
      <c r="V3317" t="s">
        <v>7662</v>
      </c>
      <c r="W3317">
        <v>7</v>
      </c>
      <c r="X3317" t="s">
        <v>10979</v>
      </c>
      <c r="Y3317">
        <v>0.52305116935318507</v>
      </c>
      <c r="Z3317" t="str">
        <f>HYPERLINK("Melting_Curves/meltCurve_tr_C9J0K6_C9J0K6_HUMAN_.pdf", "Melting_Curves/meltCurve_tr_C9J0K6_C9J0K6_HUMAN_.pdf")</f>
        <v>Melting_Curves/meltCurve_tr_C9J0K6_C9J0K6_HUMAN_.pdf</v>
      </c>
      <c r="AA3317" t="s">
        <v>14768</v>
      </c>
      <c r="AB3317" t="s">
        <v>18553</v>
      </c>
    </row>
    <row r="3318" spans="1:28" x14ac:dyDescent="0.25">
      <c r="A3318" t="s">
        <v>3322</v>
      </c>
      <c r="B3318">
        <v>0.98876768158843997</v>
      </c>
      <c r="C3318">
        <v>1.1634010251918001</v>
      </c>
      <c r="D3318">
        <v>0.83609776601614305</v>
      </c>
      <c r="E3318">
        <v>0.82485107081470599</v>
      </c>
      <c r="F3318">
        <v>0.97004561289415103</v>
      </c>
      <c r="G3318">
        <v>0.79610607128446897</v>
      </c>
      <c r="H3318">
        <v>0.59102749859942705</v>
      </c>
      <c r="I3318">
        <v>0.71716032157062404</v>
      </c>
      <c r="J3318">
        <v>1.02294396722315</v>
      </c>
      <c r="K3318">
        <v>0.83491587185285299</v>
      </c>
      <c r="L3318">
        <v>11385.7080395577</v>
      </c>
      <c r="M3318">
        <v>250</v>
      </c>
      <c r="O3318">
        <v>45.539930616298399</v>
      </c>
      <c r="P3318">
        <v>-0.243693194288023</v>
      </c>
      <c r="Q3318">
        <v>0.82243571172076502</v>
      </c>
      <c r="R3318">
        <v>0.36876367598429599</v>
      </c>
      <c r="S3318" t="s">
        <v>7150</v>
      </c>
      <c r="T3318" t="s">
        <v>7662</v>
      </c>
      <c r="U3318" t="s">
        <v>7662</v>
      </c>
      <c r="V3318" t="s">
        <v>7662</v>
      </c>
      <c r="W3318">
        <v>2</v>
      </c>
      <c r="X3318" t="s">
        <v>10980</v>
      </c>
      <c r="Y3318">
        <v>0.85525687213573864</v>
      </c>
      <c r="Z3318" t="str">
        <f>HYPERLINK("Melting_Curves/meltCurve_tr_C9J1C6_C9J1C6_HUMAN_.pdf", "Melting_Curves/meltCurve_tr_C9J1C6_C9J1C6_HUMAN_.pdf")</f>
        <v>Melting_Curves/meltCurve_tr_C9J1C6_C9J1C6_HUMAN_.pdf</v>
      </c>
      <c r="AA3318" t="s">
        <v>14769</v>
      </c>
      <c r="AB3318" t="s">
        <v>18554</v>
      </c>
    </row>
    <row r="3319" spans="1:28" x14ac:dyDescent="0.25">
      <c r="A3319" t="s">
        <v>3323</v>
      </c>
      <c r="B3319">
        <v>0.98876768158843997</v>
      </c>
      <c r="C3319">
        <v>0.94389998053851798</v>
      </c>
      <c r="D3319">
        <v>0.61718098265666699</v>
      </c>
      <c r="E3319">
        <v>0.22564397163987099</v>
      </c>
      <c r="F3319">
        <v>0.135225972460875</v>
      </c>
      <c r="G3319">
        <v>8.8447212300462694E-2</v>
      </c>
      <c r="H3319">
        <v>6.1305823280445398E-2</v>
      </c>
      <c r="I3319">
        <v>3.91960131608858E-2</v>
      </c>
      <c r="J3319">
        <v>5.9583674481799499E-2</v>
      </c>
      <c r="K3319">
        <v>5.5537744107699898E-2</v>
      </c>
      <c r="L3319">
        <v>1158.1569216108701</v>
      </c>
      <c r="M3319">
        <v>24.724819338706901</v>
      </c>
      <c r="N3319">
        <v>47.091505325003098</v>
      </c>
      <c r="O3319">
        <v>46.538689823271902</v>
      </c>
      <c r="P3319">
        <v>-0.124662762852565</v>
      </c>
      <c r="Q3319">
        <v>6.1419429008833501E-2</v>
      </c>
      <c r="R3319">
        <v>0.99790308749601198</v>
      </c>
      <c r="S3319" t="s">
        <v>7151</v>
      </c>
      <c r="T3319" t="s">
        <v>7662</v>
      </c>
      <c r="U3319" t="s">
        <v>7662</v>
      </c>
      <c r="V3319" t="s">
        <v>7662</v>
      </c>
      <c r="W3319">
        <v>3</v>
      </c>
      <c r="X3319" t="s">
        <v>10981</v>
      </c>
      <c r="Y3319">
        <v>0.28409254389544603</v>
      </c>
      <c r="Z3319" t="str">
        <f>HYPERLINK("Melting_Curves/meltCurve_tr_C9J1Z8_C9J1Z8_HUMAN_.pdf", "Melting_Curves/meltCurve_tr_C9J1Z8_C9J1Z8_HUMAN_.pdf")</f>
        <v>Melting_Curves/meltCurve_tr_C9J1Z8_C9J1Z8_HUMAN_.pdf</v>
      </c>
      <c r="AA3319" t="s">
        <v>14770</v>
      </c>
      <c r="AB3319" t="s">
        <v>18555</v>
      </c>
    </row>
    <row r="3320" spans="1:28" x14ac:dyDescent="0.25">
      <c r="A3320" t="s">
        <v>3324</v>
      </c>
      <c r="B3320">
        <v>0.98876768158843997</v>
      </c>
      <c r="C3320">
        <v>1.15775877667329</v>
      </c>
      <c r="D3320">
        <v>0.87196784263978799</v>
      </c>
      <c r="E3320">
        <v>0.72737446603637801</v>
      </c>
      <c r="F3320">
        <v>0.77639981284206205</v>
      </c>
      <c r="G3320">
        <v>0.481674960846254</v>
      </c>
      <c r="H3320">
        <v>0.19902846892578499</v>
      </c>
      <c r="I3320">
        <v>0.18589974534085901</v>
      </c>
      <c r="J3320">
        <v>0.16956199379046799</v>
      </c>
      <c r="K3320">
        <v>0.27311093191480401</v>
      </c>
      <c r="L3320">
        <v>853.67791025080498</v>
      </c>
      <c r="M3320">
        <v>15.6243437533207</v>
      </c>
      <c r="N3320">
        <v>55.904904316259199</v>
      </c>
      <c r="O3320">
        <v>53.766126493552399</v>
      </c>
      <c r="P3320">
        <v>-6.1821370970337602E-2</v>
      </c>
      <c r="Q3320">
        <v>0.14912023400916999</v>
      </c>
      <c r="R3320">
        <v>0.93439969987959504</v>
      </c>
      <c r="S3320" t="s">
        <v>7152</v>
      </c>
      <c r="T3320" t="s">
        <v>7662</v>
      </c>
      <c r="U3320" t="s">
        <v>7662</v>
      </c>
      <c r="V3320" t="s">
        <v>7662</v>
      </c>
      <c r="W3320">
        <v>4</v>
      </c>
      <c r="X3320" t="s">
        <v>10982</v>
      </c>
      <c r="Y3320">
        <v>0.58032034592992943</v>
      </c>
      <c r="Z3320" t="str">
        <f>HYPERLINK("Melting_Curves/meltCurve_tr_C9J212_C9J212_HUMAN_.pdf", "Melting_Curves/meltCurve_tr_C9J212_C9J212_HUMAN_.pdf")</f>
        <v>Melting_Curves/meltCurve_tr_C9J212_C9J212_HUMAN_.pdf</v>
      </c>
      <c r="AA3320" t="s">
        <v>14771</v>
      </c>
      <c r="AB3320" t="s">
        <v>18556</v>
      </c>
    </row>
    <row r="3321" spans="1:28" x14ac:dyDescent="0.25">
      <c r="A3321" t="s">
        <v>3325</v>
      </c>
      <c r="B3321">
        <v>0.98876768158843997</v>
      </c>
      <c r="C3321">
        <v>1.09627726632005</v>
      </c>
      <c r="D3321">
        <v>0.96028990972492001</v>
      </c>
      <c r="E3321">
        <v>0.87115924453101501</v>
      </c>
      <c r="F3321">
        <v>0.48514925387755098</v>
      </c>
      <c r="G3321">
        <v>0.13624576573632899</v>
      </c>
      <c r="H3321">
        <v>8.8023939751489505E-2</v>
      </c>
      <c r="I3321">
        <v>7.5755888194095594E-2</v>
      </c>
      <c r="J3321">
        <v>9.8879631734677495E-2</v>
      </c>
      <c r="K3321">
        <v>8.90320909893344E-2</v>
      </c>
      <c r="L3321">
        <v>1836.6668775702001</v>
      </c>
      <c r="M3321">
        <v>34.916844124193602</v>
      </c>
      <c r="N3321">
        <v>52.881019187018197</v>
      </c>
      <c r="O3321">
        <v>52.429530815228802</v>
      </c>
      <c r="P3321">
        <v>-0.15244977241023699</v>
      </c>
      <c r="Q3321">
        <v>8.4356936379763603E-2</v>
      </c>
      <c r="R3321">
        <v>0.99374452254882595</v>
      </c>
      <c r="S3321" t="s">
        <v>7153</v>
      </c>
      <c r="T3321" t="s">
        <v>7662</v>
      </c>
      <c r="U3321" t="s">
        <v>7662</v>
      </c>
      <c r="V3321" t="s">
        <v>7662</v>
      </c>
      <c r="W3321">
        <v>5</v>
      </c>
      <c r="X3321" t="s">
        <v>10983</v>
      </c>
      <c r="Y3321">
        <v>0.47333074801680441</v>
      </c>
      <c r="Z3321" t="str">
        <f>HYPERLINK("Melting_Curves/meltCurve_tr_C9J5D1_C9J5D1_HUMAN_.pdf", "Melting_Curves/meltCurve_tr_C9J5D1_C9J5D1_HUMAN_.pdf")</f>
        <v>Melting_Curves/meltCurve_tr_C9J5D1_C9J5D1_HUMAN_.pdf</v>
      </c>
      <c r="AA3321" t="s">
        <v>14772</v>
      </c>
      <c r="AB3321" t="s">
        <v>18557</v>
      </c>
    </row>
    <row r="3322" spans="1:28" x14ac:dyDescent="0.25">
      <c r="A3322" t="s">
        <v>3326</v>
      </c>
      <c r="B3322">
        <v>0.98876768158843997</v>
      </c>
      <c r="C3322">
        <v>1.0348906846447099</v>
      </c>
      <c r="D3322">
        <v>0.91745049900967801</v>
      </c>
      <c r="E3322">
        <v>0.72107352747772402</v>
      </c>
      <c r="F3322">
        <v>0.53017352525074102</v>
      </c>
      <c r="G3322">
        <v>0.385659657131733</v>
      </c>
      <c r="H3322">
        <v>0.21246874478938499</v>
      </c>
      <c r="I3322">
        <v>0.134362060127418</v>
      </c>
      <c r="J3322">
        <v>7.8973589141809894E-2</v>
      </c>
      <c r="K3322">
        <v>5.9042052467502097E-2</v>
      </c>
      <c r="L3322">
        <v>685.47579531237898</v>
      </c>
      <c r="M3322">
        <v>12.6874078303508</v>
      </c>
      <c r="N3322">
        <v>54.144412732496498</v>
      </c>
      <c r="O3322">
        <v>52.738561002051597</v>
      </c>
      <c r="P3322">
        <v>-5.93455251425117E-2</v>
      </c>
      <c r="Q3322">
        <v>1.3450214456643701E-2</v>
      </c>
      <c r="R3322">
        <v>0.99371185058311795</v>
      </c>
      <c r="S3322" t="s">
        <v>7154</v>
      </c>
      <c r="T3322" t="s">
        <v>7662</v>
      </c>
      <c r="U3322" t="s">
        <v>7662</v>
      </c>
      <c r="V3322" t="s">
        <v>7662</v>
      </c>
      <c r="W3322">
        <v>4</v>
      </c>
      <c r="X3322" t="s">
        <v>10984</v>
      </c>
      <c r="Y3322">
        <v>0.4991255371568537</v>
      </c>
      <c r="Z3322" t="str">
        <f>HYPERLINK("Melting_Curves/meltCurve_tr_C9J6F3_C9J6F3_HUMAN_.pdf", "Melting_Curves/meltCurve_tr_C9J6F3_C9J6F3_HUMAN_.pdf")</f>
        <v>Melting_Curves/meltCurve_tr_C9J6F3_C9J6F3_HUMAN_.pdf</v>
      </c>
      <c r="AA3322" t="s">
        <v>14773</v>
      </c>
      <c r="AB3322" t="s">
        <v>18558</v>
      </c>
    </row>
    <row r="3323" spans="1:28" x14ac:dyDescent="0.25">
      <c r="A3323" t="s">
        <v>3327</v>
      </c>
      <c r="B3323">
        <v>0.98876768158843997</v>
      </c>
      <c r="C3323">
        <v>0.97268833935870203</v>
      </c>
      <c r="D3323">
        <v>0.68068116193100703</v>
      </c>
      <c r="E3323">
        <v>0.34221570834764198</v>
      </c>
      <c r="F3323">
        <v>0.140566912048809</v>
      </c>
      <c r="G3323">
        <v>9.4420221239966601E-2</v>
      </c>
      <c r="H3323">
        <v>6.4526297090016199E-2</v>
      </c>
      <c r="I3323">
        <v>6.3014827283376096E-2</v>
      </c>
      <c r="J3323">
        <v>7.2167267668677398E-2</v>
      </c>
      <c r="K3323">
        <v>5.7394645164053001E-2</v>
      </c>
      <c r="L3323">
        <v>1046.2154453911801</v>
      </c>
      <c r="M3323">
        <v>21.916467882942701</v>
      </c>
      <c r="N3323">
        <v>48.0256184045666</v>
      </c>
      <c r="O3323">
        <v>47.3443950245343</v>
      </c>
      <c r="P3323">
        <v>-0.108579054652006</v>
      </c>
      <c r="Q3323">
        <v>6.1802525704879797E-2</v>
      </c>
      <c r="R3323">
        <v>0.99669989710964801</v>
      </c>
      <c r="S3323" t="s">
        <v>7155</v>
      </c>
      <c r="T3323" t="s">
        <v>7662</v>
      </c>
      <c r="U3323" t="s">
        <v>7662</v>
      </c>
      <c r="V3323" t="s">
        <v>7662</v>
      </c>
      <c r="W3323">
        <v>6</v>
      </c>
      <c r="X3323" t="s">
        <v>10985</v>
      </c>
      <c r="Y3323">
        <v>0.31476545489295321</v>
      </c>
      <c r="Z3323" t="str">
        <f>HYPERLINK("Melting_Curves/meltCurve_tr_C9J9K3_C9J9K3_HUMAN_.pdf", "Melting_Curves/meltCurve_tr_C9J9K3_C9J9K3_HUMAN_.pdf")</f>
        <v>Melting_Curves/meltCurve_tr_C9J9K3_C9J9K3_HUMAN_.pdf</v>
      </c>
      <c r="AA3323" t="s">
        <v>14774</v>
      </c>
      <c r="AB3323" t="s">
        <v>18559</v>
      </c>
    </row>
    <row r="3324" spans="1:28" x14ac:dyDescent="0.25">
      <c r="A3324" t="s">
        <v>3328</v>
      </c>
      <c r="B3324">
        <v>0.98876768158843997</v>
      </c>
      <c r="C3324">
        <v>0.78800477788536905</v>
      </c>
      <c r="D3324">
        <v>0.82213250923760095</v>
      </c>
      <c r="E3324">
        <v>0.69892793202504699</v>
      </c>
      <c r="F3324">
        <v>0.55421818015882096</v>
      </c>
      <c r="G3324">
        <v>0.39330527055447501</v>
      </c>
      <c r="H3324">
        <v>0.318134866811286</v>
      </c>
      <c r="I3324">
        <v>0.34715976272863702</v>
      </c>
      <c r="J3324">
        <v>0.37425016842020298</v>
      </c>
      <c r="K3324">
        <v>0.40267821812237498</v>
      </c>
      <c r="L3324">
        <v>552.66035365309597</v>
      </c>
      <c r="M3324">
        <v>11.158325562957</v>
      </c>
      <c r="N3324">
        <v>54.354556999971798</v>
      </c>
      <c r="O3324">
        <v>48.018050306859699</v>
      </c>
      <c r="P3324">
        <v>-3.9846361275263302E-2</v>
      </c>
      <c r="Q3324">
        <v>0.31432946004603601</v>
      </c>
      <c r="R3324">
        <v>0.94186760676078196</v>
      </c>
      <c r="S3324" t="s">
        <v>7156</v>
      </c>
      <c r="T3324" t="s">
        <v>7662</v>
      </c>
      <c r="U3324" t="s">
        <v>7662</v>
      </c>
      <c r="V3324" t="s">
        <v>7662</v>
      </c>
      <c r="W3324">
        <v>1</v>
      </c>
      <c r="X3324" t="s">
        <v>10986</v>
      </c>
      <c r="Y3324">
        <v>0.5594927587119406</v>
      </c>
      <c r="Z3324" t="str">
        <f>HYPERLINK("Melting_Curves/meltCurve_tr_C9JAV3_C9JAV3_HUMAN_.pdf", "Melting_Curves/meltCurve_tr_C9JAV3_C9JAV3_HUMAN_.pdf")</f>
        <v>Melting_Curves/meltCurve_tr_C9JAV3_C9JAV3_HUMAN_.pdf</v>
      </c>
      <c r="AA3324" t="s">
        <v>14775</v>
      </c>
      <c r="AB3324" t="s">
        <v>18560</v>
      </c>
    </row>
    <row r="3325" spans="1:28" x14ac:dyDescent="0.25">
      <c r="A3325" t="s">
        <v>3329</v>
      </c>
      <c r="B3325">
        <v>0.98876768158843997</v>
      </c>
      <c r="C3325">
        <v>1.0786657114743801</v>
      </c>
      <c r="D3325">
        <v>0.86547764332308397</v>
      </c>
      <c r="E3325">
        <v>0.79159276532141998</v>
      </c>
      <c r="F3325">
        <v>0.846073850685514</v>
      </c>
      <c r="G3325">
        <v>0.61885580620394998</v>
      </c>
      <c r="H3325">
        <v>0.45085307130647601</v>
      </c>
      <c r="I3325">
        <v>0.55484908737602301</v>
      </c>
      <c r="J3325">
        <v>0.43918933995112402</v>
      </c>
      <c r="K3325">
        <v>0.611523175318054</v>
      </c>
      <c r="L3325">
        <v>770.05112877764395</v>
      </c>
      <c r="M3325">
        <v>14.560522455310601</v>
      </c>
      <c r="O3325">
        <v>51.9186996785388</v>
      </c>
      <c r="P3325">
        <v>-3.5791654786366797E-2</v>
      </c>
      <c r="Q3325">
        <v>0.48956631718096499</v>
      </c>
      <c r="R3325">
        <v>0.86834755354384197</v>
      </c>
      <c r="S3325" t="s">
        <v>7157</v>
      </c>
      <c r="T3325" t="s">
        <v>7662</v>
      </c>
      <c r="U3325" t="s">
        <v>7662</v>
      </c>
      <c r="V3325" t="s">
        <v>7662</v>
      </c>
      <c r="W3325">
        <v>9</v>
      </c>
      <c r="X3325" t="s">
        <v>10987</v>
      </c>
      <c r="Y3325">
        <v>0.72032036889834716</v>
      </c>
      <c r="Z3325" t="str">
        <f>HYPERLINK("Melting_Curves/meltCurve_tr_C9JAX1_C9JAX1_HUMAN_.pdf", "Melting_Curves/meltCurve_tr_C9JAX1_C9JAX1_HUMAN_.pdf")</f>
        <v>Melting_Curves/meltCurve_tr_C9JAX1_C9JAX1_HUMAN_.pdf</v>
      </c>
      <c r="AA3325" t="s">
        <v>14776</v>
      </c>
      <c r="AB3325" t="s">
        <v>18561</v>
      </c>
    </row>
    <row r="3326" spans="1:28" x14ac:dyDescent="0.25">
      <c r="A3326" t="s">
        <v>3330</v>
      </c>
      <c r="B3326">
        <v>0.98876768158843997</v>
      </c>
      <c r="C3326">
        <v>1.1248359419435101</v>
      </c>
      <c r="D3326">
        <v>0.87476080648701504</v>
      </c>
      <c r="E3326">
        <v>0.88901645513943295</v>
      </c>
      <c r="F3326">
        <v>0.78400249248779597</v>
      </c>
      <c r="G3326">
        <v>0.66193133483692002</v>
      </c>
      <c r="H3326">
        <v>0.54670606436876601</v>
      </c>
      <c r="I3326">
        <v>0.48063482262315999</v>
      </c>
      <c r="J3326">
        <v>0.39970025690087901</v>
      </c>
      <c r="K3326">
        <v>0.48156964368768002</v>
      </c>
      <c r="L3326">
        <v>719.19150664347103</v>
      </c>
      <c r="M3326">
        <v>12.961085290611299</v>
      </c>
      <c r="N3326">
        <v>63.152028390349798</v>
      </c>
      <c r="O3326">
        <v>54.217436552130799</v>
      </c>
      <c r="P3326">
        <v>-3.6087924229848203E-2</v>
      </c>
      <c r="Q3326">
        <v>0.39627120966900198</v>
      </c>
      <c r="R3326">
        <v>0.94071024752364196</v>
      </c>
      <c r="S3326" t="s">
        <v>7158</v>
      </c>
      <c r="T3326" t="s">
        <v>7662</v>
      </c>
      <c r="U3326" t="s">
        <v>7662</v>
      </c>
      <c r="V3326" t="s">
        <v>7662</v>
      </c>
      <c r="W3326">
        <v>5</v>
      </c>
      <c r="X3326" t="s">
        <v>10988</v>
      </c>
      <c r="Y3326">
        <v>0.72062849072338564</v>
      </c>
      <c r="Z3326" t="str">
        <f>HYPERLINK("Melting_Curves/meltCurve_tr_C9JB55_C9JB55_HUMAN_.pdf", "Melting_Curves/meltCurve_tr_C9JB55_C9JB55_HUMAN_.pdf")</f>
        <v>Melting_Curves/meltCurve_tr_C9JB55_C9JB55_HUMAN_.pdf</v>
      </c>
      <c r="AA3326" t="s">
        <v>14777</v>
      </c>
      <c r="AB3326" t="s">
        <v>18562</v>
      </c>
    </row>
    <row r="3327" spans="1:28" x14ac:dyDescent="0.25">
      <c r="A3327" t="s">
        <v>3331</v>
      </c>
      <c r="B3327">
        <v>0.98876768158843997</v>
      </c>
      <c r="C3327">
        <v>1.0195066185811501</v>
      </c>
      <c r="D3327">
        <v>1.03621116381034</v>
      </c>
      <c r="E3327">
        <v>0.87519518209235803</v>
      </c>
      <c r="F3327">
        <v>0.71814411292108504</v>
      </c>
      <c r="G3327">
        <v>0.50600187163036503</v>
      </c>
      <c r="H3327">
        <v>0.34631017315893298</v>
      </c>
      <c r="I3327">
        <v>0.24492015013429799</v>
      </c>
      <c r="J3327">
        <v>0.123375604205092</v>
      </c>
      <c r="K3327">
        <v>4.1793008855043098E-2</v>
      </c>
      <c r="L3327">
        <v>753.65602513087197</v>
      </c>
      <c r="M3327">
        <v>13.1213014338202</v>
      </c>
      <c r="N3327">
        <v>57.437606561907202</v>
      </c>
      <c r="O3327">
        <v>56.152619064706201</v>
      </c>
      <c r="P3327">
        <v>-5.8427983912306601E-2</v>
      </c>
      <c r="Q3327">
        <v>0</v>
      </c>
      <c r="R3327">
        <v>0.99094102285909302</v>
      </c>
      <c r="S3327" t="s">
        <v>7159</v>
      </c>
      <c r="T3327" t="s">
        <v>7662</v>
      </c>
      <c r="U3327" t="s">
        <v>7662</v>
      </c>
      <c r="V3327" t="s">
        <v>7662</v>
      </c>
      <c r="W3327">
        <v>6</v>
      </c>
      <c r="X3327" t="s">
        <v>10989</v>
      </c>
      <c r="Y3327">
        <v>0.59653904693611748</v>
      </c>
      <c r="Z3327" t="str">
        <f>HYPERLINK("Melting_Curves/meltCurve_tr_C9JBI3_C9JBI3_HUMAN_.pdf", "Melting_Curves/meltCurve_tr_C9JBI3_C9JBI3_HUMAN_.pdf")</f>
        <v>Melting_Curves/meltCurve_tr_C9JBI3_C9JBI3_HUMAN_.pdf</v>
      </c>
      <c r="AA3327" t="s">
        <v>14778</v>
      </c>
      <c r="AB3327" t="s">
        <v>18563</v>
      </c>
    </row>
    <row r="3328" spans="1:28" x14ac:dyDescent="0.25">
      <c r="A3328" t="s">
        <v>3332</v>
      </c>
      <c r="B3328">
        <v>0.98876768158843997</v>
      </c>
      <c r="C3328">
        <v>1.06362153905315</v>
      </c>
      <c r="D3328">
        <v>0.87103051632012396</v>
      </c>
      <c r="E3328">
        <v>0.69064686581412704</v>
      </c>
      <c r="F3328">
        <v>0.56508780836230899</v>
      </c>
      <c r="G3328">
        <v>0.27276366570322802</v>
      </c>
      <c r="H3328">
        <v>0.12529046375351999</v>
      </c>
      <c r="I3328">
        <v>0.10980919722705999</v>
      </c>
      <c r="J3328">
        <v>0.138712664285012</v>
      </c>
      <c r="K3328">
        <v>0.11926080143760399</v>
      </c>
      <c r="L3328">
        <v>861.691419879975</v>
      </c>
      <c r="M3328">
        <v>16.3992866019777</v>
      </c>
      <c r="N3328">
        <v>53.137235740124197</v>
      </c>
      <c r="O3328">
        <v>51.781767674698699</v>
      </c>
      <c r="P3328">
        <v>-7.2561606127480693E-2</v>
      </c>
      <c r="Q3328">
        <v>8.3594106315743794E-2</v>
      </c>
      <c r="R3328">
        <v>0.98704936807504196</v>
      </c>
      <c r="S3328" t="s">
        <v>7160</v>
      </c>
      <c r="T3328" t="s">
        <v>7662</v>
      </c>
      <c r="U3328" t="s">
        <v>7662</v>
      </c>
      <c r="V3328" t="s">
        <v>7662</v>
      </c>
      <c r="W3328">
        <v>4</v>
      </c>
      <c r="X3328" t="s">
        <v>10990</v>
      </c>
      <c r="Y3328">
        <v>0.48434870625879151</v>
      </c>
      <c r="Z3328" t="str">
        <f>HYPERLINK("Melting_Curves/meltCurve_tr_C9JBJ6_C9JBJ6_HUMAN_.pdf", "Melting_Curves/meltCurve_tr_C9JBJ6_C9JBJ6_HUMAN_.pdf")</f>
        <v>Melting_Curves/meltCurve_tr_C9JBJ6_C9JBJ6_HUMAN_.pdf</v>
      </c>
      <c r="AA3328" t="s">
        <v>14779</v>
      </c>
      <c r="AB3328" t="s">
        <v>18564</v>
      </c>
    </row>
    <row r="3329" spans="1:28" x14ac:dyDescent="0.25">
      <c r="A3329" t="s">
        <v>3333</v>
      </c>
      <c r="B3329">
        <v>0.98876768158843997</v>
      </c>
      <c r="C3329">
        <v>1.0318979922667899</v>
      </c>
      <c r="D3329">
        <v>0.91505050071267302</v>
      </c>
      <c r="E3329">
        <v>0.64569627912810801</v>
      </c>
      <c r="F3329">
        <v>0.59009386220299798</v>
      </c>
      <c r="G3329">
        <v>0.27568937837840701</v>
      </c>
      <c r="H3329">
        <v>0.12960840304954299</v>
      </c>
      <c r="I3329">
        <v>0.128312154917673</v>
      </c>
      <c r="J3329">
        <v>0.12442588631727799</v>
      </c>
      <c r="K3329">
        <v>0.19082257907594499</v>
      </c>
      <c r="L3329">
        <v>878.239240135106</v>
      </c>
      <c r="M3329">
        <v>16.8019866198097</v>
      </c>
      <c r="N3329">
        <v>53.069214822424001</v>
      </c>
      <c r="O3329">
        <v>51.546403983060102</v>
      </c>
      <c r="P3329">
        <v>-7.23851313985205E-2</v>
      </c>
      <c r="Q3329">
        <v>0.11178360930668101</v>
      </c>
      <c r="R3329">
        <v>0.98156943160312404</v>
      </c>
      <c r="S3329" t="s">
        <v>7161</v>
      </c>
      <c r="T3329" t="s">
        <v>7662</v>
      </c>
      <c r="U3329" t="s">
        <v>7662</v>
      </c>
      <c r="V3329" t="s">
        <v>7662</v>
      </c>
      <c r="W3329">
        <v>2</v>
      </c>
      <c r="X3329" t="s">
        <v>10991</v>
      </c>
      <c r="Y3329">
        <v>0.49155350427794819</v>
      </c>
      <c r="Z3329" t="str">
        <f>HYPERLINK("Melting_Curves/meltCurve_tr_C9JCD9_C9JCD9_HUMAN_.pdf", "Melting_Curves/meltCurve_tr_C9JCD9_C9JCD9_HUMAN_.pdf")</f>
        <v>Melting_Curves/meltCurve_tr_C9JCD9_C9JCD9_HUMAN_.pdf</v>
      </c>
      <c r="AA3329" t="s">
        <v>14780</v>
      </c>
      <c r="AB3329" t="s">
        <v>18565</v>
      </c>
    </row>
    <row r="3330" spans="1:28" x14ac:dyDescent="0.25">
      <c r="A3330" t="s">
        <v>3334</v>
      </c>
      <c r="B3330">
        <v>0.98876768158843997</v>
      </c>
      <c r="C3330">
        <v>1.0436255151571301</v>
      </c>
      <c r="D3330">
        <v>1.2250835415354799</v>
      </c>
      <c r="E3330">
        <v>1.11316499923402</v>
      </c>
      <c r="F3330">
        <v>0.73358378472025998</v>
      </c>
      <c r="G3330">
        <v>0.57090357366050404</v>
      </c>
      <c r="H3330">
        <v>0.36921913601779999</v>
      </c>
      <c r="I3330">
        <v>0.24789409861638101</v>
      </c>
      <c r="J3330">
        <v>0.269955641694475</v>
      </c>
      <c r="K3330">
        <v>0.16516758386666799</v>
      </c>
      <c r="L3330">
        <v>1236.8137665198899</v>
      </c>
      <c r="M3330">
        <v>21.923749463288999</v>
      </c>
      <c r="N3330">
        <v>57.815847934416198</v>
      </c>
      <c r="O3330">
        <v>55.951266125618503</v>
      </c>
      <c r="P3330">
        <v>-7.7769090894283105E-2</v>
      </c>
      <c r="Q3330">
        <v>0.206124784191933</v>
      </c>
      <c r="R3330">
        <v>0.93179460256885305</v>
      </c>
      <c r="S3330" t="s">
        <v>7162</v>
      </c>
      <c r="T3330" t="s">
        <v>7662</v>
      </c>
      <c r="U3330" t="s">
        <v>7662</v>
      </c>
      <c r="V3330" t="s">
        <v>7662</v>
      </c>
      <c r="W3330">
        <v>27</v>
      </c>
      <c r="X3330" t="s">
        <v>10992</v>
      </c>
      <c r="Y3330">
        <v>0.64934365324851029</v>
      </c>
      <c r="Z3330" t="str">
        <f>HYPERLINK("Melting_Curves/meltCurve_tr_C9JDE9_C9JDE9_HUMAN_.pdf", "Melting_Curves/meltCurve_tr_C9JDE9_C9JDE9_HUMAN_.pdf")</f>
        <v>Melting_Curves/meltCurve_tr_C9JDE9_C9JDE9_HUMAN_.pdf</v>
      </c>
      <c r="AA3330" t="s">
        <v>12022</v>
      </c>
      <c r="AB3330" t="s">
        <v>15781</v>
      </c>
    </row>
    <row r="3331" spans="1:28" x14ac:dyDescent="0.25">
      <c r="A3331" t="s">
        <v>3335</v>
      </c>
      <c r="B3331">
        <v>0.98876768158843997</v>
      </c>
      <c r="C3331">
        <v>1.02496894016467</v>
      </c>
      <c r="D3331">
        <v>0.91468482980174803</v>
      </c>
      <c r="E3331">
        <v>0.32036155656130699</v>
      </c>
      <c r="F3331">
        <v>7.4775323726506193E-2</v>
      </c>
      <c r="G3331">
        <v>7.1425771458780804E-2</v>
      </c>
      <c r="H3331">
        <v>0</v>
      </c>
      <c r="I3331">
        <v>0</v>
      </c>
      <c r="J3331">
        <v>0</v>
      </c>
      <c r="K3331">
        <v>0</v>
      </c>
      <c r="L3331">
        <v>1781.3155386429901</v>
      </c>
      <c r="M3331">
        <v>36.400389609391397</v>
      </c>
      <c r="N3331">
        <v>48.9727951394012</v>
      </c>
      <c r="O3331">
        <v>48.789721864509602</v>
      </c>
      <c r="P3331">
        <v>-0.18404968307339201</v>
      </c>
      <c r="Q3331">
        <v>1.32297356507619E-2</v>
      </c>
      <c r="R3331">
        <v>0.99748103062723703</v>
      </c>
      <c r="S3331" t="s">
        <v>7163</v>
      </c>
      <c r="T3331" t="s">
        <v>7662</v>
      </c>
      <c r="U3331" t="s">
        <v>7662</v>
      </c>
      <c r="V3331" t="s">
        <v>7662</v>
      </c>
      <c r="W3331">
        <v>1</v>
      </c>
      <c r="X3331" t="s">
        <v>10993</v>
      </c>
      <c r="Y3331">
        <v>0.31122520831617673</v>
      </c>
      <c r="Z3331" t="str">
        <f>HYPERLINK("Melting_Curves/meltCurve_tr_C9JDR0_C9JDR0_HUMAN_.pdf", "Melting_Curves/meltCurve_tr_C9JDR0_C9JDR0_HUMAN_.pdf")</f>
        <v>Melting_Curves/meltCurve_tr_C9JDR0_C9JDR0_HUMAN_.pdf</v>
      </c>
      <c r="AA3331" t="s">
        <v>14781</v>
      </c>
      <c r="AB3331" t="s">
        <v>18566</v>
      </c>
    </row>
    <row r="3332" spans="1:28" x14ac:dyDescent="0.25">
      <c r="A3332" t="s">
        <v>3336</v>
      </c>
      <c r="B3332">
        <v>0.98876768158843997</v>
      </c>
      <c r="C3332">
        <v>1.0993032106467</v>
      </c>
      <c r="D3332">
        <v>1.02781888396083</v>
      </c>
      <c r="E3332">
        <v>0</v>
      </c>
      <c r="F3332">
        <v>0.38703716351036399</v>
      </c>
      <c r="G3332">
        <v>0.19523275499875001</v>
      </c>
      <c r="H3332">
        <v>0.11105864459288201</v>
      </c>
      <c r="I3332">
        <v>9.7247609528360701E-2</v>
      </c>
      <c r="J3332">
        <v>3.83234773264697E-2</v>
      </c>
      <c r="K3332">
        <v>2.8715072509456999E-2</v>
      </c>
      <c r="L3332">
        <v>11945.7394643682</v>
      </c>
      <c r="M3332">
        <v>250</v>
      </c>
      <c r="N3332">
        <v>47.836751114378899</v>
      </c>
      <c r="O3332">
        <v>47.779900338397397</v>
      </c>
      <c r="P3332">
        <v>-1.1478218596485901</v>
      </c>
      <c r="Q3332">
        <v>0.122514981083228</v>
      </c>
      <c r="R3332">
        <v>0.93725232794632696</v>
      </c>
      <c r="S3332" t="s">
        <v>7164</v>
      </c>
      <c r="T3332" t="s">
        <v>7662</v>
      </c>
      <c r="U3332" t="s">
        <v>7662</v>
      </c>
      <c r="V3332" t="s">
        <v>7662</v>
      </c>
      <c r="W3332">
        <v>1</v>
      </c>
      <c r="X3332" t="s">
        <v>10994</v>
      </c>
      <c r="Y3332">
        <v>0.35023619628652719</v>
      </c>
      <c r="Z3332" t="str">
        <f>HYPERLINK("Melting_Curves/meltCurve_tr_C9JEL3_C9JEL3_HUMAN_.pdf", "Melting_Curves/meltCurve_tr_C9JEL3_C9JEL3_HUMAN_.pdf")</f>
        <v>Melting_Curves/meltCurve_tr_C9JEL3_C9JEL3_HUMAN_.pdf</v>
      </c>
      <c r="AA3332" t="s">
        <v>14782</v>
      </c>
      <c r="AB3332" t="s">
        <v>18567</v>
      </c>
    </row>
    <row r="3333" spans="1:28" x14ac:dyDescent="0.25">
      <c r="A3333" t="s">
        <v>3337</v>
      </c>
      <c r="B3333">
        <v>0.98876768158843997</v>
      </c>
      <c r="C3333">
        <v>0.89916194952561002</v>
      </c>
      <c r="D3333">
        <v>1.0298126855768299</v>
      </c>
      <c r="E3333">
        <v>0.831772784627265</v>
      </c>
      <c r="F3333">
        <v>0.42296579359171699</v>
      </c>
      <c r="G3333">
        <v>0.151772791689436</v>
      </c>
      <c r="H3333">
        <v>6.0024789493339697E-2</v>
      </c>
      <c r="I3333">
        <v>4.8008634748376702E-2</v>
      </c>
      <c r="J3333">
        <v>5.4558164128624798E-2</v>
      </c>
      <c r="K3333">
        <v>4.2463657888956903E-2</v>
      </c>
      <c r="L3333">
        <v>1636.87423600032</v>
      </c>
      <c r="M3333">
        <v>31.2616471587632</v>
      </c>
      <c r="N3333">
        <v>52.547287254098002</v>
      </c>
      <c r="O3333">
        <v>52.147602322156303</v>
      </c>
      <c r="P3333">
        <v>-0.14198851557355199</v>
      </c>
      <c r="Q3333">
        <v>5.2600185097549802E-2</v>
      </c>
      <c r="R3333">
        <v>0.99219151857212595</v>
      </c>
      <c r="S3333" t="s">
        <v>7165</v>
      </c>
      <c r="T3333" t="s">
        <v>7662</v>
      </c>
      <c r="U3333" t="s">
        <v>7662</v>
      </c>
      <c r="V3333" t="s">
        <v>7662</v>
      </c>
      <c r="W3333">
        <v>10</v>
      </c>
      <c r="X3333" t="s">
        <v>10995</v>
      </c>
      <c r="Y3333">
        <v>0.44855367128275869</v>
      </c>
      <c r="Z3333" t="str">
        <f>HYPERLINK("Melting_Curves/meltCurve_tr_C9JFE4_C9JFE4_HUMAN_.pdf", "Melting_Curves/meltCurve_tr_C9JFE4_C9JFE4_HUMAN_.pdf")</f>
        <v>Melting_Curves/meltCurve_tr_C9JFE4_C9JFE4_HUMAN_.pdf</v>
      </c>
      <c r="AA3333" t="s">
        <v>14783</v>
      </c>
      <c r="AB3333" t="s">
        <v>18568</v>
      </c>
    </row>
    <row r="3334" spans="1:28" x14ac:dyDescent="0.25">
      <c r="A3334" t="s">
        <v>3338</v>
      </c>
      <c r="B3334">
        <v>0.98876768158843997</v>
      </c>
      <c r="C3334">
        <v>1.0121561459667101</v>
      </c>
      <c r="D3334">
        <v>0.79190088757404098</v>
      </c>
      <c r="E3334">
        <v>0.44763930848699701</v>
      </c>
      <c r="F3334">
        <v>0.285646734569109</v>
      </c>
      <c r="G3334">
        <v>0.138800306702515</v>
      </c>
      <c r="H3334">
        <v>8.7629018142087803E-2</v>
      </c>
      <c r="I3334">
        <v>9.17991641753437E-2</v>
      </c>
      <c r="J3334">
        <v>8.17655239446997E-2</v>
      </c>
      <c r="K3334">
        <v>9.3614330951726402E-2</v>
      </c>
      <c r="L3334">
        <v>980.14060336384898</v>
      </c>
      <c r="M3334">
        <v>19.949916017279701</v>
      </c>
      <c r="N3334">
        <v>49.585012461285601</v>
      </c>
      <c r="O3334">
        <v>48.6444081025288</v>
      </c>
      <c r="P3334">
        <v>-9.3957489290139196E-2</v>
      </c>
      <c r="Q3334">
        <v>8.3634043631483801E-2</v>
      </c>
      <c r="R3334">
        <v>0.99597817783288201</v>
      </c>
      <c r="S3334" t="s">
        <v>7166</v>
      </c>
      <c r="T3334" t="s">
        <v>7662</v>
      </c>
      <c r="U3334" t="s">
        <v>7662</v>
      </c>
      <c r="V3334" t="s">
        <v>7662</v>
      </c>
      <c r="W3334">
        <v>5</v>
      </c>
      <c r="X3334" t="s">
        <v>10996</v>
      </c>
      <c r="Y3334">
        <v>0.37540324163969269</v>
      </c>
      <c r="Z3334" t="str">
        <f>HYPERLINK("Melting_Curves/meltCurve_tr_C9JG87_C9JG87_HUMAN_.pdf", "Melting_Curves/meltCurve_tr_C9JG87_C9JG87_HUMAN_.pdf")</f>
        <v>Melting_Curves/meltCurve_tr_C9JG87_C9JG87_HUMAN_.pdf</v>
      </c>
      <c r="AA3334" t="s">
        <v>14784</v>
      </c>
      <c r="AB3334" t="s">
        <v>18569</v>
      </c>
    </row>
    <row r="3335" spans="1:28" x14ac:dyDescent="0.25">
      <c r="A3335" t="s">
        <v>3339</v>
      </c>
      <c r="B3335">
        <v>0.98876768158843997</v>
      </c>
      <c r="C3335">
        <v>1.0637073834875499</v>
      </c>
      <c r="D3335">
        <v>0.93194946044141302</v>
      </c>
      <c r="E3335">
        <v>0.84510069232000096</v>
      </c>
      <c r="F3335">
        <v>0.80850999004180102</v>
      </c>
      <c r="G3335">
        <v>0.51968104853294095</v>
      </c>
      <c r="H3335">
        <v>0.14607979713008401</v>
      </c>
      <c r="I3335">
        <v>8.8392172006838104E-2</v>
      </c>
      <c r="J3335">
        <v>0.14078611453841999</v>
      </c>
      <c r="K3335">
        <v>7.9366743725593894E-2</v>
      </c>
      <c r="L3335">
        <v>1124.00047483553</v>
      </c>
      <c r="M3335">
        <v>19.966600570010399</v>
      </c>
      <c r="N3335">
        <v>56.581862635939999</v>
      </c>
      <c r="O3335">
        <v>55.738474823252503</v>
      </c>
      <c r="P3335">
        <v>-8.5232967381969296E-2</v>
      </c>
      <c r="Q3335">
        <v>4.8290682018661601E-2</v>
      </c>
      <c r="R3335">
        <v>0.98180017414263399</v>
      </c>
      <c r="S3335" t="s">
        <v>7167</v>
      </c>
      <c r="T3335" t="s">
        <v>7662</v>
      </c>
      <c r="U3335" t="s">
        <v>7662</v>
      </c>
      <c r="V3335" t="s">
        <v>7662</v>
      </c>
      <c r="W3335">
        <v>4</v>
      </c>
      <c r="X3335" t="s">
        <v>10997</v>
      </c>
      <c r="Y3335">
        <v>0.57732647790412783</v>
      </c>
      <c r="Z3335" t="str">
        <f>HYPERLINK("Melting_Curves/meltCurve_tr_C9JG97_C9JG97_HUMAN_.pdf", "Melting_Curves/meltCurve_tr_C9JG97_C9JG97_HUMAN_.pdf")</f>
        <v>Melting_Curves/meltCurve_tr_C9JG97_C9JG97_HUMAN_.pdf</v>
      </c>
      <c r="AA3335" t="s">
        <v>14785</v>
      </c>
      <c r="AB3335" t="s">
        <v>18570</v>
      </c>
    </row>
    <row r="3336" spans="1:28" x14ac:dyDescent="0.25">
      <c r="A3336" t="s">
        <v>3340</v>
      </c>
      <c r="B3336">
        <v>0.98876768158843997</v>
      </c>
      <c r="C3336">
        <v>0.84746477630804795</v>
      </c>
      <c r="D3336">
        <v>0.65695832237319896</v>
      </c>
      <c r="E3336">
        <v>0.22592285870336101</v>
      </c>
      <c r="F3336">
        <v>0.113934106604372</v>
      </c>
      <c r="G3336">
        <v>7.0157206956230206E-2</v>
      </c>
      <c r="H3336">
        <v>4.2009466683127099E-2</v>
      </c>
      <c r="I3336">
        <v>3.8304313583753899E-2</v>
      </c>
      <c r="J3336">
        <v>5.0120088411951598E-2</v>
      </c>
      <c r="K3336">
        <v>1.21325614456483E-2</v>
      </c>
      <c r="L3336">
        <v>986.98214743105598</v>
      </c>
      <c r="M3336">
        <v>20.992600551902498</v>
      </c>
      <c r="N3336">
        <v>47.167700452580597</v>
      </c>
      <c r="O3336">
        <v>46.595314211929697</v>
      </c>
      <c r="P3336">
        <v>-0.108951708354219</v>
      </c>
      <c r="Q3336">
        <v>3.2706282109507601E-2</v>
      </c>
      <c r="R3336">
        <v>0.99690125985793199</v>
      </c>
      <c r="S3336" t="s">
        <v>7168</v>
      </c>
      <c r="T3336" t="s">
        <v>7662</v>
      </c>
      <c r="U3336" t="s">
        <v>7662</v>
      </c>
      <c r="V3336" t="s">
        <v>7662</v>
      </c>
      <c r="W3336">
        <v>3</v>
      </c>
      <c r="X3336" t="s">
        <v>10998</v>
      </c>
      <c r="Y3336">
        <v>0.27162797931686239</v>
      </c>
      <c r="Z3336" t="str">
        <f>HYPERLINK("Melting_Curves/meltCurve_tr_C9JGB2_C9JGB2_HUMAN_.pdf", "Melting_Curves/meltCurve_tr_C9JGB2_C9JGB2_HUMAN_.pdf")</f>
        <v>Melting_Curves/meltCurve_tr_C9JGB2_C9JGB2_HUMAN_.pdf</v>
      </c>
      <c r="AA3336" t="s">
        <v>14786</v>
      </c>
      <c r="AB3336" t="s">
        <v>18571</v>
      </c>
    </row>
    <row r="3337" spans="1:28" x14ac:dyDescent="0.25">
      <c r="A3337" t="s">
        <v>3341</v>
      </c>
      <c r="B3337">
        <v>0.98876768158843997</v>
      </c>
      <c r="C3337">
        <v>1.15210643226897</v>
      </c>
      <c r="D3337">
        <v>0.756808764936167</v>
      </c>
      <c r="E3337">
        <v>0.50452483200235798</v>
      </c>
      <c r="F3337">
        <v>0.119915639703392</v>
      </c>
      <c r="G3337">
        <v>9.9767104779022606E-2</v>
      </c>
      <c r="H3337">
        <v>4.40407423559614E-2</v>
      </c>
      <c r="I3337">
        <v>5.2984661363314998E-2</v>
      </c>
      <c r="J3337">
        <v>6.1354260097876201E-2</v>
      </c>
      <c r="K3337">
        <v>4.9418613105909899E-2</v>
      </c>
      <c r="L3337">
        <v>1217.45242032434</v>
      </c>
      <c r="M3337">
        <v>24.719476798340899</v>
      </c>
      <c r="N3337">
        <v>49.4468630450869</v>
      </c>
      <c r="O3337">
        <v>48.9318102266366</v>
      </c>
      <c r="P3337">
        <v>-0.12039958853385201</v>
      </c>
      <c r="Q3337">
        <v>4.6697142046119203E-2</v>
      </c>
      <c r="R3337">
        <v>0.969742800146279</v>
      </c>
      <c r="S3337" t="s">
        <v>7169</v>
      </c>
      <c r="T3337" t="s">
        <v>7662</v>
      </c>
      <c r="U3337" t="s">
        <v>7662</v>
      </c>
      <c r="V3337" t="s">
        <v>7662</v>
      </c>
      <c r="W3337">
        <v>2</v>
      </c>
      <c r="X3337" t="s">
        <v>10999</v>
      </c>
      <c r="Y3337">
        <v>0.34931593579224701</v>
      </c>
      <c r="Z3337" t="str">
        <f>HYPERLINK("Melting_Curves/meltCurve_tr_C9JIK8_C9JIK8_HUMAN_.pdf", "Melting_Curves/meltCurve_tr_C9JIK8_C9JIK8_HUMAN_.pdf")</f>
        <v>Melting_Curves/meltCurve_tr_C9JIK8_C9JIK8_HUMAN_.pdf</v>
      </c>
      <c r="AA3337" t="s">
        <v>14787</v>
      </c>
      <c r="AB3337" t="s">
        <v>18572</v>
      </c>
    </row>
    <row r="3338" spans="1:28" x14ac:dyDescent="0.25">
      <c r="A3338" t="s">
        <v>3342</v>
      </c>
      <c r="B3338">
        <v>0.98876768158843997</v>
      </c>
      <c r="C3338">
        <v>1.21262456185277</v>
      </c>
      <c r="D3338">
        <v>1.1164474865319201</v>
      </c>
      <c r="E3338">
        <v>0.86191559547985297</v>
      </c>
      <c r="F3338">
        <v>0.81122040093302294</v>
      </c>
      <c r="G3338">
        <v>0.58621113848736806</v>
      </c>
      <c r="H3338">
        <v>0.378340574698598</v>
      </c>
      <c r="I3338">
        <v>0.263140550987216</v>
      </c>
      <c r="J3338">
        <v>0.17265052652315099</v>
      </c>
      <c r="K3338">
        <v>0.227977622714058</v>
      </c>
      <c r="L3338">
        <v>985.38518062724495</v>
      </c>
      <c r="M3338">
        <v>17.312287220103102</v>
      </c>
      <c r="N3338">
        <v>58.2261129307891</v>
      </c>
      <c r="O3338">
        <v>56.175085318775402</v>
      </c>
      <c r="P3338">
        <v>-6.46386486788154E-2</v>
      </c>
      <c r="Q3338">
        <v>0.161087474963411</v>
      </c>
      <c r="R3338">
        <v>0.94678670923868402</v>
      </c>
      <c r="S3338" t="s">
        <v>7170</v>
      </c>
      <c r="T3338" t="s">
        <v>7662</v>
      </c>
      <c r="U3338" t="s">
        <v>7662</v>
      </c>
      <c r="V3338" t="s">
        <v>7662</v>
      </c>
      <c r="W3338">
        <v>2</v>
      </c>
      <c r="X3338" t="s">
        <v>11000</v>
      </c>
      <c r="Y3338">
        <v>0.64621687151608564</v>
      </c>
      <c r="Z3338" t="str">
        <f>HYPERLINK("Melting_Curves/meltCurve_tr_C9JJ54_C9JJ54_HUMAN_.pdf", "Melting_Curves/meltCurve_tr_C9JJ54_C9JJ54_HUMAN_.pdf")</f>
        <v>Melting_Curves/meltCurve_tr_C9JJ54_C9JJ54_HUMAN_.pdf</v>
      </c>
      <c r="AA3338" t="s">
        <v>14788</v>
      </c>
      <c r="AB3338" t="s">
        <v>18573</v>
      </c>
    </row>
    <row r="3339" spans="1:28" x14ac:dyDescent="0.25">
      <c r="A3339" t="s">
        <v>3343</v>
      </c>
      <c r="B3339">
        <v>0.98876768158843997</v>
      </c>
      <c r="C3339">
        <v>0.92549319425431098</v>
      </c>
      <c r="D3339">
        <v>0.78196564788227296</v>
      </c>
      <c r="E3339">
        <v>0.64266836587563103</v>
      </c>
      <c r="F3339">
        <v>0.71667725710754104</v>
      </c>
      <c r="G3339">
        <v>0.49351418376838402</v>
      </c>
      <c r="H3339">
        <v>0.38182216415151599</v>
      </c>
      <c r="I3339">
        <v>0.35875165259782499</v>
      </c>
      <c r="J3339">
        <v>0.62011709437347695</v>
      </c>
      <c r="K3339">
        <v>0.67071652582882701</v>
      </c>
      <c r="L3339">
        <v>729.74003001057304</v>
      </c>
      <c r="M3339">
        <v>15.3995924037502</v>
      </c>
      <c r="O3339">
        <v>46.609471145757901</v>
      </c>
      <c r="P3339">
        <v>-4.0470930784189098E-2</v>
      </c>
      <c r="Q3339">
        <v>0.51007636409619295</v>
      </c>
      <c r="R3339">
        <v>0.74151978574819899</v>
      </c>
      <c r="S3339" t="s">
        <v>7171</v>
      </c>
      <c r="T3339" t="s">
        <v>7662</v>
      </c>
      <c r="U3339" t="s">
        <v>7662</v>
      </c>
      <c r="V3339" t="s">
        <v>7662</v>
      </c>
      <c r="W3339">
        <v>2</v>
      </c>
      <c r="X3339" t="s">
        <v>11001</v>
      </c>
      <c r="Y3339">
        <v>0.64304209116308642</v>
      </c>
      <c r="Z3339" t="str">
        <f>HYPERLINK("Melting_Curves/meltCurve_tr_C9JJV1_C9JJV1_HUMAN_.pdf", "Melting_Curves/meltCurve_tr_C9JJV1_C9JJV1_HUMAN_.pdf")</f>
        <v>Melting_Curves/meltCurve_tr_C9JJV1_C9JJV1_HUMAN_.pdf</v>
      </c>
      <c r="AA3339" t="s">
        <v>14789</v>
      </c>
      <c r="AB3339" t="s">
        <v>18574</v>
      </c>
    </row>
    <row r="3340" spans="1:28" x14ac:dyDescent="0.25">
      <c r="A3340" t="s">
        <v>3344</v>
      </c>
      <c r="B3340">
        <v>0.98876768158843997</v>
      </c>
      <c r="C3340">
        <v>1.05039943709928</v>
      </c>
      <c r="D3340">
        <v>0.69139654869269995</v>
      </c>
      <c r="E3340">
        <v>0.20950384405425901</v>
      </c>
      <c r="F3340">
        <v>0.123462359896694</v>
      </c>
      <c r="G3340">
        <v>5.9297623632593603E-2</v>
      </c>
      <c r="H3340">
        <v>4.8086360026020999E-2</v>
      </c>
      <c r="I3340">
        <v>4.3945491289702897E-2</v>
      </c>
      <c r="J3340">
        <v>4.7347712695010702E-2</v>
      </c>
      <c r="K3340">
        <v>4.1081783067706303E-2</v>
      </c>
      <c r="L3340">
        <v>1468.55126096616</v>
      </c>
      <c r="M3340">
        <v>31.065740149324501</v>
      </c>
      <c r="N3340">
        <v>47.448454074305602</v>
      </c>
      <c r="O3340">
        <v>47.077796088584599</v>
      </c>
      <c r="P3340">
        <v>-0.155989548632853</v>
      </c>
      <c r="Q3340">
        <v>5.4443809122632102E-2</v>
      </c>
      <c r="R3340">
        <v>0.99316247945493796</v>
      </c>
      <c r="S3340" t="s">
        <v>7172</v>
      </c>
      <c r="T3340" t="s">
        <v>7662</v>
      </c>
      <c r="U3340" t="s">
        <v>7662</v>
      </c>
      <c r="V3340" t="s">
        <v>7662</v>
      </c>
      <c r="W3340">
        <v>5</v>
      </c>
      <c r="X3340" t="s">
        <v>11002</v>
      </c>
      <c r="Y3340">
        <v>0.28892258057404102</v>
      </c>
      <c r="Z3340" t="str">
        <f>HYPERLINK("Melting_Curves/meltCurve_tr_C9JNE2_C9JNE2_HUMAN_.pdf", "Melting_Curves/meltCurve_tr_C9JNE2_C9JNE2_HUMAN_.pdf")</f>
        <v>Melting_Curves/meltCurve_tr_C9JNE2_C9JNE2_HUMAN_.pdf</v>
      </c>
      <c r="AA3340" t="s">
        <v>14790</v>
      </c>
      <c r="AB3340" t="s">
        <v>18575</v>
      </c>
    </row>
    <row r="3341" spans="1:28" x14ac:dyDescent="0.25">
      <c r="A3341" t="s">
        <v>3345</v>
      </c>
      <c r="B3341">
        <v>0.98876768158843997</v>
      </c>
      <c r="C3341">
        <v>1.04077368329896</v>
      </c>
      <c r="D3341">
        <v>0.956452526163864</v>
      </c>
      <c r="E3341">
        <v>0.66544005438562603</v>
      </c>
      <c r="F3341">
        <v>0.64553048360165299</v>
      </c>
      <c r="G3341">
        <v>0.36627239809251599</v>
      </c>
      <c r="H3341">
        <v>0.31394967354276099</v>
      </c>
      <c r="I3341">
        <v>0.380574862498683</v>
      </c>
      <c r="J3341">
        <v>0.63933256166698105</v>
      </c>
      <c r="K3341">
        <v>0.569017675574916</v>
      </c>
      <c r="L3341">
        <v>1358.0706180310699</v>
      </c>
      <c r="M3341">
        <v>27.340729883342298</v>
      </c>
      <c r="N3341">
        <v>54.9193693858562</v>
      </c>
      <c r="O3341">
        <v>49.408617346280501</v>
      </c>
      <c r="P3341">
        <v>-7.4245416668772393E-2</v>
      </c>
      <c r="Q3341">
        <v>0.463316625339389</v>
      </c>
      <c r="R3341">
        <v>0.84323059064456596</v>
      </c>
      <c r="S3341" t="s">
        <v>7173</v>
      </c>
      <c r="T3341" t="s">
        <v>7662</v>
      </c>
      <c r="U3341" t="s">
        <v>7662</v>
      </c>
      <c r="V3341" t="s">
        <v>7662</v>
      </c>
      <c r="W3341">
        <v>1</v>
      </c>
      <c r="X3341" t="s">
        <v>11003</v>
      </c>
      <c r="Y3341">
        <v>0.6403319294455978</v>
      </c>
      <c r="Z3341" t="str">
        <f>HYPERLINK("Melting_Curves/meltCurve_tr_C9JP32_C9JP32_HUMAN_.pdf", "Melting_Curves/meltCurve_tr_C9JP32_C9JP32_HUMAN_.pdf")</f>
        <v>Melting_Curves/meltCurve_tr_C9JP32_C9JP32_HUMAN_.pdf</v>
      </c>
      <c r="AA3341" t="s">
        <v>14791</v>
      </c>
      <c r="AB3341" t="s">
        <v>18576</v>
      </c>
    </row>
    <row r="3342" spans="1:28" x14ac:dyDescent="0.25">
      <c r="A3342" t="s">
        <v>3346</v>
      </c>
      <c r="B3342">
        <v>0.98876768158843997</v>
      </c>
      <c r="C3342">
        <v>0.69292594629537296</v>
      </c>
      <c r="D3342">
        <v>0.53684063757103195</v>
      </c>
      <c r="E3342">
        <v>0.23772390584915101</v>
      </c>
      <c r="F3342">
        <v>0.14316448456925801</v>
      </c>
      <c r="G3342">
        <v>7.8052068391036095E-2</v>
      </c>
      <c r="H3342">
        <v>5.2841960459583399E-2</v>
      </c>
      <c r="I3342">
        <v>4.5323821888048697E-2</v>
      </c>
      <c r="J3342">
        <v>5.3223497700423103E-2</v>
      </c>
      <c r="K3342">
        <v>4.1632248886625797E-2</v>
      </c>
      <c r="L3342">
        <v>733.07049872141602</v>
      </c>
      <c r="M3342">
        <v>15.985550295343501</v>
      </c>
      <c r="N3342">
        <v>46.095789380621397</v>
      </c>
      <c r="O3342">
        <v>45.158659338445503</v>
      </c>
      <c r="P3342">
        <v>-8.5005350712241995E-2</v>
      </c>
      <c r="Q3342">
        <v>3.9525957213615202E-2</v>
      </c>
      <c r="R3342">
        <v>0.98927782487303895</v>
      </c>
      <c r="S3342" t="s">
        <v>7174</v>
      </c>
      <c r="T3342" t="s">
        <v>7662</v>
      </c>
      <c r="U3342" t="s">
        <v>7662</v>
      </c>
      <c r="V3342" t="s">
        <v>7662</v>
      </c>
      <c r="W3342">
        <v>4</v>
      </c>
      <c r="X3342" t="s">
        <v>11004</v>
      </c>
      <c r="Y3342">
        <v>0.25186706425280031</v>
      </c>
      <c r="Z3342" t="str">
        <f>HYPERLINK("Melting_Curves/meltCurve_tr_C9JPM4_C9JPM4_HUMAN_.pdf", "Melting_Curves/meltCurve_tr_C9JPM4_C9JPM4_HUMAN_.pdf")</f>
        <v>Melting_Curves/meltCurve_tr_C9JPM4_C9JPM4_HUMAN_.pdf</v>
      </c>
      <c r="AA3342" t="s">
        <v>14792</v>
      </c>
      <c r="AB3342" t="s">
        <v>18577</v>
      </c>
    </row>
    <row r="3343" spans="1:28" x14ac:dyDescent="0.25">
      <c r="A3343" t="s">
        <v>3347</v>
      </c>
      <c r="B3343">
        <v>0.98876768158843997</v>
      </c>
      <c r="C3343">
        <v>1.1756518343044999</v>
      </c>
      <c r="D3343">
        <v>0.879750342628011</v>
      </c>
      <c r="E3343">
        <v>0.81840505446090495</v>
      </c>
      <c r="F3343">
        <v>1.01526573117888</v>
      </c>
      <c r="G3343">
        <v>0.743918346235102</v>
      </c>
      <c r="H3343">
        <v>0.56263646510910503</v>
      </c>
      <c r="I3343">
        <v>0.62719902406567096</v>
      </c>
      <c r="J3343">
        <v>0.75173497248756405</v>
      </c>
      <c r="K3343">
        <v>0.90902666686960498</v>
      </c>
      <c r="L3343">
        <v>14130.1365626352</v>
      </c>
      <c r="M3343">
        <v>250</v>
      </c>
      <c r="O3343">
        <v>56.516929338448101</v>
      </c>
      <c r="P3343">
        <v>-0.31777062281698099</v>
      </c>
      <c r="Q3343">
        <v>0.71264928310973696</v>
      </c>
      <c r="R3343">
        <v>0.52241395305761196</v>
      </c>
      <c r="S3343" t="s">
        <v>7175</v>
      </c>
      <c r="T3343" t="s">
        <v>7662</v>
      </c>
      <c r="U3343" t="s">
        <v>7662</v>
      </c>
      <c r="V3343" t="s">
        <v>7662</v>
      </c>
      <c r="W3343">
        <v>6</v>
      </c>
      <c r="X3343" t="s">
        <v>11005</v>
      </c>
      <c r="Y3343">
        <v>0.87091747981421774</v>
      </c>
      <c r="Z3343" t="str">
        <f>HYPERLINK("Melting_Curves/meltCurve_tr_C9JQ41_C9JQ41_HUMAN_.pdf", "Melting_Curves/meltCurve_tr_C9JQ41_C9JQ41_HUMAN_.pdf")</f>
        <v>Melting_Curves/meltCurve_tr_C9JQ41_C9JQ41_HUMAN_.pdf</v>
      </c>
      <c r="AA3343" t="s">
        <v>14793</v>
      </c>
      <c r="AB3343" t="s">
        <v>18578</v>
      </c>
    </row>
    <row r="3344" spans="1:28" x14ac:dyDescent="0.25">
      <c r="A3344" t="s">
        <v>3348</v>
      </c>
      <c r="B3344">
        <v>0.98876768158843997</v>
      </c>
      <c r="C3344">
        <v>1.09934875204428</v>
      </c>
      <c r="D3344">
        <v>0.94744460699970201</v>
      </c>
      <c r="E3344">
        <v>0.68626314865101501</v>
      </c>
      <c r="F3344">
        <v>0.26941193337323799</v>
      </c>
      <c r="G3344">
        <v>0.14592847260810199</v>
      </c>
      <c r="H3344">
        <v>8.5432233013284703E-2</v>
      </c>
      <c r="I3344">
        <v>8.4299906639740907E-2</v>
      </c>
      <c r="J3344">
        <v>0.100439829837404</v>
      </c>
      <c r="K3344">
        <v>5.6768067440648502E-2</v>
      </c>
      <c r="L3344">
        <v>1671.3026240431</v>
      </c>
      <c r="M3344">
        <v>32.820939722127399</v>
      </c>
      <c r="N3344">
        <v>51.217004472918802</v>
      </c>
      <c r="O3344">
        <v>50.733918382307202</v>
      </c>
      <c r="P3344">
        <v>-0.14779581531897101</v>
      </c>
      <c r="Q3344">
        <v>8.6165584923040398E-2</v>
      </c>
      <c r="R3344">
        <v>0.99195560370504998</v>
      </c>
      <c r="S3344" t="s">
        <v>7176</v>
      </c>
      <c r="T3344" t="s">
        <v>7662</v>
      </c>
      <c r="U3344" t="s">
        <v>7662</v>
      </c>
      <c r="V3344" t="s">
        <v>7662</v>
      </c>
      <c r="W3344">
        <v>4</v>
      </c>
      <c r="X3344" t="s">
        <v>11006</v>
      </c>
      <c r="Y3344">
        <v>0.42364803388043037</v>
      </c>
      <c r="Z3344" t="str">
        <f>HYPERLINK("Melting_Curves/meltCurve_tr_C9JQD4_C9JQD4_HUMAN_.pdf", "Melting_Curves/meltCurve_tr_C9JQD4_C9JQD4_HUMAN_.pdf")</f>
        <v>Melting_Curves/meltCurve_tr_C9JQD4_C9JQD4_HUMAN_.pdf</v>
      </c>
      <c r="AA3344" t="s">
        <v>14794</v>
      </c>
      <c r="AB3344" t="s">
        <v>18579</v>
      </c>
    </row>
    <row r="3345" spans="1:28" x14ac:dyDescent="0.25">
      <c r="A3345" t="s">
        <v>3349</v>
      </c>
      <c r="B3345">
        <v>0.98876768158843997</v>
      </c>
      <c r="C3345">
        <v>0.94182977665448198</v>
      </c>
      <c r="D3345">
        <v>0.76107297669987595</v>
      </c>
      <c r="E3345">
        <v>0.553272348404383</v>
      </c>
      <c r="F3345">
        <v>0.111850315760277</v>
      </c>
      <c r="G3345">
        <v>7.6108340777436403E-2</v>
      </c>
      <c r="H3345">
        <v>5.0111267605168597E-2</v>
      </c>
      <c r="I3345">
        <v>3.5884660705650898E-2</v>
      </c>
      <c r="J3345">
        <v>5.1490086754949899E-2</v>
      </c>
      <c r="K3345">
        <v>2.4708500849029799E-2</v>
      </c>
      <c r="L3345">
        <v>1008.95348542328</v>
      </c>
      <c r="M3345">
        <v>20.4381549520973</v>
      </c>
      <c r="N3345">
        <v>49.473576869893598</v>
      </c>
      <c r="O3345">
        <v>48.9008509250218</v>
      </c>
      <c r="P3345">
        <v>-0.102223376485788</v>
      </c>
      <c r="Q3345">
        <v>2.1700038345535001E-2</v>
      </c>
      <c r="R3345">
        <v>0.98222878066974495</v>
      </c>
      <c r="S3345" t="s">
        <v>7177</v>
      </c>
      <c r="T3345" t="s">
        <v>7662</v>
      </c>
      <c r="U3345" t="s">
        <v>7662</v>
      </c>
      <c r="V3345" t="s">
        <v>7662</v>
      </c>
      <c r="W3345">
        <v>4</v>
      </c>
      <c r="X3345" t="s">
        <v>11007</v>
      </c>
      <c r="Y3345">
        <v>0.34021348149942499</v>
      </c>
      <c r="Z3345" t="str">
        <f>HYPERLINK("Melting_Curves/meltCurve_tr_C9JS27_C9JS27_HUMAN_.pdf", "Melting_Curves/meltCurve_tr_C9JS27_C9JS27_HUMAN_.pdf")</f>
        <v>Melting_Curves/meltCurve_tr_C9JS27_C9JS27_HUMAN_.pdf</v>
      </c>
      <c r="AA3345" t="s">
        <v>14795</v>
      </c>
      <c r="AB3345" t="s">
        <v>18580</v>
      </c>
    </row>
    <row r="3346" spans="1:28" x14ac:dyDescent="0.25">
      <c r="A3346" t="s">
        <v>3350</v>
      </c>
      <c r="B3346">
        <v>0.98876768158843997</v>
      </c>
      <c r="C3346">
        <v>0.93806771108463805</v>
      </c>
      <c r="D3346">
        <v>0.92364369148992598</v>
      </c>
      <c r="E3346">
        <v>0.66659222281402497</v>
      </c>
      <c r="F3346">
        <v>0.53667156216906897</v>
      </c>
      <c r="G3346">
        <v>0.23984838219917401</v>
      </c>
      <c r="H3346">
        <v>0.15638472067762599</v>
      </c>
      <c r="I3346">
        <v>0.11763694492528599</v>
      </c>
      <c r="J3346">
        <v>0.18322053365624699</v>
      </c>
      <c r="K3346">
        <v>4.7084682298259101E-2</v>
      </c>
      <c r="L3346">
        <v>817.75195862318606</v>
      </c>
      <c r="M3346">
        <v>15.640913742233799</v>
      </c>
      <c r="N3346">
        <v>52.848433081664602</v>
      </c>
      <c r="O3346">
        <v>51.450580864611197</v>
      </c>
      <c r="P3346">
        <v>-7.0149041679985397E-2</v>
      </c>
      <c r="Q3346">
        <v>7.7061302425424499E-2</v>
      </c>
      <c r="R3346">
        <v>0.98876198210310196</v>
      </c>
      <c r="S3346" t="s">
        <v>7178</v>
      </c>
      <c r="T3346" t="s">
        <v>7662</v>
      </c>
      <c r="U3346" t="s">
        <v>7662</v>
      </c>
      <c r="V3346" t="s">
        <v>7662</v>
      </c>
      <c r="W3346">
        <v>1</v>
      </c>
      <c r="X3346" t="s">
        <v>11008</v>
      </c>
      <c r="Y3346">
        <v>0.47411243263789149</v>
      </c>
      <c r="Z3346" t="str">
        <f>HYPERLINK("Melting_Curves/meltCurve_tr_C9JSR1_C9JSR1_HUMAN_.pdf", "Melting_Curves/meltCurve_tr_C9JSR1_C9JSR1_HUMAN_.pdf")</f>
        <v>Melting_Curves/meltCurve_tr_C9JSR1_C9JSR1_HUMAN_.pdf</v>
      </c>
      <c r="AA3346" t="s">
        <v>14796</v>
      </c>
      <c r="AB3346" t="s">
        <v>18581</v>
      </c>
    </row>
    <row r="3347" spans="1:28" x14ac:dyDescent="0.25">
      <c r="A3347" t="s">
        <v>3351</v>
      </c>
      <c r="B3347">
        <v>0.98876768158843997</v>
      </c>
      <c r="C3347">
        <v>0.822374175728116</v>
      </c>
      <c r="D3347">
        <v>0.85366328796425095</v>
      </c>
      <c r="E3347">
        <v>0.59719204908145096</v>
      </c>
      <c r="F3347">
        <v>0.37116617690179698</v>
      </c>
      <c r="G3347">
        <v>0.24572541810934401</v>
      </c>
      <c r="H3347">
        <v>0.10760482859778001</v>
      </c>
      <c r="I3347">
        <v>8.0766597236103604E-2</v>
      </c>
      <c r="J3347">
        <v>8.9662182200299395E-2</v>
      </c>
      <c r="K3347">
        <v>4.7230448593448403E-2</v>
      </c>
      <c r="L3347">
        <v>634.14274353359895</v>
      </c>
      <c r="M3347">
        <v>12.399561350919599</v>
      </c>
      <c r="N3347">
        <v>51.262305850464003</v>
      </c>
      <c r="O3347">
        <v>49.866770245549098</v>
      </c>
      <c r="P3347">
        <v>-6.1287586957734203E-2</v>
      </c>
      <c r="Q3347">
        <v>1.42989219092618E-2</v>
      </c>
      <c r="R3347">
        <v>0.98768518639634195</v>
      </c>
      <c r="S3347" t="s">
        <v>7179</v>
      </c>
      <c r="T3347" t="s">
        <v>7662</v>
      </c>
      <c r="U3347" t="s">
        <v>7662</v>
      </c>
      <c r="V3347" t="s">
        <v>7662</v>
      </c>
      <c r="W3347">
        <v>9</v>
      </c>
      <c r="X3347" t="s">
        <v>11009</v>
      </c>
      <c r="Y3347">
        <v>0.41081259397645259</v>
      </c>
      <c r="Z3347" t="str">
        <f>HYPERLINK("Melting_Curves/meltCurve_tr_C9JV49_C9JV49_HUMAN_.pdf", "Melting_Curves/meltCurve_tr_C9JV49_C9JV49_HUMAN_.pdf")</f>
        <v>Melting_Curves/meltCurve_tr_C9JV49_C9JV49_HUMAN_.pdf</v>
      </c>
      <c r="AA3347" t="s">
        <v>14797</v>
      </c>
      <c r="AB3347" t="s">
        <v>18582</v>
      </c>
    </row>
    <row r="3348" spans="1:28" x14ac:dyDescent="0.25">
      <c r="A3348" t="s">
        <v>3352</v>
      </c>
      <c r="B3348">
        <v>0.98876768158843997</v>
      </c>
      <c r="C3348">
        <v>0.86840696825679797</v>
      </c>
      <c r="D3348">
        <v>0.78924075252154402</v>
      </c>
      <c r="E3348">
        <v>0.53161676679678105</v>
      </c>
      <c r="F3348">
        <v>0.28719337972528097</v>
      </c>
      <c r="G3348">
        <v>0.16722438324650499</v>
      </c>
      <c r="H3348">
        <v>8.5520106526692105E-2</v>
      </c>
      <c r="I3348">
        <v>5.7011491326395498E-2</v>
      </c>
      <c r="J3348">
        <v>8.5696093635028794E-2</v>
      </c>
      <c r="K3348">
        <v>5.8937084497787798E-2</v>
      </c>
      <c r="L3348">
        <v>738.143309331821</v>
      </c>
      <c r="M3348">
        <v>14.841497212543199</v>
      </c>
      <c r="N3348">
        <v>50.013970215452296</v>
      </c>
      <c r="O3348">
        <v>48.858347999938601</v>
      </c>
      <c r="P3348">
        <v>-7.2933390964926501E-2</v>
      </c>
      <c r="Q3348">
        <v>3.9711516050511299E-2</v>
      </c>
      <c r="R3348">
        <v>0.99551987059145197</v>
      </c>
      <c r="S3348" t="s">
        <v>7180</v>
      </c>
      <c r="T3348" t="s">
        <v>7662</v>
      </c>
      <c r="U3348" t="s">
        <v>7662</v>
      </c>
      <c r="V3348" t="s">
        <v>7662</v>
      </c>
      <c r="W3348">
        <v>4</v>
      </c>
      <c r="X3348" t="s">
        <v>11010</v>
      </c>
      <c r="Y3348">
        <v>0.37487179468344661</v>
      </c>
      <c r="Z3348" t="str">
        <f>HYPERLINK("Melting_Curves/meltCurve_tr_C9JVN9_C9JVN9_HUMAN_.pdf", "Melting_Curves/meltCurve_tr_C9JVN9_C9JVN9_HUMAN_.pdf")</f>
        <v>Melting_Curves/meltCurve_tr_C9JVN9_C9JVN9_HUMAN_.pdf</v>
      </c>
      <c r="AA3348" t="s">
        <v>14798</v>
      </c>
      <c r="AB3348" t="s">
        <v>18583</v>
      </c>
    </row>
    <row r="3349" spans="1:28" x14ac:dyDescent="0.25">
      <c r="A3349" t="s">
        <v>3353</v>
      </c>
      <c r="B3349">
        <v>0.98876768158843997</v>
      </c>
      <c r="C3349">
        <v>0.76071232153393398</v>
      </c>
      <c r="D3349">
        <v>0.37921551229653699</v>
      </c>
      <c r="E3349">
        <v>0.21600860747867101</v>
      </c>
      <c r="F3349">
        <v>0.110796006414525</v>
      </c>
      <c r="G3349">
        <v>6.9399953326951397E-2</v>
      </c>
      <c r="H3349">
        <v>4.7049572301748499E-2</v>
      </c>
      <c r="I3349">
        <v>4.46964956367778E-2</v>
      </c>
      <c r="J3349">
        <v>5.8866782439813699E-2</v>
      </c>
      <c r="K3349">
        <v>5.1040202731280002E-2</v>
      </c>
      <c r="L3349">
        <v>974.54140113232097</v>
      </c>
      <c r="M3349">
        <v>21.6662579843257</v>
      </c>
      <c r="N3349">
        <v>45.250102039802201</v>
      </c>
      <c r="O3349">
        <v>44.601765358824601</v>
      </c>
      <c r="P3349">
        <v>-0.114070723766462</v>
      </c>
      <c r="Q3349">
        <v>6.0726607399582903E-2</v>
      </c>
      <c r="R3349">
        <v>0.99179567268209801</v>
      </c>
      <c r="S3349" t="s">
        <v>7181</v>
      </c>
      <c r="T3349" t="s">
        <v>7662</v>
      </c>
      <c r="U3349" t="s">
        <v>7662</v>
      </c>
      <c r="V3349" t="s">
        <v>7662</v>
      </c>
      <c r="W3349">
        <v>4</v>
      </c>
      <c r="X3349" t="s">
        <v>11011</v>
      </c>
      <c r="Y3349">
        <v>0.22983981930720801</v>
      </c>
      <c r="Z3349" t="str">
        <f>HYPERLINK("Melting_Curves/meltCurve_tr_C9JW69_C9JW69_HUMAN_.pdf", "Melting_Curves/meltCurve_tr_C9JW69_C9JW69_HUMAN_.pdf")</f>
        <v>Melting_Curves/meltCurve_tr_C9JW69_C9JW69_HUMAN_.pdf</v>
      </c>
      <c r="AA3349" t="s">
        <v>14799</v>
      </c>
      <c r="AB3349" t="s">
        <v>18584</v>
      </c>
    </row>
    <row r="3350" spans="1:28" x14ac:dyDescent="0.25">
      <c r="A3350" t="s">
        <v>3354</v>
      </c>
      <c r="B3350">
        <v>0.98876768158843997</v>
      </c>
      <c r="C3350">
        <v>0.99928017076434095</v>
      </c>
      <c r="D3350">
        <v>0.85844721630855603</v>
      </c>
      <c r="E3350">
        <v>0.60820512768256896</v>
      </c>
      <c r="F3350">
        <v>0.424213455893102</v>
      </c>
      <c r="G3350">
        <v>0.29060665896680898</v>
      </c>
      <c r="H3350">
        <v>0.23586353330588999</v>
      </c>
      <c r="I3350">
        <v>0.252422099770163</v>
      </c>
      <c r="J3350">
        <v>0.27602340319225199</v>
      </c>
      <c r="K3350">
        <v>0.38356854348847003</v>
      </c>
      <c r="L3350">
        <v>1096.40794360682</v>
      </c>
      <c r="M3350">
        <v>22.176624695987801</v>
      </c>
      <c r="N3350">
        <v>51.339201457202201</v>
      </c>
      <c r="O3350">
        <v>49.043083138310898</v>
      </c>
      <c r="P3350">
        <v>-8.1408204464594097E-2</v>
      </c>
      <c r="Q3350">
        <v>0.27988662735809799</v>
      </c>
      <c r="R3350">
        <v>0.98052052093582998</v>
      </c>
      <c r="S3350" t="s">
        <v>7182</v>
      </c>
      <c r="T3350" t="s">
        <v>7662</v>
      </c>
      <c r="U3350" t="s">
        <v>7662</v>
      </c>
      <c r="V3350" t="s">
        <v>7662</v>
      </c>
      <c r="W3350">
        <v>1</v>
      </c>
      <c r="X3350" t="s">
        <v>11012</v>
      </c>
      <c r="Y3350">
        <v>0.51464474241032143</v>
      </c>
      <c r="Z3350" t="str">
        <f>HYPERLINK("Melting_Curves/meltCurve_tr_C9JXB8_C9JXB8_HUMAN_.pdf", "Melting_Curves/meltCurve_tr_C9JXB8_C9JXB8_HUMAN_.pdf")</f>
        <v>Melting_Curves/meltCurve_tr_C9JXB8_C9JXB8_HUMAN_.pdf</v>
      </c>
      <c r="AA3350" t="s">
        <v>14800</v>
      </c>
      <c r="AB3350" t="s">
        <v>18585</v>
      </c>
    </row>
    <row r="3351" spans="1:28" x14ac:dyDescent="0.25">
      <c r="A3351" t="s">
        <v>3355</v>
      </c>
      <c r="B3351">
        <v>0.98876768158843997</v>
      </c>
      <c r="C3351">
        <v>1.2289639929287699</v>
      </c>
      <c r="D3351">
        <v>0.91099656067817503</v>
      </c>
      <c r="E3351">
        <v>0.76024658909430698</v>
      </c>
      <c r="F3351">
        <v>0.97736987193302205</v>
      </c>
      <c r="G3351">
        <v>0.66519492707209205</v>
      </c>
      <c r="H3351">
        <v>0.49783421483816498</v>
      </c>
      <c r="I3351">
        <v>0.55360988868901195</v>
      </c>
      <c r="J3351">
        <v>0.83948961699338598</v>
      </c>
      <c r="K3351">
        <v>0.76256438750451505</v>
      </c>
      <c r="L3351">
        <v>1008.34984656299</v>
      </c>
      <c r="M3351">
        <v>19.4936557208637</v>
      </c>
      <c r="O3351">
        <v>51.191949340863999</v>
      </c>
      <c r="P3351">
        <v>-3.18709437661212E-2</v>
      </c>
      <c r="Q3351">
        <v>0.66522914002588296</v>
      </c>
      <c r="R3351">
        <v>0.54651120553491905</v>
      </c>
      <c r="S3351" t="s">
        <v>7183</v>
      </c>
      <c r="T3351" t="s">
        <v>7662</v>
      </c>
      <c r="U3351" t="s">
        <v>7662</v>
      </c>
      <c r="V3351" t="s">
        <v>7662</v>
      </c>
      <c r="W3351">
        <v>2</v>
      </c>
      <c r="X3351" t="s">
        <v>11013</v>
      </c>
      <c r="Y3351">
        <v>0.80094925215688728</v>
      </c>
      <c r="Z3351" t="str">
        <f>HYPERLINK("Melting_Curves/meltCurve_tr_C9JXB9_C9JXB9_HUMAN_.pdf", "Melting_Curves/meltCurve_tr_C9JXB9_C9JXB9_HUMAN_.pdf")</f>
        <v>Melting_Curves/meltCurve_tr_C9JXB9_C9JXB9_HUMAN_.pdf</v>
      </c>
      <c r="AA3351" t="s">
        <v>14801</v>
      </c>
      <c r="AB3351" t="s">
        <v>18586</v>
      </c>
    </row>
    <row r="3352" spans="1:28" x14ac:dyDescent="0.25">
      <c r="A3352" t="s">
        <v>3356</v>
      </c>
      <c r="B3352">
        <v>0.98876768158843997</v>
      </c>
      <c r="C3352">
        <v>1.1913406005156</v>
      </c>
      <c r="D3352">
        <v>0.97504205873163097</v>
      </c>
      <c r="E3352">
        <v>0.920101254215696</v>
      </c>
      <c r="F3352">
        <v>0.94448970906200502</v>
      </c>
      <c r="G3352">
        <v>0.73322904412805701</v>
      </c>
      <c r="H3352">
        <v>0.59674401850498704</v>
      </c>
      <c r="I3352">
        <v>0.67431463834382899</v>
      </c>
      <c r="J3352">
        <v>0.89585010571115498</v>
      </c>
      <c r="K3352">
        <v>0.89410138200529798</v>
      </c>
      <c r="L3352">
        <v>7463.5138335026604</v>
      </c>
      <c r="M3352">
        <v>139.61497039205199</v>
      </c>
      <c r="O3352">
        <v>53.446867184377702</v>
      </c>
      <c r="P3352">
        <v>-0.15748949993441</v>
      </c>
      <c r="Q3352">
        <v>0.75884189946592595</v>
      </c>
      <c r="R3352">
        <v>0.57143984934567504</v>
      </c>
      <c r="S3352" t="s">
        <v>7184</v>
      </c>
      <c r="T3352" t="s">
        <v>7662</v>
      </c>
      <c r="U3352" t="s">
        <v>7662</v>
      </c>
      <c r="V3352" t="s">
        <v>7662</v>
      </c>
      <c r="W3352">
        <v>3</v>
      </c>
      <c r="X3352" t="s">
        <v>11014</v>
      </c>
      <c r="Y3352">
        <v>0.86709666411068498</v>
      </c>
      <c r="Z3352" t="str">
        <f>HYPERLINK("Melting_Curves/meltCurve_tr_C9JXK0_C9JXK0_HUMAN_.pdf", "Melting_Curves/meltCurve_tr_C9JXK0_C9JXK0_HUMAN_.pdf")</f>
        <v>Melting_Curves/meltCurve_tr_C9JXK0_C9JXK0_HUMAN_.pdf</v>
      </c>
      <c r="AA3352" t="s">
        <v>14802</v>
      </c>
      <c r="AB3352" t="s">
        <v>18587</v>
      </c>
    </row>
    <row r="3353" spans="1:28" x14ac:dyDescent="0.25">
      <c r="A3353" t="s">
        <v>3357</v>
      </c>
      <c r="B3353">
        <v>0.98876768158843997</v>
      </c>
      <c r="C3353">
        <v>1.10390764660334</v>
      </c>
      <c r="D3353">
        <v>0.97078115351227801</v>
      </c>
      <c r="E3353">
        <v>0.75724755057551996</v>
      </c>
      <c r="F3353">
        <v>0.80394084862016602</v>
      </c>
      <c r="G3353">
        <v>0.59853721716022401</v>
      </c>
      <c r="H3353">
        <v>0.45015491673470298</v>
      </c>
      <c r="I3353">
        <v>0.50623286812650703</v>
      </c>
      <c r="J3353">
        <v>0.79385894241984301</v>
      </c>
      <c r="K3353">
        <v>0.69122589284906899</v>
      </c>
      <c r="L3353">
        <v>1203.3201134993001</v>
      </c>
      <c r="M3353">
        <v>23.914058094182199</v>
      </c>
      <c r="O3353">
        <v>49.970623698436903</v>
      </c>
      <c r="P3353">
        <v>-4.6311417988922E-2</v>
      </c>
      <c r="Q3353">
        <v>0.612918348970524</v>
      </c>
      <c r="R3353">
        <v>0.73870661764594703</v>
      </c>
      <c r="S3353" t="s">
        <v>7185</v>
      </c>
      <c r="T3353" t="s">
        <v>7662</v>
      </c>
      <c r="U3353" t="s">
        <v>7662</v>
      </c>
      <c r="V3353" t="s">
        <v>7662</v>
      </c>
      <c r="W3353">
        <v>9</v>
      </c>
      <c r="X3353" t="s">
        <v>11015</v>
      </c>
      <c r="Y3353">
        <v>0.74984759236151344</v>
      </c>
      <c r="Z3353" t="str">
        <f>HYPERLINK("Melting_Curves/meltCurve_tr_C9JXK9_C9JXK9_HUMAN_.pdf", "Melting_Curves/meltCurve_tr_C9JXK9_C9JXK9_HUMAN_.pdf")</f>
        <v>Melting_Curves/meltCurve_tr_C9JXK9_C9JXK9_HUMAN_.pdf</v>
      </c>
      <c r="AA3353" t="s">
        <v>13733</v>
      </c>
      <c r="AB3353" t="s">
        <v>18588</v>
      </c>
    </row>
    <row r="3354" spans="1:28" x14ac:dyDescent="0.25">
      <c r="A3354" t="s">
        <v>3358</v>
      </c>
      <c r="B3354">
        <v>0.98876768158843997</v>
      </c>
      <c r="C3354">
        <v>0.998622467917051</v>
      </c>
      <c r="D3354">
        <v>0.85696140983081903</v>
      </c>
      <c r="E3354">
        <v>0.72211540984422196</v>
      </c>
      <c r="F3354">
        <v>0.63215739285553596</v>
      </c>
      <c r="G3354">
        <v>0.55346031268735096</v>
      </c>
      <c r="H3354">
        <v>0.39837665760493102</v>
      </c>
      <c r="I3354">
        <v>0.43709385488670799</v>
      </c>
      <c r="J3354">
        <v>0.62054457893213799</v>
      </c>
      <c r="K3354">
        <v>0.60748913981510899</v>
      </c>
      <c r="L3354">
        <v>939.94251972913696</v>
      </c>
      <c r="M3354">
        <v>19.216763126217799</v>
      </c>
      <c r="O3354">
        <v>48.392200122367001</v>
      </c>
      <c r="P3354">
        <v>-4.7811873802237802E-2</v>
      </c>
      <c r="Q3354">
        <v>0.51841352420547404</v>
      </c>
      <c r="R3354">
        <v>0.88662692506111995</v>
      </c>
      <c r="S3354" t="s">
        <v>7186</v>
      </c>
      <c r="T3354" t="s">
        <v>7662</v>
      </c>
      <c r="U3354" t="s">
        <v>7662</v>
      </c>
      <c r="V3354" t="s">
        <v>7662</v>
      </c>
      <c r="W3354">
        <v>6</v>
      </c>
      <c r="X3354" t="s">
        <v>11016</v>
      </c>
      <c r="Y3354">
        <v>0.66881030579017009</v>
      </c>
      <c r="Z3354" t="str">
        <f>HYPERLINK("Melting_Curves/meltCurve_tr_C9JYY9_C9JYY9_HUMAN_.pdf", "Melting_Curves/meltCurve_tr_C9JYY9_C9JYY9_HUMAN_.pdf")</f>
        <v>Melting_Curves/meltCurve_tr_C9JYY9_C9JYY9_HUMAN_.pdf</v>
      </c>
      <c r="AA3354" t="s">
        <v>14456</v>
      </c>
      <c r="AB3354" t="s">
        <v>18589</v>
      </c>
    </row>
    <row r="3355" spans="1:28" x14ac:dyDescent="0.25">
      <c r="A3355" t="s">
        <v>3359</v>
      </c>
      <c r="B3355">
        <v>0.98876768158843997</v>
      </c>
      <c r="C3355">
        <v>1.3754366581814199</v>
      </c>
      <c r="D3355">
        <v>1.1970838535719699</v>
      </c>
      <c r="E3355">
        <v>1.3642325907620001</v>
      </c>
      <c r="F3355">
        <v>0.64785141008663805</v>
      </c>
      <c r="G3355">
        <v>0.70788578643086497</v>
      </c>
      <c r="H3355">
        <v>0.64433820333165104</v>
      </c>
      <c r="I3355">
        <v>0.704166101874664</v>
      </c>
      <c r="J3355">
        <v>0.49895341974676</v>
      </c>
      <c r="K3355">
        <v>0.30203785189211602</v>
      </c>
      <c r="L3355">
        <v>706.549983410962</v>
      </c>
      <c r="M3355">
        <v>11.044957146017399</v>
      </c>
      <c r="N3355">
        <v>65.830447974100906</v>
      </c>
      <c r="O3355">
        <v>61.980671245068002</v>
      </c>
      <c r="P3355">
        <v>-3.8591321299941299E-2</v>
      </c>
      <c r="Q3355">
        <v>0.1340400430608</v>
      </c>
      <c r="R3355">
        <v>0.62261291583339695</v>
      </c>
      <c r="S3355" t="s">
        <v>7187</v>
      </c>
      <c r="T3355" t="s">
        <v>7662</v>
      </c>
      <c r="U3355" t="s">
        <v>7662</v>
      </c>
      <c r="V3355" t="s">
        <v>7662</v>
      </c>
      <c r="W3355">
        <v>14</v>
      </c>
      <c r="X3355" t="s">
        <v>11017</v>
      </c>
      <c r="Y3355">
        <v>0.79607432463163008</v>
      </c>
      <c r="Z3355" t="str">
        <f>HYPERLINK("Melting_Curves/meltCurve_tr_C9JYZ0_C9JYZ0_HUMAN_.pdf", "Melting_Curves/meltCurve_tr_C9JYZ0_C9JYZ0_HUMAN_.pdf")</f>
        <v>Melting_Curves/meltCurve_tr_C9JYZ0_C9JYZ0_HUMAN_.pdf</v>
      </c>
      <c r="AA3355" t="s">
        <v>12861</v>
      </c>
      <c r="AB3355" t="s">
        <v>18590</v>
      </c>
    </row>
    <row r="3356" spans="1:28" x14ac:dyDescent="0.25">
      <c r="A3356" t="s">
        <v>3360</v>
      </c>
      <c r="B3356">
        <v>0.98876768158843997</v>
      </c>
      <c r="C3356">
        <v>0.89397323211422497</v>
      </c>
      <c r="D3356">
        <v>1.07154809492887</v>
      </c>
      <c r="E3356">
        <v>0.91860299856827099</v>
      </c>
      <c r="F3356">
        <v>0.580427957344268</v>
      </c>
      <c r="G3356">
        <v>0.40342061828763198</v>
      </c>
      <c r="H3356">
        <v>0.22062760151316599</v>
      </c>
      <c r="I3356">
        <v>9.9381312408578504E-2</v>
      </c>
      <c r="J3356">
        <v>4.7437864884761198E-2</v>
      </c>
      <c r="K3356">
        <v>3.2497138879013697E-2</v>
      </c>
      <c r="L3356">
        <v>926.81535718336499</v>
      </c>
      <c r="M3356">
        <v>16.790333148836901</v>
      </c>
      <c r="N3356">
        <v>55.300060883680601</v>
      </c>
      <c r="O3356">
        <v>54.434169229373403</v>
      </c>
      <c r="P3356">
        <v>-7.5956686429845002E-2</v>
      </c>
      <c r="Q3356">
        <v>1.50592531988327E-2</v>
      </c>
      <c r="R3356">
        <v>0.97710871187469805</v>
      </c>
      <c r="S3356" t="s">
        <v>7188</v>
      </c>
      <c r="T3356" t="s">
        <v>7662</v>
      </c>
      <c r="U3356" t="s">
        <v>7662</v>
      </c>
      <c r="V3356" t="s">
        <v>7662</v>
      </c>
      <c r="W3356">
        <v>4</v>
      </c>
      <c r="X3356" t="s">
        <v>11018</v>
      </c>
      <c r="Y3356">
        <v>0.53057435444918633</v>
      </c>
      <c r="Z3356" t="str">
        <f>HYPERLINK("Melting_Curves/meltCurve_tr_C9JZP6_C9JZP6_HUMAN_.pdf", "Melting_Curves/meltCurve_tr_C9JZP6_C9JZP6_HUMAN_.pdf")</f>
        <v>Melting_Curves/meltCurve_tr_C9JZP6_C9JZP6_HUMAN_.pdf</v>
      </c>
      <c r="AA3356" t="s">
        <v>14803</v>
      </c>
      <c r="AB3356" t="s">
        <v>18591</v>
      </c>
    </row>
    <row r="3357" spans="1:28" x14ac:dyDescent="0.25">
      <c r="A3357" t="s">
        <v>3361</v>
      </c>
      <c r="B3357">
        <v>0.98876768158843997</v>
      </c>
      <c r="C3357">
        <v>1.1447583601988101</v>
      </c>
      <c r="D3357">
        <v>0.89584284888774501</v>
      </c>
      <c r="E3357">
        <v>0.71299475741644402</v>
      </c>
      <c r="F3357">
        <v>0.74556189272371598</v>
      </c>
      <c r="G3357">
        <v>0.43650513890451598</v>
      </c>
      <c r="H3357">
        <v>0.27003762279022098</v>
      </c>
      <c r="I3357">
        <v>0.14304310019726099</v>
      </c>
      <c r="J3357">
        <v>0.13539448872592</v>
      </c>
      <c r="K3357">
        <v>8.4638264865035506E-2</v>
      </c>
      <c r="L3357">
        <v>691.24654732852503</v>
      </c>
      <c r="M3357">
        <v>12.3580980487673</v>
      </c>
      <c r="N3357">
        <v>55.963215163447401</v>
      </c>
      <c r="O3357">
        <v>54.530607808329002</v>
      </c>
      <c r="P3357">
        <v>-5.6491077332656597E-2</v>
      </c>
      <c r="Q3357">
        <v>3.1378971517662898E-3</v>
      </c>
      <c r="R3357">
        <v>0.96540317839652801</v>
      </c>
      <c r="S3357" t="s">
        <v>7189</v>
      </c>
      <c r="T3357" t="s">
        <v>7662</v>
      </c>
      <c r="U3357" t="s">
        <v>7662</v>
      </c>
      <c r="V3357" t="s">
        <v>7662</v>
      </c>
      <c r="W3357">
        <v>4</v>
      </c>
      <c r="X3357" t="s">
        <v>11019</v>
      </c>
      <c r="Y3357">
        <v>0.55289649501901894</v>
      </c>
      <c r="Z3357" t="str">
        <f>HYPERLINK("Melting_Curves/meltCurve_tr_C9JZY6_C9JZY6_HUMAN_.pdf", "Melting_Curves/meltCurve_tr_C9JZY6_C9JZY6_HUMAN_.pdf")</f>
        <v>Melting_Curves/meltCurve_tr_C9JZY6_C9JZY6_HUMAN_.pdf</v>
      </c>
      <c r="AA3357" t="s">
        <v>14804</v>
      </c>
      <c r="AB3357" t="s">
        <v>18592</v>
      </c>
    </row>
    <row r="3358" spans="1:28" x14ac:dyDescent="0.25">
      <c r="A3358" t="s">
        <v>3362</v>
      </c>
      <c r="B3358">
        <v>0.98876768158843997</v>
      </c>
      <c r="C3358">
        <v>0.92519945524654801</v>
      </c>
      <c r="D3358">
        <v>0.86618015724227904</v>
      </c>
      <c r="E3358">
        <v>0.47828673596502802</v>
      </c>
      <c r="F3358">
        <v>0.22763077643861801</v>
      </c>
      <c r="G3358">
        <v>0.13527820006904501</v>
      </c>
      <c r="H3358">
        <v>8.2887394134291498E-2</v>
      </c>
      <c r="I3358">
        <v>6.6273904852142601E-2</v>
      </c>
      <c r="J3358">
        <v>0.13334566651707699</v>
      </c>
      <c r="K3358">
        <v>6.4680091828842795E-2</v>
      </c>
      <c r="L3358">
        <v>1119.9887991772</v>
      </c>
      <c r="M3358">
        <v>22.697234265524902</v>
      </c>
      <c r="N3358">
        <v>49.739967506248199</v>
      </c>
      <c r="O3358">
        <v>48.966492570087397</v>
      </c>
      <c r="P3358">
        <v>-0.106321861694174</v>
      </c>
      <c r="Q3358">
        <v>8.2513076646437297E-2</v>
      </c>
      <c r="R3358">
        <v>0.99557537978062005</v>
      </c>
      <c r="S3358" t="s">
        <v>7190</v>
      </c>
      <c r="T3358" t="s">
        <v>7662</v>
      </c>
      <c r="U3358" t="s">
        <v>7662</v>
      </c>
      <c r="V3358" t="s">
        <v>7662</v>
      </c>
      <c r="W3358">
        <v>8</v>
      </c>
      <c r="X3358" t="s">
        <v>11020</v>
      </c>
      <c r="Y3358">
        <v>0.37822730822827838</v>
      </c>
      <c r="Z3358" t="str">
        <f>HYPERLINK("Melting_Curves/meltCurve_tr_D3DR31_D3DR31_HUMAN_.pdf", "Melting_Curves/meltCurve_tr_D3DR31_D3DR31_HUMAN_.pdf")</f>
        <v>Melting_Curves/meltCurve_tr_D3DR31_D3DR31_HUMAN_.pdf</v>
      </c>
      <c r="AA3358" t="s">
        <v>14805</v>
      </c>
      <c r="AB3358" t="s">
        <v>18593</v>
      </c>
    </row>
    <row r="3359" spans="1:28" x14ac:dyDescent="0.25">
      <c r="A3359" t="s">
        <v>3363</v>
      </c>
      <c r="B3359">
        <v>0.98876768158843997</v>
      </c>
      <c r="C3359">
        <v>1.0822850273123801</v>
      </c>
      <c r="D3359">
        <v>0.78998543683712497</v>
      </c>
      <c r="E3359">
        <v>0.70860360714383797</v>
      </c>
      <c r="F3359">
        <v>0.93430507014616704</v>
      </c>
      <c r="G3359">
        <v>0.63262262667590097</v>
      </c>
      <c r="H3359">
        <v>0.52933368748745901</v>
      </c>
      <c r="I3359">
        <v>0.64999224179081705</v>
      </c>
      <c r="J3359">
        <v>0.96685077638175199</v>
      </c>
      <c r="K3359">
        <v>0.93789828900643801</v>
      </c>
      <c r="L3359">
        <v>11400.8439215569</v>
      </c>
      <c r="M3359">
        <v>250</v>
      </c>
      <c r="O3359">
        <v>45.600463117523901</v>
      </c>
      <c r="P3359">
        <v>-0.32118917607862102</v>
      </c>
      <c r="Q3359">
        <v>0.765658026899387</v>
      </c>
      <c r="R3359">
        <v>0.36384271876048402</v>
      </c>
      <c r="S3359" t="s">
        <v>7191</v>
      </c>
      <c r="T3359" t="s">
        <v>7662</v>
      </c>
      <c r="U3359" t="s">
        <v>7662</v>
      </c>
      <c r="V3359" t="s">
        <v>7662</v>
      </c>
      <c r="W3359">
        <v>3</v>
      </c>
      <c r="X3359" t="s">
        <v>11021</v>
      </c>
      <c r="Y3359">
        <v>0.80944698585195896</v>
      </c>
      <c r="Z3359" t="str">
        <f>HYPERLINK("Melting_Curves/meltCurve_tr_D3YHP0_D3YHP0_HUMAN_.pdf", "Melting_Curves/meltCurve_tr_D3YHP0_D3YHP0_HUMAN_.pdf")</f>
        <v>Melting_Curves/meltCurve_tr_D3YHP0_D3YHP0_HUMAN_.pdf</v>
      </c>
      <c r="AA3359" t="s">
        <v>14806</v>
      </c>
      <c r="AB3359" t="s">
        <v>18594</v>
      </c>
    </row>
    <row r="3360" spans="1:28" x14ac:dyDescent="0.25">
      <c r="A3360" t="s">
        <v>3364</v>
      </c>
      <c r="B3360">
        <v>0.98876768158843997</v>
      </c>
      <c r="C3360">
        <v>0.99866459579547695</v>
      </c>
      <c r="D3360">
        <v>0.920584150724025</v>
      </c>
      <c r="E3360">
        <v>0.78512682706521597</v>
      </c>
      <c r="F3360">
        <v>0.76471690324882502</v>
      </c>
      <c r="G3360">
        <v>0.57398350817305899</v>
      </c>
      <c r="H3360">
        <v>0.47769933055603497</v>
      </c>
      <c r="I3360">
        <v>0.49796212515155203</v>
      </c>
      <c r="J3360">
        <v>0.62112019460808199</v>
      </c>
      <c r="K3360">
        <v>0.69672639281577797</v>
      </c>
      <c r="L3360">
        <v>990.50549948601997</v>
      </c>
      <c r="M3360">
        <v>19.603683401925299</v>
      </c>
      <c r="O3360">
        <v>50.009543936442</v>
      </c>
      <c r="P3360">
        <v>-4.2227433318011501E-2</v>
      </c>
      <c r="Q3360">
        <v>0.56912173900553398</v>
      </c>
      <c r="R3360">
        <v>0.87036776440911001</v>
      </c>
      <c r="S3360" t="s">
        <v>7192</v>
      </c>
      <c r="T3360" t="s">
        <v>7662</v>
      </c>
      <c r="U3360" t="s">
        <v>7662</v>
      </c>
      <c r="V3360" t="s">
        <v>7662</v>
      </c>
      <c r="W3360">
        <v>4</v>
      </c>
      <c r="X3360" t="s">
        <v>11022</v>
      </c>
      <c r="Y3360">
        <v>0.72653070624791005</v>
      </c>
      <c r="Z3360" t="str">
        <f>HYPERLINK("Melting_Curves/meltCurve_tr_D6R9P3_D6R9P3_HUMAN_.pdf", "Melting_Curves/meltCurve_tr_D6R9P3_D6R9P3_HUMAN_.pdf")</f>
        <v>Melting_Curves/meltCurve_tr_D6R9P3_D6R9P3_HUMAN_.pdf</v>
      </c>
      <c r="AA3360" t="s">
        <v>14807</v>
      </c>
      <c r="AB3360" t="s">
        <v>18595</v>
      </c>
    </row>
    <row r="3361" spans="1:28" x14ac:dyDescent="0.25">
      <c r="A3361" t="s">
        <v>3365</v>
      </c>
      <c r="B3361">
        <v>0.98876768158843997</v>
      </c>
      <c r="C3361">
        <v>0.986352482748725</v>
      </c>
      <c r="D3361">
        <v>0.91482304417729499</v>
      </c>
      <c r="E3361">
        <v>0.86416198347679296</v>
      </c>
      <c r="F3361">
        <v>0.58180059836442699</v>
      </c>
      <c r="G3361">
        <v>0.16092176419570001</v>
      </c>
      <c r="H3361">
        <v>7.7283761430278E-2</v>
      </c>
      <c r="I3361">
        <v>4.7672323324961699E-2</v>
      </c>
      <c r="J3361">
        <v>3.9961428377892003E-2</v>
      </c>
      <c r="K3361">
        <v>2.85460178225657E-2</v>
      </c>
      <c r="L3361">
        <v>1424.3315887986901</v>
      </c>
      <c r="M3361">
        <v>26.664299371467401</v>
      </c>
      <c r="N3361">
        <v>53.549186646835203</v>
      </c>
      <c r="O3361">
        <v>53.119452520579102</v>
      </c>
      <c r="P3361">
        <v>-0.12150158936012399</v>
      </c>
      <c r="Q3361">
        <v>3.1809679965147802E-2</v>
      </c>
      <c r="R3361">
        <v>0.99621831747770395</v>
      </c>
      <c r="S3361" t="s">
        <v>7193</v>
      </c>
      <c r="T3361" t="s">
        <v>7662</v>
      </c>
      <c r="U3361" t="s">
        <v>7662</v>
      </c>
      <c r="V3361" t="s">
        <v>7662</v>
      </c>
      <c r="W3361">
        <v>20</v>
      </c>
      <c r="X3361" t="s">
        <v>11023</v>
      </c>
      <c r="Y3361">
        <v>0.47274259258831219</v>
      </c>
      <c r="Z3361" t="str">
        <f>HYPERLINK("Melting_Curves/meltCurve_tr_D6RB81_D6RB81_HUMAN_.pdf", "Melting_Curves/meltCurve_tr_D6RB81_D6RB81_HUMAN_.pdf")</f>
        <v>Melting_Curves/meltCurve_tr_D6RB81_D6RB81_HUMAN_.pdf</v>
      </c>
      <c r="AA3361" t="s">
        <v>14808</v>
      </c>
      <c r="AB3361" t="s">
        <v>18596</v>
      </c>
    </row>
    <row r="3362" spans="1:28" x14ac:dyDescent="0.25">
      <c r="A3362" t="s">
        <v>3366</v>
      </c>
      <c r="B3362">
        <v>0.98876768158843997</v>
      </c>
      <c r="C3362">
        <v>1.1566332252629701</v>
      </c>
      <c r="D3362">
        <v>0.908205634324459</v>
      </c>
      <c r="E3362">
        <v>0.845509323158955</v>
      </c>
      <c r="F3362">
        <v>1.015500724786</v>
      </c>
      <c r="G3362">
        <v>0.72010516677351999</v>
      </c>
      <c r="H3362">
        <v>0.54314366107190704</v>
      </c>
      <c r="I3362">
        <v>0.66919956410499903</v>
      </c>
      <c r="J3362">
        <v>0.73102722697117195</v>
      </c>
      <c r="K3362">
        <v>0.96607414611911402</v>
      </c>
      <c r="L3362">
        <v>12703.458857878501</v>
      </c>
      <c r="M3362">
        <v>230.75809032725701</v>
      </c>
      <c r="O3362">
        <v>55.046842115326299</v>
      </c>
      <c r="P3362">
        <v>-0.287269095621554</v>
      </c>
      <c r="Q3362">
        <v>0.72589030905514695</v>
      </c>
      <c r="R3362">
        <v>0.51923123039112895</v>
      </c>
      <c r="S3362" t="s">
        <v>7194</v>
      </c>
      <c r="T3362" t="s">
        <v>7662</v>
      </c>
      <c r="U3362" t="s">
        <v>7662</v>
      </c>
      <c r="V3362" t="s">
        <v>7662</v>
      </c>
      <c r="W3362">
        <v>5</v>
      </c>
      <c r="X3362" t="s">
        <v>11024</v>
      </c>
      <c r="Y3362">
        <v>0.86344203664240959</v>
      </c>
      <c r="Z3362" t="str">
        <f>HYPERLINK("Melting_Curves/meltCurve_tr_D6RBN5_D6RBN5_HUMAN_.pdf", "Melting_Curves/meltCurve_tr_D6RBN5_D6RBN5_HUMAN_.pdf")</f>
        <v>Melting_Curves/meltCurve_tr_D6RBN5_D6RBN5_HUMAN_.pdf</v>
      </c>
      <c r="AA3362" t="s">
        <v>14809</v>
      </c>
      <c r="AB3362" t="s">
        <v>18597</v>
      </c>
    </row>
    <row r="3363" spans="1:28" x14ac:dyDescent="0.25">
      <c r="A3363" t="s">
        <v>3367</v>
      </c>
      <c r="B3363">
        <v>0.98876768158843997</v>
      </c>
      <c r="C3363">
        <v>0.99680919210601504</v>
      </c>
      <c r="D3363">
        <v>0.736499958692302</v>
      </c>
      <c r="E3363">
        <v>0.43712419024917798</v>
      </c>
      <c r="F3363">
        <v>0.18117506918564999</v>
      </c>
      <c r="G3363">
        <v>0.139399727688273</v>
      </c>
      <c r="H3363">
        <v>0.10011487374573901</v>
      </c>
      <c r="I3363">
        <v>0.110745165428038</v>
      </c>
      <c r="J3363">
        <v>7.1772884484230901E-2</v>
      </c>
      <c r="K3363">
        <v>6.4150611604862101E-2</v>
      </c>
      <c r="L3363">
        <v>1008.89244220229</v>
      </c>
      <c r="M3363">
        <v>20.797337078103901</v>
      </c>
      <c r="N3363">
        <v>48.929985560629099</v>
      </c>
      <c r="O3363">
        <v>48.068823947132401</v>
      </c>
      <c r="P3363">
        <v>-9.9338066248868095E-2</v>
      </c>
      <c r="Q3363">
        <v>8.1626452375592407E-2</v>
      </c>
      <c r="R3363">
        <v>0.99373309266068699</v>
      </c>
      <c r="S3363" t="s">
        <v>7195</v>
      </c>
      <c r="T3363" t="s">
        <v>7662</v>
      </c>
      <c r="U3363" t="s">
        <v>7662</v>
      </c>
      <c r="V3363" t="s">
        <v>7662</v>
      </c>
      <c r="W3363">
        <v>3</v>
      </c>
      <c r="X3363" t="s">
        <v>11025</v>
      </c>
      <c r="Y3363">
        <v>0.35408578747656172</v>
      </c>
      <c r="Z3363" t="str">
        <f>HYPERLINK("Melting_Curves/meltCurve_tr_D6RBS9_D6RBS9_HUMAN_.pdf", "Melting_Curves/meltCurve_tr_D6RBS9_D6RBS9_HUMAN_.pdf")</f>
        <v>Melting_Curves/meltCurve_tr_D6RBS9_D6RBS9_HUMAN_.pdf</v>
      </c>
      <c r="AA3363" t="s">
        <v>14810</v>
      </c>
      <c r="AB3363" t="s">
        <v>18598</v>
      </c>
    </row>
    <row r="3364" spans="1:28" x14ac:dyDescent="0.25">
      <c r="A3364" t="s">
        <v>3368</v>
      </c>
      <c r="B3364">
        <v>0.98876768158843997</v>
      </c>
      <c r="C3364">
        <v>1.2650468021799399</v>
      </c>
      <c r="D3364">
        <v>0.93383325956712804</v>
      </c>
      <c r="E3364">
        <v>0.71803797184201801</v>
      </c>
      <c r="F3364">
        <v>1.0159287164609201</v>
      </c>
      <c r="G3364">
        <v>0.65736072463184403</v>
      </c>
      <c r="H3364">
        <v>0.543996534865968</v>
      </c>
      <c r="I3364">
        <v>0.67988341905901595</v>
      </c>
      <c r="J3364">
        <v>0.90237925718748702</v>
      </c>
      <c r="K3364">
        <v>0.92777178254369197</v>
      </c>
      <c r="L3364">
        <v>11539.431052694899</v>
      </c>
      <c r="M3364">
        <v>250</v>
      </c>
      <c r="O3364">
        <v>46.1547877701964</v>
      </c>
      <c r="P3364">
        <v>-0.30074309491638102</v>
      </c>
      <c r="Q3364">
        <v>0.77790834373783102</v>
      </c>
      <c r="R3364">
        <v>0.39683483063175801</v>
      </c>
      <c r="S3364" t="s">
        <v>7196</v>
      </c>
      <c r="T3364" t="s">
        <v>7662</v>
      </c>
      <c r="U3364" t="s">
        <v>7662</v>
      </c>
      <c r="V3364" t="s">
        <v>7662</v>
      </c>
      <c r="W3364">
        <v>1</v>
      </c>
      <c r="X3364" t="s">
        <v>11026</v>
      </c>
      <c r="Y3364">
        <v>0.82351230680658705</v>
      </c>
      <c r="Z3364" t="str">
        <f>HYPERLINK("Melting_Curves/meltCurve_tr_D6RBV0_D6RBV0_HUMAN_.pdf", "Melting_Curves/meltCurve_tr_D6RBV0_D6RBV0_HUMAN_.pdf")</f>
        <v>Melting_Curves/meltCurve_tr_D6RBV0_D6RBV0_HUMAN_.pdf</v>
      </c>
      <c r="AA3364" t="s">
        <v>14811</v>
      </c>
      <c r="AB3364" t="s">
        <v>18599</v>
      </c>
    </row>
    <row r="3365" spans="1:28" x14ac:dyDescent="0.25">
      <c r="A3365" t="s">
        <v>3369</v>
      </c>
      <c r="B3365">
        <v>0.98876768158843997</v>
      </c>
      <c r="C3365">
        <v>0.96639096935462399</v>
      </c>
      <c r="D3365">
        <v>0.90129544651773497</v>
      </c>
      <c r="E3365">
        <v>0.36281162321499499</v>
      </c>
      <c r="F3365">
        <v>0.21897462472607801</v>
      </c>
      <c r="G3365">
        <v>9.8519228668589406E-2</v>
      </c>
      <c r="H3365">
        <v>6.53545132008094E-2</v>
      </c>
      <c r="I3365">
        <v>4.7867808272471501E-2</v>
      </c>
      <c r="J3365">
        <v>6.3422706259450901E-2</v>
      </c>
      <c r="K3365">
        <v>5.0805556012988203E-2</v>
      </c>
      <c r="L3365">
        <v>1361.5282904123401</v>
      </c>
      <c r="M3365">
        <v>27.802728966878501</v>
      </c>
      <c r="N3365">
        <v>49.219734490385598</v>
      </c>
      <c r="O3365">
        <v>48.719763123271399</v>
      </c>
      <c r="P3365">
        <v>-0.13331860093702899</v>
      </c>
      <c r="Q3365">
        <v>6.5531125362671805E-2</v>
      </c>
      <c r="R3365">
        <v>0.99555843153298895</v>
      </c>
      <c r="S3365" t="s">
        <v>7197</v>
      </c>
      <c r="T3365" t="s">
        <v>7662</v>
      </c>
      <c r="U3365" t="s">
        <v>7662</v>
      </c>
      <c r="V3365" t="s">
        <v>7662</v>
      </c>
      <c r="W3365">
        <v>9</v>
      </c>
      <c r="X3365" t="s">
        <v>11027</v>
      </c>
      <c r="Y3365">
        <v>0.35162072365332769</v>
      </c>
      <c r="Z3365" t="str">
        <f>HYPERLINK("Melting_Curves/meltCurve_tr_D6RCD0_D6RCD0_HUMAN_.pdf", "Melting_Curves/meltCurve_tr_D6RCD0_D6RCD0_HUMAN_.pdf")</f>
        <v>Melting_Curves/meltCurve_tr_D6RCD0_D6RCD0_HUMAN_.pdf</v>
      </c>
      <c r="AA3365" t="s">
        <v>14812</v>
      </c>
      <c r="AB3365" t="s">
        <v>18600</v>
      </c>
    </row>
    <row r="3366" spans="1:28" x14ac:dyDescent="0.25">
      <c r="A3366" t="s">
        <v>3370</v>
      </c>
      <c r="B3366">
        <v>0.98876768158843997</v>
      </c>
      <c r="C3366">
        <v>0.92860934104709303</v>
      </c>
      <c r="D3366">
        <v>1.17577975476466</v>
      </c>
      <c r="E3366">
        <v>1.13882162313344</v>
      </c>
      <c r="F3366">
        <v>0.39546008903252899</v>
      </c>
      <c r="G3366">
        <v>0.43762269372974399</v>
      </c>
      <c r="H3366">
        <v>0.364537462470653</v>
      </c>
      <c r="I3366">
        <v>0.37702858553489799</v>
      </c>
      <c r="J3366">
        <v>0.13087739683555399</v>
      </c>
      <c r="K3366">
        <v>4.8185487230568397E-2</v>
      </c>
      <c r="L3366">
        <v>13165.9577519996</v>
      </c>
      <c r="M3366">
        <v>250</v>
      </c>
      <c r="N3366">
        <v>52.829450435168702</v>
      </c>
      <c r="O3366">
        <v>52.660459012119901</v>
      </c>
      <c r="P3366">
        <v>-0.86444115772211205</v>
      </c>
      <c r="Q3366">
        <v>0.27165008463969098</v>
      </c>
      <c r="R3366">
        <v>0.89079300351013901</v>
      </c>
      <c r="S3366" t="s">
        <v>7198</v>
      </c>
      <c r="T3366" t="s">
        <v>7662</v>
      </c>
      <c r="U3366" t="s">
        <v>7662</v>
      </c>
      <c r="V3366" t="s">
        <v>7662</v>
      </c>
      <c r="W3366">
        <v>13</v>
      </c>
      <c r="X3366" t="s">
        <v>11028</v>
      </c>
      <c r="Y3366">
        <v>0.5791740765611274</v>
      </c>
      <c r="Z3366" t="str">
        <f>HYPERLINK("Melting_Curves/meltCurve_tr_D6RD67_D6RD67_HUMAN_.pdf", "Melting_Curves/meltCurve_tr_D6RD67_D6RD67_HUMAN_.pdf")</f>
        <v>Melting_Curves/meltCurve_tr_D6RD67_D6RD67_HUMAN_.pdf</v>
      </c>
      <c r="AA3366" t="s">
        <v>14207</v>
      </c>
      <c r="AB3366" t="s">
        <v>18601</v>
      </c>
    </row>
    <row r="3367" spans="1:28" x14ac:dyDescent="0.25">
      <c r="A3367" t="s">
        <v>3371</v>
      </c>
      <c r="B3367">
        <v>0.98876768158843997</v>
      </c>
      <c r="C3367">
        <v>1.0641909773742499</v>
      </c>
      <c r="D3367">
        <v>0.86474010011254498</v>
      </c>
      <c r="E3367">
        <v>0.74473487219865897</v>
      </c>
      <c r="F3367">
        <v>0.76714300879091901</v>
      </c>
      <c r="G3367">
        <v>0.54626377985121</v>
      </c>
      <c r="H3367">
        <v>0.44390907092631099</v>
      </c>
      <c r="I3367">
        <v>0.45560580028984199</v>
      </c>
      <c r="J3367">
        <v>0.55341186103323903</v>
      </c>
      <c r="K3367">
        <v>0.57255891426083705</v>
      </c>
      <c r="L3367">
        <v>824.79643804839702</v>
      </c>
      <c r="M3367">
        <v>16.207123101969501</v>
      </c>
      <c r="O3367">
        <v>50.135118132367403</v>
      </c>
      <c r="P3367">
        <v>-4.0699442779715898E-2</v>
      </c>
      <c r="Q3367">
        <v>0.49643889112707601</v>
      </c>
      <c r="R3367">
        <v>0.90694407214752104</v>
      </c>
      <c r="S3367" t="s">
        <v>7199</v>
      </c>
      <c r="T3367" t="s">
        <v>7662</v>
      </c>
      <c r="U3367" t="s">
        <v>7662</v>
      </c>
      <c r="V3367" t="s">
        <v>7662</v>
      </c>
      <c r="W3367">
        <v>4</v>
      </c>
      <c r="X3367" t="s">
        <v>11029</v>
      </c>
      <c r="Y3367">
        <v>0.68948272778126973</v>
      </c>
      <c r="Z3367" t="str">
        <f>HYPERLINK("Melting_Curves/meltCurve_tr_D6RDG3_D6RDG3_HUMAN_.pdf", "Melting_Curves/meltCurve_tr_D6RDG3_D6RDG3_HUMAN_.pdf")</f>
        <v>Melting_Curves/meltCurve_tr_D6RDG3_D6RDG3_HUMAN_.pdf</v>
      </c>
      <c r="AA3367" t="s">
        <v>12197</v>
      </c>
      <c r="AB3367" t="s">
        <v>18602</v>
      </c>
    </row>
    <row r="3368" spans="1:28" x14ac:dyDescent="0.25">
      <c r="A3368" t="s">
        <v>3372</v>
      </c>
      <c r="B3368">
        <v>0.98876768158843997</v>
      </c>
      <c r="C3368">
        <v>1.13520116703802</v>
      </c>
      <c r="D3368">
        <v>0.87201684326937001</v>
      </c>
      <c r="E3368">
        <v>0.76680177031493302</v>
      </c>
      <c r="F3368">
        <v>0.87246469013559302</v>
      </c>
      <c r="G3368">
        <v>0.59692619421686499</v>
      </c>
      <c r="H3368">
        <v>0.41323054203091603</v>
      </c>
      <c r="I3368">
        <v>0.39054848493899202</v>
      </c>
      <c r="J3368">
        <v>0.54028568660363596</v>
      </c>
      <c r="K3368">
        <v>0.31116781400922</v>
      </c>
      <c r="L3368">
        <v>711.45058581675903</v>
      </c>
      <c r="M3368">
        <v>12.884713676202299</v>
      </c>
      <c r="N3368">
        <v>60.374890052154498</v>
      </c>
      <c r="O3368">
        <v>53.937313875882602</v>
      </c>
      <c r="P3368">
        <v>-3.9799065610536498E-2</v>
      </c>
      <c r="Q3368">
        <v>0.33370280293016602</v>
      </c>
      <c r="R3368">
        <v>0.879896721777913</v>
      </c>
      <c r="S3368" t="s">
        <v>7200</v>
      </c>
      <c r="T3368" t="s">
        <v>7662</v>
      </c>
      <c r="U3368" t="s">
        <v>7662</v>
      </c>
      <c r="V3368" t="s">
        <v>7662</v>
      </c>
      <c r="W3368">
        <v>1</v>
      </c>
      <c r="X3368" t="s">
        <v>11030</v>
      </c>
      <c r="Y3368">
        <v>0.68613759970335597</v>
      </c>
      <c r="Z3368" t="str">
        <f>HYPERLINK("Melting_Curves/meltCurve_tr_D6REN3_D6REN3_HUMAN_.pdf", "Melting_Curves/meltCurve_tr_D6REN3_D6REN3_HUMAN_.pdf")</f>
        <v>Melting_Curves/meltCurve_tr_D6REN3_D6REN3_HUMAN_.pdf</v>
      </c>
      <c r="AA3368" t="s">
        <v>14813</v>
      </c>
      <c r="AB3368" t="s">
        <v>18603</v>
      </c>
    </row>
    <row r="3369" spans="1:28" x14ac:dyDescent="0.25">
      <c r="A3369" t="s">
        <v>3373</v>
      </c>
      <c r="B3369">
        <v>0.98876768158843997</v>
      </c>
      <c r="C3369">
        <v>0.84229433989813396</v>
      </c>
      <c r="D3369">
        <v>1.06670773545203</v>
      </c>
      <c r="E3369">
        <v>0.87657824312382304</v>
      </c>
      <c r="F3369">
        <v>0.60609554412269495</v>
      </c>
      <c r="G3369">
        <v>0.42003681679959298</v>
      </c>
      <c r="H3369">
        <v>0.28803275556964097</v>
      </c>
      <c r="I3369">
        <v>0.181604758534301</v>
      </c>
      <c r="J3369">
        <v>6.4383058323911405E-2</v>
      </c>
      <c r="K3369">
        <v>4.96384311902799E-2</v>
      </c>
      <c r="L3369">
        <v>754.35459409012503</v>
      </c>
      <c r="M3369">
        <v>13.500283100481401</v>
      </c>
      <c r="N3369">
        <v>55.876969509067699</v>
      </c>
      <c r="O3369">
        <v>54.6936506263674</v>
      </c>
      <c r="P3369">
        <v>-6.1718033112109903E-2</v>
      </c>
      <c r="Q3369">
        <v>0</v>
      </c>
      <c r="R3369">
        <v>0.96676281553663701</v>
      </c>
      <c r="S3369" t="s">
        <v>7201</v>
      </c>
      <c r="T3369" t="s">
        <v>7662</v>
      </c>
      <c r="U3369" t="s">
        <v>7662</v>
      </c>
      <c r="V3369" t="s">
        <v>7662</v>
      </c>
      <c r="W3369">
        <v>9</v>
      </c>
      <c r="X3369" t="s">
        <v>11031</v>
      </c>
      <c r="Y3369">
        <v>0.54870926040886414</v>
      </c>
      <c r="Z3369" t="str">
        <f>HYPERLINK("Melting_Curves/meltCurve_tr_D6RGI3_D6RGI3_HUMAN_.pdf", "Melting_Curves/meltCurve_tr_D6RGI3_D6RGI3_HUMAN_.pdf")</f>
        <v>Melting_Curves/meltCurve_tr_D6RGI3_D6RGI3_HUMAN_.pdf</v>
      </c>
      <c r="AA3369" t="s">
        <v>14814</v>
      </c>
      <c r="AB3369" t="s">
        <v>18604</v>
      </c>
    </row>
    <row r="3370" spans="1:28" x14ac:dyDescent="0.25">
      <c r="A3370" t="s">
        <v>3374</v>
      </c>
      <c r="B3370">
        <v>0.98876768158843997</v>
      </c>
      <c r="C3370">
        <v>0.96293194086858103</v>
      </c>
      <c r="D3370">
        <v>0.90678110350151797</v>
      </c>
      <c r="E3370">
        <v>0.77748382177702202</v>
      </c>
      <c r="F3370">
        <v>0.75495763811337102</v>
      </c>
      <c r="G3370">
        <v>0.52596654405635601</v>
      </c>
      <c r="H3370">
        <v>0.36884500088854999</v>
      </c>
      <c r="I3370">
        <v>0.442183524164043</v>
      </c>
      <c r="J3370">
        <v>0.36254701132742401</v>
      </c>
      <c r="K3370">
        <v>0.66149515422928595</v>
      </c>
      <c r="L3370">
        <v>907.68828480985599</v>
      </c>
      <c r="M3370">
        <v>17.533641963278502</v>
      </c>
      <c r="N3370">
        <v>59.530658247038602</v>
      </c>
      <c r="O3370">
        <v>51.109067334965303</v>
      </c>
      <c r="P3370">
        <v>-4.7244478380889701E-2</v>
      </c>
      <c r="Q3370">
        <v>0.44917567815944398</v>
      </c>
      <c r="R3370">
        <v>0.85228066885512499</v>
      </c>
      <c r="S3370" t="s">
        <v>7202</v>
      </c>
      <c r="T3370" t="s">
        <v>7662</v>
      </c>
      <c r="U3370" t="s">
        <v>7662</v>
      </c>
      <c r="V3370" t="s">
        <v>7662</v>
      </c>
      <c r="W3370">
        <v>5</v>
      </c>
      <c r="X3370" t="s">
        <v>11032</v>
      </c>
      <c r="Y3370">
        <v>0.67487143459034593</v>
      </c>
      <c r="Z3370" t="str">
        <f>HYPERLINK("Melting_Curves/meltCurve_tr_D6RHI9_D6RHI9_HUMAN_.pdf", "Melting_Curves/meltCurve_tr_D6RHI9_D6RHI9_HUMAN_.pdf")</f>
        <v>Melting_Curves/meltCurve_tr_D6RHI9_D6RHI9_HUMAN_.pdf</v>
      </c>
      <c r="AA3370" t="s">
        <v>14815</v>
      </c>
      <c r="AB3370" t="s">
        <v>18605</v>
      </c>
    </row>
    <row r="3371" spans="1:28" x14ac:dyDescent="0.25">
      <c r="A3371" t="s">
        <v>3375</v>
      </c>
      <c r="B3371">
        <v>0.98876768158843997</v>
      </c>
      <c r="C3371">
        <v>0.79168559073740996</v>
      </c>
      <c r="D3371">
        <v>0.59019077105182005</v>
      </c>
      <c r="E3371">
        <v>0.20154485513237799</v>
      </c>
      <c r="F3371">
        <v>0.10175989034185</v>
      </c>
      <c r="G3371">
        <v>5.3325067003392998E-2</v>
      </c>
      <c r="H3371">
        <v>3.7574265536265E-2</v>
      </c>
      <c r="I3371">
        <v>3.5025700373951599E-2</v>
      </c>
      <c r="J3371">
        <v>3.8164914526821699E-2</v>
      </c>
      <c r="K3371">
        <v>2.4235534118532801E-2</v>
      </c>
      <c r="L3371">
        <v>903.76016792073096</v>
      </c>
      <c r="M3371">
        <v>19.469090605590601</v>
      </c>
      <c r="N3371">
        <v>46.552609847781603</v>
      </c>
      <c r="O3371">
        <v>45.938818543796501</v>
      </c>
      <c r="P3371">
        <v>-0.10310222269760699</v>
      </c>
      <c r="Q3371">
        <v>2.6924320959168999E-2</v>
      </c>
      <c r="R3371">
        <v>0.99624192965487401</v>
      </c>
      <c r="S3371" t="s">
        <v>7203</v>
      </c>
      <c r="T3371" t="s">
        <v>7662</v>
      </c>
      <c r="U3371" t="s">
        <v>7662</v>
      </c>
      <c r="V3371" t="s">
        <v>7662</v>
      </c>
      <c r="W3371">
        <v>23</v>
      </c>
      <c r="X3371" t="s">
        <v>11033</v>
      </c>
      <c r="Y3371">
        <v>0.25073460984691942</v>
      </c>
      <c r="Z3371" t="str">
        <f>HYPERLINK("Melting_Curves/meltCurve_tr_E2QRD0_E2QRD0_HUMAN_.pdf", "Melting_Curves/meltCurve_tr_E2QRD0_E2QRD0_HUMAN_.pdf")</f>
        <v>Melting_Curves/meltCurve_tr_E2QRD0_E2QRD0_HUMAN_.pdf</v>
      </c>
      <c r="AA3371" t="s">
        <v>14816</v>
      </c>
      <c r="AB3371" t="s">
        <v>18606</v>
      </c>
    </row>
    <row r="3372" spans="1:28" x14ac:dyDescent="0.25">
      <c r="A3372" t="s">
        <v>3376</v>
      </c>
      <c r="B3372">
        <v>0.98876768158843997</v>
      </c>
      <c r="C3372">
        <v>1.10493670163951</v>
      </c>
      <c r="D3372">
        <v>0.85908267978186703</v>
      </c>
      <c r="E3372">
        <v>0.68855758148886104</v>
      </c>
      <c r="F3372">
        <v>0.797210007474078</v>
      </c>
      <c r="G3372">
        <v>0.53027498697540498</v>
      </c>
      <c r="H3372">
        <v>0.32523088392545901</v>
      </c>
      <c r="I3372">
        <v>0.33392025295211097</v>
      </c>
      <c r="J3372">
        <v>0.32916576493872401</v>
      </c>
      <c r="K3372">
        <v>0.35405799746129601</v>
      </c>
      <c r="L3372">
        <v>678.15328714112798</v>
      </c>
      <c r="M3372">
        <v>12.590374023652799</v>
      </c>
      <c r="N3372">
        <v>57.372890703904702</v>
      </c>
      <c r="O3372">
        <v>52.558202388629503</v>
      </c>
      <c r="P3372">
        <v>-4.38132560734577E-2</v>
      </c>
      <c r="Q3372">
        <v>0.26855696918294703</v>
      </c>
      <c r="R3372">
        <v>0.92532143429745395</v>
      </c>
      <c r="S3372" t="s">
        <v>7204</v>
      </c>
      <c r="T3372" t="s">
        <v>7662</v>
      </c>
      <c r="U3372" t="s">
        <v>7662</v>
      </c>
      <c r="V3372" t="s">
        <v>7662</v>
      </c>
      <c r="W3372">
        <v>7</v>
      </c>
      <c r="X3372" t="s">
        <v>11034</v>
      </c>
      <c r="Y3372">
        <v>0.62501040677579145</v>
      </c>
      <c r="Z3372" t="str">
        <f>HYPERLINK("Melting_Curves/meltCurve_tr_E2QRD5_E2QRD5_HUMAN_.pdf", "Melting_Curves/meltCurve_tr_E2QRD5_E2QRD5_HUMAN_.pdf")</f>
        <v>Melting_Curves/meltCurve_tr_E2QRD5_E2QRD5_HUMAN_.pdf</v>
      </c>
      <c r="AA3372" t="s">
        <v>14817</v>
      </c>
      <c r="AB3372" t="s">
        <v>18607</v>
      </c>
    </row>
    <row r="3373" spans="1:28" x14ac:dyDescent="0.25">
      <c r="A3373" t="s">
        <v>3377</v>
      </c>
      <c r="B3373">
        <v>0.98876768158843997</v>
      </c>
      <c r="C3373">
        <v>1.0582857892026101</v>
      </c>
      <c r="D3373">
        <v>0.71832228446060697</v>
      </c>
      <c r="E3373">
        <v>0.56447768048512803</v>
      </c>
      <c r="F3373">
        <v>0.48274524671906199</v>
      </c>
      <c r="G3373">
        <v>0.268247929517547</v>
      </c>
      <c r="H3373">
        <v>0.18500759765084801</v>
      </c>
      <c r="I3373">
        <v>0.20263686063307401</v>
      </c>
      <c r="J3373">
        <v>0.27012052404002002</v>
      </c>
      <c r="K3373">
        <v>0.21493151862121199</v>
      </c>
      <c r="L3373">
        <v>774.49460801631596</v>
      </c>
      <c r="M3373">
        <v>15.6439236751969</v>
      </c>
      <c r="N3373">
        <v>51.200113489836298</v>
      </c>
      <c r="O3373">
        <v>48.719896640472797</v>
      </c>
      <c r="P3373">
        <v>-6.4074592308049905E-2</v>
      </c>
      <c r="Q3373">
        <v>0.20187797534966501</v>
      </c>
      <c r="R3373">
        <v>0.96211079239698505</v>
      </c>
      <c r="S3373" t="s">
        <v>7205</v>
      </c>
      <c r="T3373" t="s">
        <v>7662</v>
      </c>
      <c r="U3373" t="s">
        <v>7662</v>
      </c>
      <c r="V3373" t="s">
        <v>7662</v>
      </c>
      <c r="W3373">
        <v>1</v>
      </c>
      <c r="X3373" t="s">
        <v>11035</v>
      </c>
      <c r="Y3373">
        <v>0.47272477379174299</v>
      </c>
      <c r="Z3373" t="str">
        <f>HYPERLINK("Melting_Curves/meltCurve_tr_E5RFZ8_E5RFZ8_HUMAN_.pdf", "Melting_Curves/meltCurve_tr_E5RFZ8_E5RFZ8_HUMAN_.pdf")</f>
        <v>Melting_Curves/meltCurve_tr_E5RFZ8_E5RFZ8_HUMAN_.pdf</v>
      </c>
      <c r="AA3373" t="s">
        <v>14818</v>
      </c>
      <c r="AB3373" t="s">
        <v>18608</v>
      </c>
    </row>
    <row r="3374" spans="1:28" x14ac:dyDescent="0.25">
      <c r="A3374" t="s">
        <v>3378</v>
      </c>
      <c r="B3374">
        <v>0.98876768158843997</v>
      </c>
      <c r="C3374">
        <v>1.2942923370903401</v>
      </c>
      <c r="D3374">
        <v>0.90799464379083406</v>
      </c>
      <c r="E3374">
        <v>0.831349137863854</v>
      </c>
      <c r="F3374">
        <v>1.20089789276221</v>
      </c>
      <c r="G3374">
        <v>0.87006356229361104</v>
      </c>
      <c r="H3374">
        <v>0.72052443272561695</v>
      </c>
      <c r="I3374">
        <v>0.92199789116303199</v>
      </c>
      <c r="J3374">
        <v>1.0600413753600699</v>
      </c>
      <c r="K3374">
        <v>1.3967393802947801</v>
      </c>
      <c r="L3374">
        <v>15000</v>
      </c>
      <c r="M3374">
        <v>222.15593551492401</v>
      </c>
      <c r="O3374">
        <v>67.514668972973098</v>
      </c>
      <c r="P3374">
        <v>0.32649085542211898</v>
      </c>
      <c r="Q3374">
        <v>1.3968909840908399</v>
      </c>
      <c r="R3374">
        <v>0.372408296851228</v>
      </c>
      <c r="S3374" t="s">
        <v>7206</v>
      </c>
      <c r="T3374" t="s">
        <v>7662</v>
      </c>
      <c r="U3374" t="s">
        <v>7662</v>
      </c>
      <c r="V3374" t="s">
        <v>7662</v>
      </c>
      <c r="W3374">
        <v>3</v>
      </c>
      <c r="X3374" t="s">
        <v>11036</v>
      </c>
      <c r="Y3374">
        <v>1.0327498988643229</v>
      </c>
      <c r="Z3374" t="str">
        <f>HYPERLINK("Melting_Curves/meltCurve_tr_E5RGX5_E5RGX5_HUMAN_.pdf", "Melting_Curves/meltCurve_tr_E5RGX5_E5RGX5_HUMAN_.pdf")</f>
        <v>Melting_Curves/meltCurve_tr_E5RGX5_E5RGX5_HUMAN_.pdf</v>
      </c>
      <c r="AA3374" t="s">
        <v>14819</v>
      </c>
      <c r="AB3374" t="s">
        <v>15918</v>
      </c>
    </row>
    <row r="3375" spans="1:28" x14ac:dyDescent="0.25">
      <c r="A3375" t="s">
        <v>3379</v>
      </c>
      <c r="B3375">
        <v>0.98876768158843997</v>
      </c>
      <c r="C3375">
        <v>0.78657859289769405</v>
      </c>
      <c r="D3375">
        <v>1.12771609978222</v>
      </c>
      <c r="E3375">
        <v>1.0287877972261801</v>
      </c>
      <c r="F3375">
        <v>0.61974814795259103</v>
      </c>
      <c r="G3375">
        <v>0.37616716074529</v>
      </c>
      <c r="H3375">
        <v>0.21416283522083199</v>
      </c>
      <c r="I3375">
        <v>0.15608714598784099</v>
      </c>
      <c r="J3375">
        <v>9.9299641524354207E-2</v>
      </c>
      <c r="K3375">
        <v>0.13084994195866001</v>
      </c>
      <c r="L3375">
        <v>1417.90528425094</v>
      </c>
      <c r="M3375">
        <v>26.091188120556499</v>
      </c>
      <c r="N3375">
        <v>55.009870805484297</v>
      </c>
      <c r="O3375">
        <v>54.027994728250903</v>
      </c>
      <c r="P3375">
        <v>-0.104388230614422</v>
      </c>
      <c r="Q3375">
        <v>0.135367451647946</v>
      </c>
      <c r="R3375">
        <v>0.94120313546426304</v>
      </c>
      <c r="S3375" t="s">
        <v>7207</v>
      </c>
      <c r="T3375" t="s">
        <v>7662</v>
      </c>
      <c r="U3375" t="s">
        <v>7662</v>
      </c>
      <c r="V3375" t="s">
        <v>7662</v>
      </c>
      <c r="W3375">
        <v>1</v>
      </c>
      <c r="X3375" t="s">
        <v>11037</v>
      </c>
      <c r="Y3375">
        <v>0.55619201165082222</v>
      </c>
      <c r="Z3375" t="str">
        <f>HYPERLINK("Melting_Curves/meltCurve_tr_E5RGX8_E5RGX8_HUMAN_.pdf", "Melting_Curves/meltCurve_tr_E5RGX8_E5RGX8_HUMAN_.pdf")</f>
        <v>Melting_Curves/meltCurve_tr_E5RGX8_E5RGX8_HUMAN_.pdf</v>
      </c>
      <c r="AA3375" t="s">
        <v>14820</v>
      </c>
      <c r="AB3375" t="s">
        <v>18609</v>
      </c>
    </row>
    <row r="3376" spans="1:28" x14ac:dyDescent="0.25">
      <c r="A3376" t="s">
        <v>3380</v>
      </c>
      <c r="B3376">
        <v>0.98876768158843997</v>
      </c>
      <c r="C3376">
        <v>0.98152116130057399</v>
      </c>
      <c r="D3376">
        <v>0.906000718249516</v>
      </c>
      <c r="E3376">
        <v>0.73971057085918102</v>
      </c>
      <c r="F3376">
        <v>0.58010219449723399</v>
      </c>
      <c r="G3376">
        <v>0.21626877463462699</v>
      </c>
      <c r="H3376">
        <v>9.6505690548263801E-2</v>
      </c>
      <c r="I3376">
        <v>7.1168280885725396E-2</v>
      </c>
      <c r="J3376">
        <v>8.5916094643358101E-2</v>
      </c>
      <c r="K3376">
        <v>5.0243271712013697E-2</v>
      </c>
      <c r="L3376">
        <v>951.04836268612803</v>
      </c>
      <c r="M3376">
        <v>17.908258381726402</v>
      </c>
      <c r="N3376">
        <v>53.3076397840371</v>
      </c>
      <c r="O3376">
        <v>52.457767089581601</v>
      </c>
      <c r="P3376">
        <v>-8.2564695326371604E-2</v>
      </c>
      <c r="Q3376">
        <v>3.26381507019105E-2</v>
      </c>
      <c r="R3376">
        <v>0.99481746295615603</v>
      </c>
      <c r="S3376" t="s">
        <v>7208</v>
      </c>
      <c r="T3376" t="s">
        <v>7662</v>
      </c>
      <c r="U3376" t="s">
        <v>7662</v>
      </c>
      <c r="V3376" t="s">
        <v>7662</v>
      </c>
      <c r="W3376">
        <v>4</v>
      </c>
      <c r="X3376" t="s">
        <v>11038</v>
      </c>
      <c r="Y3376">
        <v>0.47120392521155802</v>
      </c>
      <c r="Z3376" t="str">
        <f>HYPERLINK("Melting_Curves/meltCurve_tr_E5RHG8_E5RHG8_HUMAN_.pdf", "Melting_Curves/meltCurve_tr_E5RHG8_E5RHG8_HUMAN_.pdf")</f>
        <v>Melting_Curves/meltCurve_tr_E5RHG8_E5RHG8_HUMAN_.pdf</v>
      </c>
      <c r="AA3376" t="s">
        <v>14821</v>
      </c>
      <c r="AB3376" t="s">
        <v>18610</v>
      </c>
    </row>
    <row r="3377" spans="1:28" x14ac:dyDescent="0.25">
      <c r="A3377" t="s">
        <v>3381</v>
      </c>
      <c r="B3377">
        <v>0.98876768158843997</v>
      </c>
      <c r="C3377">
        <v>1.0767990093728099</v>
      </c>
      <c r="D3377">
        <v>0.95773238810643002</v>
      </c>
      <c r="E3377">
        <v>0.85468247624263904</v>
      </c>
      <c r="F3377">
        <v>0.49777357940624101</v>
      </c>
      <c r="G3377">
        <v>0.443004170124639</v>
      </c>
      <c r="H3377">
        <v>0.143246756317364</v>
      </c>
      <c r="I3377">
        <v>0.14893604285228801</v>
      </c>
      <c r="J3377">
        <v>0.11829270302195501</v>
      </c>
      <c r="K3377">
        <v>0.187485854928887</v>
      </c>
      <c r="L3377">
        <v>1007.8231948464301</v>
      </c>
      <c r="M3377">
        <v>18.8950340976394</v>
      </c>
      <c r="N3377">
        <v>54.203816604216399</v>
      </c>
      <c r="O3377">
        <v>52.751329882146301</v>
      </c>
      <c r="P3377">
        <v>-7.7886001479201106E-2</v>
      </c>
      <c r="Q3377">
        <v>0.13026401899846701</v>
      </c>
      <c r="R3377">
        <v>0.97228811391158199</v>
      </c>
      <c r="S3377" t="s">
        <v>7209</v>
      </c>
      <c r="T3377" t="s">
        <v>7662</v>
      </c>
      <c r="U3377" t="s">
        <v>7662</v>
      </c>
      <c r="V3377" t="s">
        <v>7662</v>
      </c>
      <c r="W3377">
        <v>1</v>
      </c>
      <c r="X3377" t="s">
        <v>11039</v>
      </c>
      <c r="Y3377">
        <v>0.53004158617518982</v>
      </c>
      <c r="Z3377" t="str">
        <f>HYPERLINK("Melting_Curves/meltCurve_tr_E5RI99_E5RI99_HUMAN_.pdf", "Melting_Curves/meltCurve_tr_E5RI99_E5RI99_HUMAN_.pdf")</f>
        <v>Melting_Curves/meltCurve_tr_E5RI99_E5RI99_HUMAN_.pdf</v>
      </c>
      <c r="AA3377" t="s">
        <v>14822</v>
      </c>
      <c r="AB3377" t="s">
        <v>18611</v>
      </c>
    </row>
    <row r="3378" spans="1:28" x14ac:dyDescent="0.25">
      <c r="A3378" t="s">
        <v>3382</v>
      </c>
      <c r="B3378">
        <v>0.98876768158843997</v>
      </c>
      <c r="C3378">
        <v>1.0357276147846299</v>
      </c>
      <c r="D3378">
        <v>0.91636515963649701</v>
      </c>
      <c r="E3378">
        <v>0.83342072544159496</v>
      </c>
      <c r="F3378">
        <v>0.87262292910702699</v>
      </c>
      <c r="G3378">
        <v>0.60405735581600295</v>
      </c>
      <c r="H3378">
        <v>0.44508296450917401</v>
      </c>
      <c r="I3378">
        <v>0.58490164366456499</v>
      </c>
      <c r="J3378">
        <v>0.84072975532787897</v>
      </c>
      <c r="K3378">
        <v>0.81389648715601903</v>
      </c>
      <c r="L3378">
        <v>1170.2891605324801</v>
      </c>
      <c r="M3378">
        <v>22.978549300614802</v>
      </c>
      <c r="O3378">
        <v>50.548612153437603</v>
      </c>
      <c r="P3378">
        <v>-3.8126424802181202E-2</v>
      </c>
      <c r="Q3378">
        <v>0.664521580084946</v>
      </c>
      <c r="R3378">
        <v>0.57588284516356103</v>
      </c>
      <c r="S3378" t="s">
        <v>7210</v>
      </c>
      <c r="T3378" t="s">
        <v>7662</v>
      </c>
      <c r="U3378" t="s">
        <v>7662</v>
      </c>
      <c r="V3378" t="s">
        <v>7662</v>
      </c>
      <c r="W3378">
        <v>2</v>
      </c>
      <c r="X3378" t="s">
        <v>11040</v>
      </c>
      <c r="Y3378">
        <v>0.79031525602214725</v>
      </c>
      <c r="Z3378" t="str">
        <f>HYPERLINK("Melting_Curves/meltCurve_tr_E5RIG5_E5RIG5_HUMAN_.pdf", "Melting_Curves/meltCurve_tr_E5RIG5_E5RIG5_HUMAN_.pdf")</f>
        <v>Melting_Curves/meltCurve_tr_E5RIG5_E5RIG5_HUMAN_.pdf</v>
      </c>
      <c r="AA3378" t="s">
        <v>14823</v>
      </c>
      <c r="AB3378" t="s">
        <v>18612</v>
      </c>
    </row>
    <row r="3379" spans="1:28" x14ac:dyDescent="0.25">
      <c r="A3379" t="s">
        <v>3383</v>
      </c>
      <c r="B3379">
        <v>0.98876768158843997</v>
      </c>
      <c r="C3379">
        <v>0.964168894048961</v>
      </c>
      <c r="D3379">
        <v>0.72557978612656404</v>
      </c>
      <c r="E3379">
        <v>0.60225909817131396</v>
      </c>
      <c r="F3379">
        <v>0.74047779959063298</v>
      </c>
      <c r="G3379">
        <v>0.423858850499716</v>
      </c>
      <c r="H3379">
        <v>0.37178509521209901</v>
      </c>
      <c r="I3379">
        <v>0.31113862455526498</v>
      </c>
      <c r="J3379">
        <v>0.45776642844632998</v>
      </c>
      <c r="K3379">
        <v>0.35216692697141699</v>
      </c>
      <c r="L3379">
        <v>521.74131001375599</v>
      </c>
      <c r="M3379">
        <v>10.375314750663399</v>
      </c>
      <c r="N3379">
        <v>55.762771717577898</v>
      </c>
      <c r="O3379">
        <v>48.526265641175698</v>
      </c>
      <c r="P3379">
        <v>-3.6389562641337699E-2</v>
      </c>
      <c r="Q3379">
        <v>0.319498624087869</v>
      </c>
      <c r="R3379">
        <v>0.88751717958988097</v>
      </c>
      <c r="S3379" t="s">
        <v>7211</v>
      </c>
      <c r="T3379" t="s">
        <v>7662</v>
      </c>
      <c r="U3379" t="s">
        <v>7662</v>
      </c>
      <c r="V3379" t="s">
        <v>7662</v>
      </c>
      <c r="W3379">
        <v>1</v>
      </c>
      <c r="X3379" t="s">
        <v>11041</v>
      </c>
      <c r="Y3379">
        <v>0.58143225139933985</v>
      </c>
      <c r="Z3379" t="str">
        <f>HYPERLINK("Melting_Curves/meltCurve_tr_E5RJ08_E5RJ08_HUMAN_.pdf", "Melting_Curves/meltCurve_tr_E5RJ08_E5RJ08_HUMAN_.pdf")</f>
        <v>Melting_Curves/meltCurve_tr_E5RJ08_E5RJ08_HUMAN_.pdf</v>
      </c>
      <c r="AA3379" t="s">
        <v>14824</v>
      </c>
      <c r="AB3379" t="s">
        <v>18613</v>
      </c>
    </row>
    <row r="3380" spans="1:28" x14ac:dyDescent="0.25">
      <c r="A3380" t="s">
        <v>3384</v>
      </c>
      <c r="B3380">
        <v>0.98876768158843997</v>
      </c>
      <c r="C3380">
        <v>0.949053761750693</v>
      </c>
      <c r="D3380">
        <v>0.88873007478183896</v>
      </c>
      <c r="E3380">
        <v>0.61449382241890604</v>
      </c>
      <c r="F3380">
        <v>0.486345676547213</v>
      </c>
      <c r="G3380">
        <v>0.28161228187076598</v>
      </c>
      <c r="H3380">
        <v>0.110559988289825</v>
      </c>
      <c r="I3380">
        <v>8.3320546389389197E-2</v>
      </c>
      <c r="J3380">
        <v>7.33168968220963E-2</v>
      </c>
      <c r="K3380">
        <v>5.6403887637462902E-2</v>
      </c>
      <c r="L3380">
        <v>703.28962731120498</v>
      </c>
      <c r="M3380">
        <v>13.4495770484119</v>
      </c>
      <c r="N3380">
        <v>52.413536911602698</v>
      </c>
      <c r="O3380">
        <v>51.175425724441901</v>
      </c>
      <c r="P3380">
        <v>-6.4695035356128805E-2</v>
      </c>
      <c r="Q3380">
        <v>1.5498052416627099E-2</v>
      </c>
      <c r="R3380">
        <v>0.99668125706542299</v>
      </c>
      <c r="S3380" t="s">
        <v>7212</v>
      </c>
      <c r="T3380" t="s">
        <v>7662</v>
      </c>
      <c r="U3380" t="s">
        <v>7662</v>
      </c>
      <c r="V3380" t="s">
        <v>7662</v>
      </c>
      <c r="W3380">
        <v>13</v>
      </c>
      <c r="X3380" t="s">
        <v>11042</v>
      </c>
      <c r="Y3380">
        <v>0.44430133483497047</v>
      </c>
      <c r="Z3380" t="str">
        <f>HYPERLINK("Melting_Curves/meltCurve_tr_E5RJ68_E5RJ68_HUMAN_.pdf", "Melting_Curves/meltCurve_tr_E5RJ68_E5RJ68_HUMAN_.pdf")</f>
        <v>Melting_Curves/meltCurve_tr_E5RJ68_E5RJ68_HUMAN_.pdf</v>
      </c>
      <c r="AA3380" t="s">
        <v>14825</v>
      </c>
      <c r="AB3380" t="s">
        <v>18614</v>
      </c>
    </row>
    <row r="3381" spans="1:28" x14ac:dyDescent="0.25">
      <c r="A3381" t="s">
        <v>3385</v>
      </c>
      <c r="B3381">
        <v>0.98876768158843997</v>
      </c>
      <c r="C3381">
        <v>0.723017519864668</v>
      </c>
      <c r="D3381">
        <v>1.08820775833118</v>
      </c>
      <c r="E3381">
        <v>0.61080463999159595</v>
      </c>
      <c r="F3381">
        <v>0.15924584106859799</v>
      </c>
      <c r="G3381">
        <v>6.9083943735577802E-2</v>
      </c>
      <c r="H3381">
        <v>2.7013106229617001E-2</v>
      </c>
      <c r="I3381">
        <v>2.14723266927156E-2</v>
      </c>
      <c r="J3381">
        <v>2.27326815096822E-2</v>
      </c>
      <c r="K3381">
        <v>1.9020800343945599E-2</v>
      </c>
      <c r="L3381">
        <v>2173.6843334012501</v>
      </c>
      <c r="M3381">
        <v>43.0239970880668</v>
      </c>
      <c r="N3381">
        <v>50.600028810883998</v>
      </c>
      <c r="O3381">
        <v>50.4138365536474</v>
      </c>
      <c r="P3381">
        <v>-0.206557793066179</v>
      </c>
      <c r="Q3381">
        <v>3.1856463077435303E-2</v>
      </c>
      <c r="R3381">
        <v>0.94784234472853401</v>
      </c>
      <c r="S3381" t="s">
        <v>7213</v>
      </c>
      <c r="T3381" t="s">
        <v>7662</v>
      </c>
      <c r="U3381" t="s">
        <v>7662</v>
      </c>
      <c r="V3381" t="s">
        <v>7662</v>
      </c>
      <c r="W3381">
        <v>10</v>
      </c>
      <c r="X3381" t="s">
        <v>11043</v>
      </c>
      <c r="Y3381">
        <v>0.3743556840518647</v>
      </c>
      <c r="Z3381" t="str">
        <f>HYPERLINK("Melting_Curves/meltCurve_tr_E5RJD2_E5RJD2_HUMAN_.pdf", "Melting_Curves/meltCurve_tr_E5RJD2_E5RJD2_HUMAN_.pdf")</f>
        <v>Melting_Curves/meltCurve_tr_E5RJD2_E5RJD2_HUMAN_.pdf</v>
      </c>
      <c r="AA3381" t="s">
        <v>14749</v>
      </c>
      <c r="AB3381" t="s">
        <v>18615</v>
      </c>
    </row>
    <row r="3382" spans="1:28" x14ac:dyDescent="0.25">
      <c r="A3382" t="s">
        <v>3386</v>
      </c>
      <c r="B3382">
        <v>0.98876768158843997</v>
      </c>
      <c r="C3382">
        <v>1.0397626407685201</v>
      </c>
      <c r="D3382">
        <v>0.88450527764043796</v>
      </c>
      <c r="E3382">
        <v>0.71399938657529705</v>
      </c>
      <c r="F3382">
        <v>0.34406340617590297</v>
      </c>
      <c r="G3382">
        <v>0.17478011345662001</v>
      </c>
      <c r="H3382">
        <v>9.6493882565533401E-2</v>
      </c>
      <c r="I3382">
        <v>0.16299968630185599</v>
      </c>
      <c r="J3382">
        <v>0.18881354408319401</v>
      </c>
      <c r="K3382">
        <v>7.4173404449607794E-2</v>
      </c>
      <c r="L3382">
        <v>1369.16020362632</v>
      </c>
      <c r="M3382">
        <v>26.817709548182101</v>
      </c>
      <c r="N3382">
        <v>51.6075492057426</v>
      </c>
      <c r="O3382">
        <v>50.772980417558301</v>
      </c>
      <c r="P3382">
        <v>-0.115552833386468</v>
      </c>
      <c r="Q3382">
        <v>0.12492124092465</v>
      </c>
      <c r="R3382">
        <v>0.98720676489279102</v>
      </c>
      <c r="S3382" t="s">
        <v>7214</v>
      </c>
      <c r="T3382" t="s">
        <v>7662</v>
      </c>
      <c r="U3382" t="s">
        <v>7662</v>
      </c>
      <c r="V3382" t="s">
        <v>7662</v>
      </c>
      <c r="W3382">
        <v>2</v>
      </c>
      <c r="X3382" t="s">
        <v>11044</v>
      </c>
      <c r="Y3382">
        <v>0.4542546004455289</v>
      </c>
      <c r="Z3382" t="str">
        <f>HYPERLINK("Melting_Curves/meltCurve_tr_E5RJJ3_E5RJJ3_HUMAN_.pdf", "Melting_Curves/meltCurve_tr_E5RJJ3_E5RJJ3_HUMAN_.pdf")</f>
        <v>Melting_Curves/meltCurve_tr_E5RJJ3_E5RJJ3_HUMAN_.pdf</v>
      </c>
      <c r="AA3382" t="s">
        <v>14826</v>
      </c>
      <c r="AB3382" t="s">
        <v>18616</v>
      </c>
    </row>
    <row r="3383" spans="1:28" x14ac:dyDescent="0.25">
      <c r="A3383" t="s">
        <v>3387</v>
      </c>
      <c r="B3383">
        <v>0.98876768158843997</v>
      </c>
      <c r="C3383">
        <v>1.06722071750574</v>
      </c>
      <c r="D3383">
        <v>0.93829840394980102</v>
      </c>
      <c r="E3383">
        <v>0.83337535246408601</v>
      </c>
      <c r="F3383">
        <v>0.89700338591103901</v>
      </c>
      <c r="G3383">
        <v>0.65617572601583196</v>
      </c>
      <c r="H3383">
        <v>0.50279299252667797</v>
      </c>
      <c r="I3383">
        <v>0.55426208173634095</v>
      </c>
      <c r="J3383">
        <v>0.60990531394186898</v>
      </c>
      <c r="K3383">
        <v>0.65250556983707497</v>
      </c>
      <c r="L3383">
        <v>1108.56731689977</v>
      </c>
      <c r="M3383">
        <v>20.727264966582499</v>
      </c>
      <c r="O3383">
        <v>52.993154658690898</v>
      </c>
      <c r="P3383">
        <v>-4.1829278050103898E-2</v>
      </c>
      <c r="Q3383">
        <v>0.572234347408622</v>
      </c>
      <c r="R3383">
        <v>0.88518179337282199</v>
      </c>
      <c r="S3383" t="s">
        <v>7215</v>
      </c>
      <c r="T3383" t="s">
        <v>7662</v>
      </c>
      <c r="U3383" t="s">
        <v>7662</v>
      </c>
      <c r="V3383" t="s">
        <v>7662</v>
      </c>
      <c r="W3383">
        <v>10</v>
      </c>
      <c r="X3383" t="s">
        <v>11045</v>
      </c>
      <c r="Y3383">
        <v>0.77000800386010559</v>
      </c>
      <c r="Z3383" t="str">
        <f>HYPERLINK("Melting_Curves/meltCurve_tr_E5RJR5_E5RJR5_HUMAN_.pdf", "Melting_Curves/meltCurve_tr_E5RJR5_E5RJR5_HUMAN_.pdf")</f>
        <v>Melting_Curves/meltCurve_tr_E5RJR5_E5RJR5_HUMAN_.pdf</v>
      </c>
      <c r="AA3383" t="s">
        <v>14827</v>
      </c>
      <c r="AB3383" t="s">
        <v>18617</v>
      </c>
    </row>
    <row r="3384" spans="1:28" x14ac:dyDescent="0.25">
      <c r="A3384" t="s">
        <v>3388</v>
      </c>
      <c r="B3384">
        <v>0.98876768158843997</v>
      </c>
      <c r="C3384">
        <v>1.0974432804740499</v>
      </c>
      <c r="D3384">
        <v>0.859743033957304</v>
      </c>
      <c r="E3384">
        <v>0.78483763388259398</v>
      </c>
      <c r="F3384">
        <v>0.97163007264351597</v>
      </c>
      <c r="G3384">
        <v>0.75174233972691296</v>
      </c>
      <c r="H3384">
        <v>0.58213622207848903</v>
      </c>
      <c r="I3384">
        <v>0.68010306619927996</v>
      </c>
      <c r="J3384">
        <v>0.81836872062710997</v>
      </c>
      <c r="K3384">
        <v>0.984642229983829</v>
      </c>
      <c r="L3384">
        <v>11463.572876480999</v>
      </c>
      <c r="M3384">
        <v>250</v>
      </c>
      <c r="O3384">
        <v>45.851359832041801</v>
      </c>
      <c r="P3384">
        <v>-0.27778810963523398</v>
      </c>
      <c r="Q3384">
        <v>0.79620861106222796</v>
      </c>
      <c r="R3384">
        <v>0.39817678427874298</v>
      </c>
      <c r="S3384" t="s">
        <v>7216</v>
      </c>
      <c r="T3384" t="s">
        <v>7662</v>
      </c>
      <c r="U3384" t="s">
        <v>7662</v>
      </c>
      <c r="V3384" t="s">
        <v>7662</v>
      </c>
      <c r="W3384">
        <v>17</v>
      </c>
      <c r="X3384" t="s">
        <v>11046</v>
      </c>
      <c r="Y3384">
        <v>0.83599348412370689</v>
      </c>
      <c r="Z3384" t="str">
        <f>HYPERLINK("Melting_Curves/meltCurve_tr_E5RJU9_E5RJU9_HUMAN_.pdf", "Melting_Curves/meltCurve_tr_E5RJU9_E5RJU9_HUMAN_.pdf")</f>
        <v>Melting_Curves/meltCurve_tr_E5RJU9_E5RJU9_HUMAN_.pdf</v>
      </c>
      <c r="AA3384" t="s">
        <v>14828</v>
      </c>
      <c r="AB3384" t="s">
        <v>18618</v>
      </c>
    </row>
    <row r="3385" spans="1:28" x14ac:dyDescent="0.25">
      <c r="A3385" t="s">
        <v>3389</v>
      </c>
      <c r="B3385">
        <v>0.98876768158843997</v>
      </c>
      <c r="C3385">
        <v>1.07469868766917</v>
      </c>
      <c r="D3385">
        <v>1.04831339025244</v>
      </c>
      <c r="E3385">
        <v>0.71215959819477104</v>
      </c>
      <c r="F3385">
        <v>0.721309992503262</v>
      </c>
      <c r="G3385">
        <v>0.55132174016490898</v>
      </c>
      <c r="H3385">
        <v>0.420925675496159</v>
      </c>
      <c r="I3385">
        <v>0.37076166153547002</v>
      </c>
      <c r="J3385">
        <v>0.230195145167362</v>
      </c>
      <c r="K3385">
        <v>0.159994740759274</v>
      </c>
      <c r="L3385">
        <v>570.40881022819997</v>
      </c>
      <c r="M3385">
        <v>9.8554810179004999</v>
      </c>
      <c r="N3385">
        <v>58.443033516760799</v>
      </c>
      <c r="O3385">
        <v>55.645497838322399</v>
      </c>
      <c r="P3385">
        <v>-4.2285356193441197E-2</v>
      </c>
      <c r="Q3385">
        <v>4.5493453093996397E-2</v>
      </c>
      <c r="R3385">
        <v>0.95634295112551604</v>
      </c>
      <c r="S3385" t="s">
        <v>7217</v>
      </c>
      <c r="T3385" t="s">
        <v>7662</v>
      </c>
      <c r="U3385" t="s">
        <v>7662</v>
      </c>
      <c r="V3385" t="s">
        <v>7662</v>
      </c>
      <c r="W3385">
        <v>1</v>
      </c>
      <c r="X3385" t="s">
        <v>11047</v>
      </c>
      <c r="Y3385">
        <v>0.62419633188111157</v>
      </c>
      <c r="Z3385" t="str">
        <f>HYPERLINK("Melting_Curves/meltCurve_tr_E5RK00_E5RK00_HUMAN_.pdf", "Melting_Curves/meltCurve_tr_E5RK00_E5RK00_HUMAN_.pdf")</f>
        <v>Melting_Curves/meltCurve_tr_E5RK00_E5RK00_HUMAN_.pdf</v>
      </c>
      <c r="AA3385" t="s">
        <v>14829</v>
      </c>
      <c r="AB3385" t="s">
        <v>18619</v>
      </c>
    </row>
    <row r="3386" spans="1:28" x14ac:dyDescent="0.25">
      <c r="A3386" t="s">
        <v>3390</v>
      </c>
      <c r="B3386">
        <v>0.98876768158843997</v>
      </c>
      <c r="C3386">
        <v>1.0361461990573699</v>
      </c>
      <c r="D3386">
        <v>0.97463456436641205</v>
      </c>
      <c r="E3386">
        <v>0.74837305808819798</v>
      </c>
      <c r="F3386">
        <v>0.61928611215680796</v>
      </c>
      <c r="G3386">
        <v>0.22426425758444499</v>
      </c>
      <c r="H3386">
        <v>0.11527625345300301</v>
      </c>
      <c r="I3386">
        <v>0.115182350040098</v>
      </c>
      <c r="J3386">
        <v>0.10195504863310401</v>
      </c>
      <c r="K3386">
        <v>0.102140375953765</v>
      </c>
      <c r="L3386">
        <v>1120.4860129342801</v>
      </c>
      <c r="M3386">
        <v>21.077088963724101</v>
      </c>
      <c r="N3386">
        <v>53.613264818840499</v>
      </c>
      <c r="O3386">
        <v>52.689719813507402</v>
      </c>
      <c r="P3386">
        <v>-9.1868569252563703E-2</v>
      </c>
      <c r="Q3386">
        <v>8.1390954633122597E-2</v>
      </c>
      <c r="R3386">
        <v>0.99219707112696298</v>
      </c>
      <c r="S3386" t="s">
        <v>7218</v>
      </c>
      <c r="T3386" t="s">
        <v>7662</v>
      </c>
      <c r="U3386" t="s">
        <v>7662</v>
      </c>
      <c r="V3386" t="s">
        <v>7662</v>
      </c>
      <c r="W3386">
        <v>5</v>
      </c>
      <c r="X3386" t="s">
        <v>11048</v>
      </c>
      <c r="Y3386">
        <v>0.49592437026005398</v>
      </c>
      <c r="Z3386" t="str">
        <f>HYPERLINK("Melting_Curves/meltCurve_tr_E7EM64_E7EM64_HUMAN_.pdf", "Melting_Curves/meltCurve_tr_E7EM64_E7EM64_HUMAN_.pdf")</f>
        <v>Melting_Curves/meltCurve_tr_E7EM64_E7EM64_HUMAN_.pdf</v>
      </c>
      <c r="AA3386" t="s">
        <v>14830</v>
      </c>
      <c r="AB3386" t="s">
        <v>18620</v>
      </c>
    </row>
    <row r="3387" spans="1:28" x14ac:dyDescent="0.25">
      <c r="A3387" t="s">
        <v>3391</v>
      </c>
      <c r="B3387">
        <v>0.98876768158843997</v>
      </c>
      <c r="C3387">
        <v>0.88917647115209097</v>
      </c>
      <c r="D3387">
        <v>0.88847140226043497</v>
      </c>
      <c r="E3387">
        <v>0.58112964711913095</v>
      </c>
      <c r="F3387">
        <v>0.28116933633810998</v>
      </c>
      <c r="G3387">
        <v>0.119727111053333</v>
      </c>
      <c r="H3387">
        <v>7.94814473888905E-2</v>
      </c>
      <c r="I3387">
        <v>5.0739051488882102E-2</v>
      </c>
      <c r="J3387">
        <v>5.6622827490148103E-2</v>
      </c>
      <c r="K3387">
        <v>9.9371341849928005E-2</v>
      </c>
      <c r="L3387">
        <v>1051.35396087156</v>
      </c>
      <c r="M3387">
        <v>20.905764664829999</v>
      </c>
      <c r="N3387">
        <v>50.586247705740199</v>
      </c>
      <c r="O3387">
        <v>49.8367775078774</v>
      </c>
      <c r="P3387">
        <v>-9.8834397781303901E-2</v>
      </c>
      <c r="Q3387">
        <v>5.75894363212094E-2</v>
      </c>
      <c r="R3387">
        <v>0.99253137048458895</v>
      </c>
      <c r="S3387" t="s">
        <v>7219</v>
      </c>
      <c r="T3387" t="s">
        <v>7662</v>
      </c>
      <c r="U3387" t="s">
        <v>7662</v>
      </c>
      <c r="V3387" t="s">
        <v>7662</v>
      </c>
      <c r="W3387">
        <v>5</v>
      </c>
      <c r="X3387" t="s">
        <v>11049</v>
      </c>
      <c r="Y3387">
        <v>0.39286960599976212</v>
      </c>
      <c r="Z3387" t="str">
        <f>HYPERLINK("Melting_Curves/meltCurve_tr_E7EMM2_E7EMM2_HUMAN_.pdf", "Melting_Curves/meltCurve_tr_E7EMM2_E7EMM2_HUMAN_.pdf")</f>
        <v>Melting_Curves/meltCurve_tr_E7EMM2_E7EMM2_HUMAN_.pdf</v>
      </c>
      <c r="AA3387" t="s">
        <v>14831</v>
      </c>
      <c r="AB3387" t="s">
        <v>18621</v>
      </c>
    </row>
    <row r="3388" spans="1:28" x14ac:dyDescent="0.25">
      <c r="A3388" t="s">
        <v>3392</v>
      </c>
      <c r="B3388">
        <v>0.98876768158843997</v>
      </c>
      <c r="C3388">
        <v>0.82807053821229804</v>
      </c>
      <c r="D3388">
        <v>0.96479437372577703</v>
      </c>
      <c r="E3388">
        <v>0.68693111463699597</v>
      </c>
      <c r="F3388">
        <v>0.61329004746054805</v>
      </c>
      <c r="G3388">
        <v>0.40626324858830698</v>
      </c>
      <c r="H3388">
        <v>0.31379631986647899</v>
      </c>
      <c r="I3388">
        <v>0.338501832922944</v>
      </c>
      <c r="J3388">
        <v>0.34277584095936398</v>
      </c>
      <c r="K3388">
        <v>0.39745556092343298</v>
      </c>
      <c r="L3388">
        <v>808.71651507322099</v>
      </c>
      <c r="M3388">
        <v>15.862578316551399</v>
      </c>
      <c r="N3388">
        <v>54.607012681141498</v>
      </c>
      <c r="O3388">
        <v>50.1930372059768</v>
      </c>
      <c r="P3388">
        <v>-5.3293195837855502E-2</v>
      </c>
      <c r="Q3388">
        <v>0.32552444209923198</v>
      </c>
      <c r="R3388">
        <v>0.94442818987440602</v>
      </c>
      <c r="S3388" t="s">
        <v>7220</v>
      </c>
      <c r="T3388" t="s">
        <v>7662</v>
      </c>
      <c r="U3388" t="s">
        <v>7662</v>
      </c>
      <c r="V3388" t="s">
        <v>7662</v>
      </c>
      <c r="W3388">
        <v>8</v>
      </c>
      <c r="X3388" t="s">
        <v>11050</v>
      </c>
      <c r="Y3388">
        <v>0.58663596330395318</v>
      </c>
      <c r="Z3388" t="str">
        <f>HYPERLINK("Melting_Curves/meltCurve_tr_E7EMM4_E7EMM4_HUMAN_.pdf", "Melting_Curves/meltCurve_tr_E7EMM4_E7EMM4_HUMAN_.pdf")</f>
        <v>Melting_Curves/meltCurve_tr_E7EMM4_E7EMM4_HUMAN_.pdf</v>
      </c>
      <c r="AA3388" t="s">
        <v>14832</v>
      </c>
      <c r="AB3388" t="s">
        <v>18622</v>
      </c>
    </row>
    <row r="3389" spans="1:28" x14ac:dyDescent="0.25">
      <c r="A3389" t="s">
        <v>3393</v>
      </c>
      <c r="B3389">
        <v>0.98876768158843997</v>
      </c>
      <c r="C3389">
        <v>0.91483403014525</v>
      </c>
      <c r="D3389">
        <v>1.0507291200806399</v>
      </c>
      <c r="E3389">
        <v>0.71258222260363302</v>
      </c>
      <c r="F3389">
        <v>0.43010790122654502</v>
      </c>
      <c r="G3389">
        <v>0.28661353365535203</v>
      </c>
      <c r="H3389">
        <v>0.235143490920937</v>
      </c>
      <c r="I3389">
        <v>0.27161628231940499</v>
      </c>
      <c r="J3389">
        <v>0.319767971217087</v>
      </c>
      <c r="K3389">
        <v>0.303757261697578</v>
      </c>
      <c r="L3389">
        <v>1808.0386624315199</v>
      </c>
      <c r="M3389">
        <v>35.651112660753803</v>
      </c>
      <c r="N3389">
        <v>51.9276195232978</v>
      </c>
      <c r="O3389">
        <v>50.556015120520897</v>
      </c>
      <c r="P3389">
        <v>-0.12648203221674501</v>
      </c>
      <c r="Q3389">
        <v>0.28255741110487798</v>
      </c>
      <c r="R3389">
        <v>0.98243930132231705</v>
      </c>
      <c r="S3389" t="s">
        <v>7221</v>
      </c>
      <c r="T3389" t="s">
        <v>7662</v>
      </c>
      <c r="U3389" t="s">
        <v>7662</v>
      </c>
      <c r="V3389" t="s">
        <v>7662</v>
      </c>
      <c r="W3389">
        <v>2</v>
      </c>
      <c r="X3389" t="s">
        <v>11051</v>
      </c>
      <c r="Y3389">
        <v>0.54197087302605196</v>
      </c>
      <c r="Z3389" t="str">
        <f>HYPERLINK("Melting_Curves/meltCurve_tr_E7EMV7_E7EMV7_HUMAN_.pdf", "Melting_Curves/meltCurve_tr_E7EMV7_E7EMV7_HUMAN_.pdf")</f>
        <v>Melting_Curves/meltCurve_tr_E7EMV7_E7EMV7_HUMAN_.pdf</v>
      </c>
      <c r="AA3389" t="s">
        <v>14833</v>
      </c>
      <c r="AB3389" t="s">
        <v>18623</v>
      </c>
    </row>
    <row r="3390" spans="1:28" x14ac:dyDescent="0.25">
      <c r="A3390" t="s">
        <v>3394</v>
      </c>
      <c r="B3390">
        <v>0.98876768158843997</v>
      </c>
      <c r="C3390">
        <v>1.0336831030889999</v>
      </c>
      <c r="D3390">
        <v>0.87881695216504196</v>
      </c>
      <c r="E3390">
        <v>0.747750981288688</v>
      </c>
      <c r="F3390">
        <v>0.96688843621534304</v>
      </c>
      <c r="G3390">
        <v>0.61844346140242301</v>
      </c>
      <c r="H3390">
        <v>0.53657183293638999</v>
      </c>
      <c r="I3390">
        <v>0.6230966494622</v>
      </c>
      <c r="J3390">
        <v>0.92498076247668704</v>
      </c>
      <c r="K3390">
        <v>0.93447267677618695</v>
      </c>
      <c r="L3390">
        <v>11497.2764120677</v>
      </c>
      <c r="M3390">
        <v>250</v>
      </c>
      <c r="O3390">
        <v>45.986162673722603</v>
      </c>
      <c r="P3390">
        <v>-0.319932264727945</v>
      </c>
      <c r="Q3390">
        <v>0.76460068566891903</v>
      </c>
      <c r="R3390">
        <v>0.33871944486450101</v>
      </c>
      <c r="S3390" t="s">
        <v>7222</v>
      </c>
      <c r="T3390" t="s">
        <v>7662</v>
      </c>
      <c r="U3390" t="s">
        <v>7662</v>
      </c>
      <c r="V3390" t="s">
        <v>7662</v>
      </c>
      <c r="W3390">
        <v>8</v>
      </c>
      <c r="X3390" t="s">
        <v>11052</v>
      </c>
      <c r="Y3390">
        <v>0.81161406355498555</v>
      </c>
      <c r="Z3390" t="str">
        <f>HYPERLINK("Melting_Curves/meltCurve_tr_E7EMZ9_E7EMZ9_HUMAN_.pdf", "Melting_Curves/meltCurve_tr_E7EMZ9_E7EMZ9_HUMAN_.pdf")</f>
        <v>Melting_Curves/meltCurve_tr_E7EMZ9_E7EMZ9_HUMAN_.pdf</v>
      </c>
      <c r="AA3390" t="s">
        <v>14834</v>
      </c>
      <c r="AB3390" t="s">
        <v>18624</v>
      </c>
    </row>
    <row r="3391" spans="1:28" x14ac:dyDescent="0.25">
      <c r="A3391" t="s">
        <v>3395</v>
      </c>
      <c r="B3391">
        <v>0.98876768158843997</v>
      </c>
      <c r="C3391">
        <v>0.97935087365172702</v>
      </c>
      <c r="D3391">
        <v>0.93920134645906195</v>
      </c>
      <c r="E3391">
        <v>0.58930793735135401</v>
      </c>
      <c r="F3391">
        <v>0.41356191813454701</v>
      </c>
      <c r="G3391">
        <v>0.30381656210437202</v>
      </c>
      <c r="H3391">
        <v>0.192696216476998</v>
      </c>
      <c r="I3391">
        <v>0.234438474281496</v>
      </c>
      <c r="J3391">
        <v>0.22275426766631401</v>
      </c>
      <c r="K3391">
        <v>0.28513972794972298</v>
      </c>
      <c r="L3391">
        <v>1185.2926361131499</v>
      </c>
      <c r="M3391">
        <v>23.725506765010699</v>
      </c>
      <c r="N3391">
        <v>51.355177014664797</v>
      </c>
      <c r="O3391">
        <v>49.6077413984546</v>
      </c>
      <c r="P3391">
        <v>-9.1143473101012396E-2</v>
      </c>
      <c r="Q3391">
        <v>0.23772418058200601</v>
      </c>
      <c r="R3391">
        <v>0.99178097955439104</v>
      </c>
      <c r="S3391" t="s">
        <v>7223</v>
      </c>
      <c r="T3391" t="s">
        <v>7662</v>
      </c>
      <c r="U3391" t="s">
        <v>7662</v>
      </c>
      <c r="V3391" t="s">
        <v>7662</v>
      </c>
      <c r="W3391">
        <v>5</v>
      </c>
      <c r="X3391" t="s">
        <v>11053</v>
      </c>
      <c r="Y3391">
        <v>0.49832862658427168</v>
      </c>
      <c r="Z3391" t="str">
        <f>HYPERLINK("Melting_Curves/meltCurve_tr_E7ENN3_E7ENN3_HUMAN_.pdf", "Melting_Curves/meltCurve_tr_E7ENN3_E7ENN3_HUMAN_.pdf")</f>
        <v>Melting_Curves/meltCurve_tr_E7ENN3_E7ENN3_HUMAN_.pdf</v>
      </c>
      <c r="AA3391" t="s">
        <v>14835</v>
      </c>
      <c r="AB3391" t="s">
        <v>18625</v>
      </c>
    </row>
    <row r="3392" spans="1:28" x14ac:dyDescent="0.25">
      <c r="A3392" t="s">
        <v>3396</v>
      </c>
      <c r="B3392">
        <v>0.98876768158843997</v>
      </c>
      <c r="C3392">
        <v>0.860050539112033</v>
      </c>
      <c r="D3392">
        <v>0.957887540289175</v>
      </c>
      <c r="E3392">
        <v>0.68783904672208096</v>
      </c>
      <c r="F3392">
        <v>0.17119277770069699</v>
      </c>
      <c r="G3392">
        <v>9.4541035909585597E-2</v>
      </c>
      <c r="H3392">
        <v>5.9178603150174598E-2</v>
      </c>
      <c r="I3392">
        <v>6.5257463840419805E-2</v>
      </c>
      <c r="J3392">
        <v>6.9813712582994999E-2</v>
      </c>
      <c r="K3392">
        <v>5.5261506278991103E-2</v>
      </c>
      <c r="L3392">
        <v>2344.6535891604499</v>
      </c>
      <c r="M3392">
        <v>46.226223091020302</v>
      </c>
      <c r="N3392">
        <v>50.878182428288497</v>
      </c>
      <c r="O3392">
        <v>50.6266322965513</v>
      </c>
      <c r="P3392">
        <v>-0.21310708514792101</v>
      </c>
      <c r="Q3392">
        <v>6.64274928087039E-2</v>
      </c>
      <c r="R3392">
        <v>0.98610549174074402</v>
      </c>
      <c r="S3392" t="s">
        <v>7224</v>
      </c>
      <c r="T3392" t="s">
        <v>7662</v>
      </c>
      <c r="U3392" t="s">
        <v>7662</v>
      </c>
      <c r="V3392" t="s">
        <v>7662</v>
      </c>
      <c r="W3392">
        <v>17</v>
      </c>
      <c r="X3392" t="s">
        <v>11054</v>
      </c>
      <c r="Y3392">
        <v>0.4025100594812423</v>
      </c>
      <c r="Z3392" t="str">
        <f>HYPERLINK("Melting_Curves/meltCurve_tr_E7EP00_E7EP00_HUMAN_.pdf", "Melting_Curves/meltCurve_tr_E7EP00_E7EP00_HUMAN_.pdf")</f>
        <v>Melting_Curves/meltCurve_tr_E7EP00_E7EP00_HUMAN_.pdf</v>
      </c>
      <c r="AA3392" t="s">
        <v>14836</v>
      </c>
      <c r="AB3392" t="s">
        <v>18626</v>
      </c>
    </row>
    <row r="3393" spans="1:28" x14ac:dyDescent="0.25">
      <c r="A3393" t="s">
        <v>3397</v>
      </c>
      <c r="B3393">
        <v>0.98876768158843997</v>
      </c>
      <c r="C3393">
        <v>0.96991695023490299</v>
      </c>
      <c r="D3393">
        <v>0.90320739930794902</v>
      </c>
      <c r="E3393">
        <v>0.67434280492471799</v>
      </c>
      <c r="F3393">
        <v>0.669768267753451</v>
      </c>
      <c r="G3393">
        <v>0.387759434666058</v>
      </c>
      <c r="H3393">
        <v>0.26579629603184701</v>
      </c>
      <c r="I3393">
        <v>0.26644513750704801</v>
      </c>
      <c r="J3393">
        <v>0.350526424710701</v>
      </c>
      <c r="K3393">
        <v>0.32895654927805101</v>
      </c>
      <c r="L3393">
        <v>801.29569397032003</v>
      </c>
      <c r="M3393">
        <v>15.491581782135899</v>
      </c>
      <c r="N3393">
        <v>54.541013511001402</v>
      </c>
      <c r="O3393">
        <v>50.885681766840698</v>
      </c>
      <c r="P3393">
        <v>-5.5159453574468303E-2</v>
      </c>
      <c r="Q3393">
        <v>0.27532862573837502</v>
      </c>
      <c r="R3393">
        <v>0.967409322925598</v>
      </c>
      <c r="S3393" t="s">
        <v>7225</v>
      </c>
      <c r="T3393" t="s">
        <v>7662</v>
      </c>
      <c r="U3393" t="s">
        <v>7662</v>
      </c>
      <c r="V3393" t="s">
        <v>7662</v>
      </c>
      <c r="W3393">
        <v>7</v>
      </c>
      <c r="X3393" t="s">
        <v>11055</v>
      </c>
      <c r="Y3393">
        <v>0.5740867622491892</v>
      </c>
      <c r="Z3393" t="str">
        <f>HYPERLINK("Melting_Curves/meltCurve_tr_E7EPD0_E7EPD0_HUMAN_.pdf", "Melting_Curves/meltCurve_tr_E7EPD0_E7EPD0_HUMAN_.pdf")</f>
        <v>Melting_Curves/meltCurve_tr_E7EPD0_E7EPD0_HUMAN_.pdf</v>
      </c>
      <c r="AA3393" t="s">
        <v>14837</v>
      </c>
      <c r="AB3393" t="s">
        <v>18627</v>
      </c>
    </row>
    <row r="3394" spans="1:28" x14ac:dyDescent="0.25">
      <c r="A3394" t="s">
        <v>3398</v>
      </c>
      <c r="B3394">
        <v>0.98876768158843997</v>
      </c>
      <c r="C3394">
        <v>0.87577713128744294</v>
      </c>
      <c r="D3394">
        <v>0.62333832155690305</v>
      </c>
      <c r="E3394">
        <v>0.28275356347373698</v>
      </c>
      <c r="F3394">
        <v>0.15798923061103901</v>
      </c>
      <c r="G3394">
        <v>8.9579435269436597E-2</v>
      </c>
      <c r="H3394">
        <v>6.0345137802728203E-2</v>
      </c>
      <c r="I3394">
        <v>5.6764596958501799E-2</v>
      </c>
      <c r="J3394">
        <v>8.8953980039732802E-2</v>
      </c>
      <c r="K3394">
        <v>6.16703173501785E-2</v>
      </c>
      <c r="L3394">
        <v>933.08984067761003</v>
      </c>
      <c r="M3394">
        <v>19.864794504206699</v>
      </c>
      <c r="N3394">
        <v>47.295605419412297</v>
      </c>
      <c r="O3394">
        <v>46.5037902879629</v>
      </c>
      <c r="P3394">
        <v>-0.10000945537172</v>
      </c>
      <c r="Q3394">
        <v>6.3536601282948302E-2</v>
      </c>
      <c r="R3394">
        <v>0.99898295014361504</v>
      </c>
      <c r="S3394" t="s">
        <v>7226</v>
      </c>
      <c r="T3394" t="s">
        <v>7662</v>
      </c>
      <c r="U3394" t="s">
        <v>7662</v>
      </c>
      <c r="V3394" t="s">
        <v>7662</v>
      </c>
      <c r="W3394">
        <v>12</v>
      </c>
      <c r="X3394" t="s">
        <v>11056</v>
      </c>
      <c r="Y3394">
        <v>0.29510418185383269</v>
      </c>
      <c r="Z3394" t="str">
        <f>HYPERLINK("Melting_Curves/meltCurve_tr_E7EPL4_E7EPL4_HUMAN_.pdf", "Melting_Curves/meltCurve_tr_E7EPL4_E7EPL4_HUMAN_.pdf")</f>
        <v>Melting_Curves/meltCurve_tr_E7EPL4_E7EPL4_HUMAN_.pdf</v>
      </c>
      <c r="AA3394" t="s">
        <v>14838</v>
      </c>
      <c r="AB3394" t="s">
        <v>18628</v>
      </c>
    </row>
    <row r="3395" spans="1:28" x14ac:dyDescent="0.25">
      <c r="A3395" t="s">
        <v>3399</v>
      </c>
      <c r="B3395">
        <v>0.98876768158843997</v>
      </c>
      <c r="C3395">
        <v>1.02000412037815</v>
      </c>
      <c r="D3395">
        <v>0.88512838590470799</v>
      </c>
      <c r="E3395">
        <v>0.49974264926484002</v>
      </c>
      <c r="F3395">
        <v>0.50715235424159399</v>
      </c>
      <c r="G3395">
        <v>0.40536709125491999</v>
      </c>
      <c r="H3395">
        <v>0.41199688089119402</v>
      </c>
      <c r="I3395">
        <v>0.49793043809589099</v>
      </c>
      <c r="J3395">
        <v>0.66229391005054195</v>
      </c>
      <c r="K3395">
        <v>0.76368739264997298</v>
      </c>
      <c r="L3395">
        <v>11551.206751972601</v>
      </c>
      <c r="M3395">
        <v>250</v>
      </c>
      <c r="O3395">
        <v>46.201854700556297</v>
      </c>
      <c r="P3395">
        <v>-0.62842023280132198</v>
      </c>
      <c r="Q3395">
        <v>0.53545295924034297</v>
      </c>
      <c r="R3395">
        <v>0.791546048637226</v>
      </c>
      <c r="S3395" t="s">
        <v>7227</v>
      </c>
      <c r="T3395" t="s">
        <v>7662</v>
      </c>
      <c r="U3395" t="s">
        <v>7662</v>
      </c>
      <c r="V3395" t="s">
        <v>7662</v>
      </c>
      <c r="W3395">
        <v>4</v>
      </c>
      <c r="X3395" t="s">
        <v>11057</v>
      </c>
      <c r="Y3395">
        <v>0.63157176294496231</v>
      </c>
      <c r="Z3395" t="str">
        <f>HYPERLINK("Melting_Curves/meltCurve_tr_E7EQA9_E7EQA9_HUMAN_.pdf", "Melting_Curves/meltCurve_tr_E7EQA9_E7EQA9_HUMAN_.pdf")</f>
        <v>Melting_Curves/meltCurve_tr_E7EQA9_E7EQA9_HUMAN_.pdf</v>
      </c>
      <c r="AA3395" t="s">
        <v>14839</v>
      </c>
      <c r="AB3395" t="s">
        <v>18629</v>
      </c>
    </row>
    <row r="3396" spans="1:28" x14ac:dyDescent="0.25">
      <c r="A3396" t="s">
        <v>3400</v>
      </c>
      <c r="B3396">
        <v>0.98876768158843997</v>
      </c>
      <c r="C3396">
        <v>0.91363243339669797</v>
      </c>
      <c r="D3396">
        <v>0.74632824444183998</v>
      </c>
      <c r="E3396">
        <v>0.41050662159600998</v>
      </c>
      <c r="F3396">
        <v>0.27028285113610501</v>
      </c>
      <c r="G3396">
        <v>0.19071602676750901</v>
      </c>
      <c r="H3396">
        <v>0.11031579139051299</v>
      </c>
      <c r="I3396">
        <v>0.101800801805982</v>
      </c>
      <c r="J3396">
        <v>5.6899328340935501E-2</v>
      </c>
      <c r="K3396">
        <v>9.0408474283961204E-2</v>
      </c>
      <c r="L3396">
        <v>805.05662341783795</v>
      </c>
      <c r="M3396">
        <v>16.5736110228443</v>
      </c>
      <c r="N3396">
        <v>49.097973620129899</v>
      </c>
      <c r="O3396">
        <v>47.883956383665499</v>
      </c>
      <c r="P3396">
        <v>-7.9529048269916094E-2</v>
      </c>
      <c r="Q3396">
        <v>8.09714515830154E-2</v>
      </c>
      <c r="R3396">
        <v>0.99713247112230097</v>
      </c>
      <c r="S3396" t="s">
        <v>7228</v>
      </c>
      <c r="T3396" t="s">
        <v>7662</v>
      </c>
      <c r="U3396" t="s">
        <v>7662</v>
      </c>
      <c r="V3396" t="s">
        <v>7662</v>
      </c>
      <c r="W3396">
        <v>2</v>
      </c>
      <c r="X3396" t="s">
        <v>11058</v>
      </c>
      <c r="Y3396">
        <v>0.36261413461916742</v>
      </c>
      <c r="Z3396" t="str">
        <f>HYPERLINK("Melting_Curves/meltCurve_tr_E7EQB9_E7EQB9_HUMAN_.pdf", "Melting_Curves/meltCurve_tr_E7EQB9_E7EQB9_HUMAN_.pdf")</f>
        <v>Melting_Curves/meltCurve_tr_E7EQB9_E7EQB9_HUMAN_.pdf</v>
      </c>
      <c r="AA3396" t="s">
        <v>14840</v>
      </c>
      <c r="AB3396" t="s">
        <v>18630</v>
      </c>
    </row>
    <row r="3397" spans="1:28" x14ac:dyDescent="0.25">
      <c r="A3397" t="s">
        <v>3401</v>
      </c>
      <c r="B3397">
        <v>0.98876768158843997</v>
      </c>
      <c r="C3397">
        <v>0.84307452395346205</v>
      </c>
      <c r="D3397">
        <v>0.87153210912449397</v>
      </c>
      <c r="E3397">
        <v>0.50601080326744996</v>
      </c>
      <c r="F3397">
        <v>0.215084790469494</v>
      </c>
      <c r="G3397">
        <v>0.15578218434043101</v>
      </c>
      <c r="H3397">
        <v>9.0901898954385801E-2</v>
      </c>
      <c r="I3397">
        <v>8.4273552033439697E-2</v>
      </c>
      <c r="J3397">
        <v>0.100477953540721</v>
      </c>
      <c r="K3397">
        <v>6.1474380078869198E-2</v>
      </c>
      <c r="L3397">
        <v>990.65852133675503</v>
      </c>
      <c r="M3397">
        <v>20.0439288437864</v>
      </c>
      <c r="N3397">
        <v>49.822273008601002</v>
      </c>
      <c r="O3397">
        <v>48.940301081480897</v>
      </c>
      <c r="P3397">
        <v>-9.4819776301838701E-2</v>
      </c>
      <c r="Q3397">
        <v>7.3962256845032201E-2</v>
      </c>
      <c r="R3397">
        <v>0.98499744706353098</v>
      </c>
      <c r="S3397" t="s">
        <v>7229</v>
      </c>
      <c r="T3397" t="s">
        <v>7662</v>
      </c>
      <c r="U3397" t="s">
        <v>7662</v>
      </c>
      <c r="V3397" t="s">
        <v>7662</v>
      </c>
      <c r="W3397">
        <v>13</v>
      </c>
      <c r="X3397" t="s">
        <v>11059</v>
      </c>
      <c r="Y3397">
        <v>0.37774523880891742</v>
      </c>
      <c r="Z3397" t="str">
        <f>HYPERLINK("Melting_Curves/meltCurve_tr_E7EQI7_E7EQI7_HUMAN_.pdf", "Melting_Curves/meltCurve_tr_E7EQI7_E7EQI7_HUMAN_.pdf")</f>
        <v>Melting_Curves/meltCurve_tr_E7EQI7_E7EQI7_HUMAN_.pdf</v>
      </c>
      <c r="AA3397" t="s">
        <v>14841</v>
      </c>
      <c r="AB3397" t="s">
        <v>18631</v>
      </c>
    </row>
    <row r="3398" spans="1:28" x14ac:dyDescent="0.25">
      <c r="A3398" t="s">
        <v>3402</v>
      </c>
      <c r="B3398">
        <v>0.98876768158843997</v>
      </c>
      <c r="C3398">
        <v>1.0479467379196099</v>
      </c>
      <c r="D3398">
        <v>0.85571815618441904</v>
      </c>
      <c r="E3398">
        <v>0.77461985440873904</v>
      </c>
      <c r="F3398">
        <v>0.81729109859847404</v>
      </c>
      <c r="G3398">
        <v>0.58995569441763596</v>
      </c>
      <c r="H3398">
        <v>0.48361691837291199</v>
      </c>
      <c r="I3398">
        <v>0.55372765999844398</v>
      </c>
      <c r="J3398">
        <v>0.653987751095779</v>
      </c>
      <c r="K3398">
        <v>0.81411815157053402</v>
      </c>
      <c r="L3398">
        <v>893.30471617065905</v>
      </c>
      <c r="M3398">
        <v>18.130464145209</v>
      </c>
      <c r="O3398">
        <v>48.683246414737297</v>
      </c>
      <c r="P3398">
        <v>-3.4939372012787302E-2</v>
      </c>
      <c r="Q3398">
        <v>0.62474640201995602</v>
      </c>
      <c r="R3398">
        <v>0.70732112267569103</v>
      </c>
      <c r="S3398" t="s">
        <v>7230</v>
      </c>
      <c r="T3398" t="s">
        <v>7662</v>
      </c>
      <c r="U3398" t="s">
        <v>7662</v>
      </c>
      <c r="V3398" t="s">
        <v>7662</v>
      </c>
      <c r="W3398">
        <v>13</v>
      </c>
      <c r="X3398" t="s">
        <v>11060</v>
      </c>
      <c r="Y3398">
        <v>0.74708839396068194</v>
      </c>
      <c r="Z3398" t="str">
        <f>HYPERLINK("Melting_Curves/meltCurve_tr_E7EQT4_E7EQT4_HUMAN_.pdf", "Melting_Curves/meltCurve_tr_E7EQT4_E7EQT4_HUMAN_.pdf")</f>
        <v>Melting_Curves/meltCurve_tr_E7EQT4_E7EQT4_HUMAN_.pdf</v>
      </c>
      <c r="AA3398" t="s">
        <v>14842</v>
      </c>
      <c r="AB3398" t="s">
        <v>18632</v>
      </c>
    </row>
    <row r="3399" spans="1:28" x14ac:dyDescent="0.25">
      <c r="A3399" t="s">
        <v>3403</v>
      </c>
      <c r="B3399">
        <v>0.98876768158843997</v>
      </c>
      <c r="C3399">
        <v>1.0041733299064299</v>
      </c>
      <c r="D3399">
        <v>0.89521363871788495</v>
      </c>
      <c r="E3399">
        <v>0.67176902821995199</v>
      </c>
      <c r="F3399">
        <v>0.46747619757349101</v>
      </c>
      <c r="G3399">
        <v>0.20179356581591801</v>
      </c>
      <c r="H3399">
        <v>0.112850441479765</v>
      </c>
      <c r="I3399">
        <v>5.47363982619158E-2</v>
      </c>
      <c r="J3399">
        <v>0.125166342381656</v>
      </c>
      <c r="K3399">
        <v>7.6986948410769696E-2</v>
      </c>
      <c r="L3399">
        <v>937.12739826165898</v>
      </c>
      <c r="M3399">
        <v>18.078254251216102</v>
      </c>
      <c r="N3399">
        <v>52.236811365079099</v>
      </c>
      <c r="O3399">
        <v>51.215479727383602</v>
      </c>
      <c r="P3399">
        <v>-8.2552046443488306E-2</v>
      </c>
      <c r="Q3399">
        <v>6.45695009304144E-2</v>
      </c>
      <c r="R3399">
        <v>0.995929858520752</v>
      </c>
      <c r="S3399" t="s">
        <v>7231</v>
      </c>
      <c r="T3399" t="s">
        <v>7662</v>
      </c>
      <c r="U3399" t="s">
        <v>7662</v>
      </c>
      <c r="V3399" t="s">
        <v>7662</v>
      </c>
      <c r="W3399">
        <v>3</v>
      </c>
      <c r="X3399" t="s">
        <v>11061</v>
      </c>
      <c r="Y3399">
        <v>0.4491520742613227</v>
      </c>
      <c r="Z3399" t="str">
        <f>HYPERLINK("Melting_Curves/meltCurve_tr_E7ER68_E7ER68_HUMAN_.pdf", "Melting_Curves/meltCurve_tr_E7ER68_E7ER68_HUMAN_.pdf")</f>
        <v>Melting_Curves/meltCurve_tr_E7ER68_E7ER68_HUMAN_.pdf</v>
      </c>
      <c r="AA3399" t="s">
        <v>14843</v>
      </c>
      <c r="AB3399" t="s">
        <v>18633</v>
      </c>
    </row>
    <row r="3400" spans="1:28" x14ac:dyDescent="0.25">
      <c r="A3400" t="s">
        <v>3404</v>
      </c>
      <c r="B3400">
        <v>0.98876768158843997</v>
      </c>
      <c r="C3400">
        <v>0.94732483233699505</v>
      </c>
      <c r="D3400">
        <v>0.93845462594839801</v>
      </c>
      <c r="E3400">
        <v>0.76518612815605103</v>
      </c>
      <c r="F3400">
        <v>0.68506100134640902</v>
      </c>
      <c r="G3400">
        <v>0.45101247196137001</v>
      </c>
      <c r="H3400">
        <v>0.306555064558728</v>
      </c>
      <c r="I3400">
        <v>0.27414697526027698</v>
      </c>
      <c r="J3400">
        <v>0.24250864923485199</v>
      </c>
      <c r="K3400">
        <v>0.270036166172544</v>
      </c>
      <c r="L3400">
        <v>754.83056603474404</v>
      </c>
      <c r="M3400">
        <v>14.042285321282501</v>
      </c>
      <c r="N3400">
        <v>55.887060254463002</v>
      </c>
      <c r="O3400">
        <v>52.699163178807602</v>
      </c>
      <c r="P3400">
        <v>-5.2803808749239602E-2</v>
      </c>
      <c r="Q3400">
        <v>0.20743579380132901</v>
      </c>
      <c r="R3400">
        <v>0.99346162040458097</v>
      </c>
      <c r="S3400" t="s">
        <v>7232</v>
      </c>
      <c r="T3400" t="s">
        <v>7662</v>
      </c>
      <c r="U3400" t="s">
        <v>7662</v>
      </c>
      <c r="V3400" t="s">
        <v>7662</v>
      </c>
      <c r="W3400">
        <v>16</v>
      </c>
      <c r="X3400" t="s">
        <v>11062</v>
      </c>
      <c r="Y3400">
        <v>0.58867185340925055</v>
      </c>
      <c r="Z3400" t="str">
        <f>HYPERLINK("Melting_Curves/meltCurve_tr_E7ERJ0_E7ERJ0_HUMAN_.pdf", "Melting_Curves/meltCurve_tr_E7ERJ0_E7ERJ0_HUMAN_.pdf")</f>
        <v>Melting_Curves/meltCurve_tr_E7ERJ0_E7ERJ0_HUMAN_.pdf</v>
      </c>
      <c r="AA3400" t="s">
        <v>14844</v>
      </c>
      <c r="AB3400" t="s">
        <v>18634</v>
      </c>
    </row>
    <row r="3401" spans="1:28" x14ac:dyDescent="0.25">
      <c r="A3401" t="s">
        <v>3405</v>
      </c>
      <c r="B3401">
        <v>0.98876768158843997</v>
      </c>
      <c r="C3401">
        <v>1.18166282071607</v>
      </c>
      <c r="D3401">
        <v>0.84229493850678305</v>
      </c>
      <c r="E3401">
        <v>0.80286311477350902</v>
      </c>
      <c r="F3401">
        <v>1.00673841725779</v>
      </c>
      <c r="G3401">
        <v>0.68006277212786503</v>
      </c>
      <c r="H3401">
        <v>0.50252549083839204</v>
      </c>
      <c r="I3401">
        <v>0.62044544119905498</v>
      </c>
      <c r="J3401">
        <v>0.56403089270541396</v>
      </c>
      <c r="K3401">
        <v>0.83400656116393601</v>
      </c>
      <c r="L3401">
        <v>14143.9859415175</v>
      </c>
      <c r="M3401">
        <v>250</v>
      </c>
      <c r="O3401">
        <v>56.572323285464499</v>
      </c>
      <c r="P3401">
        <v>-0.40849027510593799</v>
      </c>
      <c r="Q3401">
        <v>0.630252098026856</v>
      </c>
      <c r="R3401">
        <v>0.61885505680511899</v>
      </c>
      <c r="S3401" t="s">
        <v>7233</v>
      </c>
      <c r="T3401" t="s">
        <v>7662</v>
      </c>
      <c r="U3401" t="s">
        <v>7662</v>
      </c>
      <c r="V3401" t="s">
        <v>7662</v>
      </c>
      <c r="W3401">
        <v>11</v>
      </c>
      <c r="X3401" t="s">
        <v>11063</v>
      </c>
      <c r="Y3401">
        <v>0.83458615795033408</v>
      </c>
      <c r="Z3401" t="str">
        <f>HYPERLINK("Melting_Curves/meltCurve_tr_E7ES08_E7ES08_HUMAN_.pdf", "Melting_Curves/meltCurve_tr_E7ES08_E7ES08_HUMAN_.pdf")</f>
        <v>Melting_Curves/meltCurve_tr_E7ES08_E7ES08_HUMAN_.pdf</v>
      </c>
      <c r="AA3401" t="s">
        <v>14845</v>
      </c>
      <c r="AB3401" t="s">
        <v>18635</v>
      </c>
    </row>
    <row r="3402" spans="1:28" x14ac:dyDescent="0.25">
      <c r="A3402" t="s">
        <v>3406</v>
      </c>
      <c r="B3402">
        <v>0.98876768158843997</v>
      </c>
      <c r="C3402">
        <v>1.08084940809853</v>
      </c>
      <c r="D3402">
        <v>0.892592797530672</v>
      </c>
      <c r="E3402">
        <v>0.72248942352549606</v>
      </c>
      <c r="F3402">
        <v>0.75547654699214795</v>
      </c>
      <c r="G3402">
        <v>0.48780260406192599</v>
      </c>
      <c r="H3402">
        <v>0.38457522118229398</v>
      </c>
      <c r="I3402">
        <v>0.419261888717605</v>
      </c>
      <c r="J3402">
        <v>0.56709561910226303</v>
      </c>
      <c r="K3402">
        <v>0.56464679017224195</v>
      </c>
      <c r="L3402">
        <v>959.39286599967704</v>
      </c>
      <c r="M3402">
        <v>18.890919059365</v>
      </c>
      <c r="N3402">
        <v>60.769044652359497</v>
      </c>
      <c r="O3402">
        <v>50.227081762363298</v>
      </c>
      <c r="P3402">
        <v>-4.9126533986098002E-2</v>
      </c>
      <c r="Q3402">
        <v>0.47755161284828401</v>
      </c>
      <c r="R3402">
        <v>0.88275675443497403</v>
      </c>
      <c r="S3402" t="s">
        <v>7234</v>
      </c>
      <c r="T3402" t="s">
        <v>7662</v>
      </c>
      <c r="U3402" t="s">
        <v>7662</v>
      </c>
      <c r="V3402" t="s">
        <v>7662</v>
      </c>
      <c r="W3402">
        <v>16</v>
      </c>
      <c r="X3402" t="s">
        <v>11064</v>
      </c>
      <c r="Y3402">
        <v>0.67346224672342703</v>
      </c>
      <c r="Z3402" t="str">
        <f>HYPERLINK("Melting_Curves/meltCurve_tr_E7ETA6_E7ETA6_HUMAN_.pdf", "Melting_Curves/meltCurve_tr_E7ETA6_E7ETA6_HUMAN_.pdf")</f>
        <v>Melting_Curves/meltCurve_tr_E7ETA6_E7ETA6_HUMAN_.pdf</v>
      </c>
      <c r="AA3402" t="s">
        <v>14846</v>
      </c>
      <c r="AB3402" t="s">
        <v>18636</v>
      </c>
    </row>
    <row r="3403" spans="1:28" x14ac:dyDescent="0.25">
      <c r="A3403" t="s">
        <v>3407</v>
      </c>
      <c r="B3403">
        <v>0.98876768158843997</v>
      </c>
      <c r="C3403">
        <v>1.0315593871019999</v>
      </c>
      <c r="D3403">
        <v>0.81087834825014504</v>
      </c>
      <c r="E3403">
        <v>0.80712617647061702</v>
      </c>
      <c r="F3403">
        <v>0.71108273797307897</v>
      </c>
      <c r="G3403">
        <v>0.47965413610802099</v>
      </c>
      <c r="H3403">
        <v>0.24524472399356501</v>
      </c>
      <c r="I3403">
        <v>0.31826823326132903</v>
      </c>
      <c r="J3403">
        <v>0.37073693899879401</v>
      </c>
      <c r="K3403">
        <v>0.45504149662179799</v>
      </c>
      <c r="L3403">
        <v>881.87828258588797</v>
      </c>
      <c r="M3403">
        <v>16.787206847866301</v>
      </c>
      <c r="N3403">
        <v>56.139878941404803</v>
      </c>
      <c r="O3403">
        <v>51.8042848030546</v>
      </c>
      <c r="P3403">
        <v>-5.4284635052280802E-2</v>
      </c>
      <c r="Q3403">
        <v>0.32996738473334603</v>
      </c>
      <c r="R3403">
        <v>0.91540461148982</v>
      </c>
      <c r="S3403" t="s">
        <v>7235</v>
      </c>
      <c r="T3403" t="s">
        <v>7662</v>
      </c>
      <c r="U3403" t="s">
        <v>7662</v>
      </c>
      <c r="V3403" t="s">
        <v>7662</v>
      </c>
      <c r="W3403">
        <v>1</v>
      </c>
      <c r="X3403" t="s">
        <v>11065</v>
      </c>
      <c r="Y3403">
        <v>0.62226089051197875</v>
      </c>
      <c r="Z3403" t="str">
        <f>HYPERLINK("Melting_Curves/meltCurve_tr_E7ETU5_E7ETU5_HUMAN_.pdf", "Melting_Curves/meltCurve_tr_E7ETU5_E7ETU5_HUMAN_.pdf")</f>
        <v>Melting_Curves/meltCurve_tr_E7ETU5_E7ETU5_HUMAN_.pdf</v>
      </c>
      <c r="AA3403" t="s">
        <v>14847</v>
      </c>
      <c r="AB3403" t="s">
        <v>18637</v>
      </c>
    </row>
    <row r="3404" spans="1:28" x14ac:dyDescent="0.25">
      <c r="A3404" t="s">
        <v>3408</v>
      </c>
      <c r="B3404">
        <v>0.98876768158843997</v>
      </c>
      <c r="C3404">
        <v>1.04525270153746</v>
      </c>
      <c r="D3404">
        <v>0.88064507759375998</v>
      </c>
      <c r="E3404">
        <v>0.74024472980424005</v>
      </c>
      <c r="F3404">
        <v>0.51360158787038201</v>
      </c>
      <c r="G3404">
        <v>0.141713931794403</v>
      </c>
      <c r="H3404">
        <v>8.0052286250298602E-2</v>
      </c>
      <c r="I3404">
        <v>8.4615076548109194E-2</v>
      </c>
      <c r="J3404">
        <v>0.10670176966011299</v>
      </c>
      <c r="K3404">
        <v>9.0794178194022898E-2</v>
      </c>
      <c r="L3404">
        <v>1152.3696806336</v>
      </c>
      <c r="M3404">
        <v>22.046576289388302</v>
      </c>
      <c r="N3404">
        <v>52.620278479037601</v>
      </c>
      <c r="O3404">
        <v>51.845433880470701</v>
      </c>
      <c r="P3404">
        <v>-9.9051684721944894E-2</v>
      </c>
      <c r="Q3404">
        <v>6.8288266456492899E-2</v>
      </c>
      <c r="R3404">
        <v>0.98938389708563901</v>
      </c>
      <c r="S3404" t="s">
        <v>7236</v>
      </c>
      <c r="T3404" t="s">
        <v>7662</v>
      </c>
      <c r="U3404" t="s">
        <v>7662</v>
      </c>
      <c r="V3404" t="s">
        <v>7662</v>
      </c>
      <c r="W3404">
        <v>8</v>
      </c>
      <c r="X3404" t="s">
        <v>11066</v>
      </c>
      <c r="Y3404">
        <v>0.46015085038271619</v>
      </c>
      <c r="Z3404" t="str">
        <f>HYPERLINK("Melting_Curves/meltCurve_tr_E7ETZ4_E7ETZ4_HUMAN_.pdf", "Melting_Curves/meltCurve_tr_E7ETZ4_E7ETZ4_HUMAN_.pdf")</f>
        <v>Melting_Curves/meltCurve_tr_E7ETZ4_E7ETZ4_HUMAN_.pdf</v>
      </c>
      <c r="AA3404" t="s">
        <v>14848</v>
      </c>
      <c r="AB3404" t="s">
        <v>18638</v>
      </c>
    </row>
    <row r="3405" spans="1:28" x14ac:dyDescent="0.25">
      <c r="A3405" t="s">
        <v>3409</v>
      </c>
      <c r="B3405">
        <v>0.98876768158843997</v>
      </c>
      <c r="C3405">
        <v>1.9644962788468801</v>
      </c>
      <c r="D3405">
        <v>2.0994582471336898</v>
      </c>
      <c r="E3405">
        <v>1.68939492899174</v>
      </c>
      <c r="F3405">
        <v>0.70763653676941296</v>
      </c>
      <c r="G3405">
        <v>0.30039388357970098</v>
      </c>
      <c r="H3405">
        <v>0.22493508404670001</v>
      </c>
      <c r="I3405">
        <v>0.15681573495701101</v>
      </c>
      <c r="J3405">
        <v>0.19818011331561899</v>
      </c>
      <c r="K3405">
        <v>0.147394990187634</v>
      </c>
      <c r="L3405">
        <v>13278.661860444399</v>
      </c>
      <c r="M3405">
        <v>250</v>
      </c>
      <c r="N3405">
        <v>53.227379849977602</v>
      </c>
      <c r="O3405">
        <v>53.111254546136003</v>
      </c>
      <c r="P3405">
        <v>-0.93489619739695096</v>
      </c>
      <c r="Q3405">
        <v>0.205543933230634</v>
      </c>
      <c r="R3405">
        <v>0.53367855064940195</v>
      </c>
      <c r="S3405" t="s">
        <v>7237</v>
      </c>
      <c r="T3405" t="s">
        <v>7662</v>
      </c>
      <c r="U3405" t="s">
        <v>7662</v>
      </c>
      <c r="V3405" t="s">
        <v>7662</v>
      </c>
      <c r="W3405">
        <v>8</v>
      </c>
      <c r="X3405" t="s">
        <v>11067</v>
      </c>
      <c r="Y3405">
        <v>0.55291836287653628</v>
      </c>
      <c r="Z3405" t="str">
        <f>HYPERLINK("Melting_Curves/meltCurve_tr_E7EU96_E7EU96_HUMAN_.pdf", "Melting_Curves/meltCurve_tr_E7EU96_E7EU96_HUMAN_.pdf")</f>
        <v>Melting_Curves/meltCurve_tr_E7EU96_E7EU96_HUMAN_.pdf</v>
      </c>
      <c r="AA3405" t="s">
        <v>14849</v>
      </c>
      <c r="AB3405" t="s">
        <v>15952</v>
      </c>
    </row>
    <row r="3406" spans="1:28" x14ac:dyDescent="0.25">
      <c r="A3406" t="s">
        <v>3410</v>
      </c>
      <c r="B3406">
        <v>0.98876768158843997</v>
      </c>
      <c r="C3406">
        <v>0.97164252138769802</v>
      </c>
      <c r="D3406">
        <v>0.89765747702839505</v>
      </c>
      <c r="E3406">
        <v>0.72637256229557301</v>
      </c>
      <c r="F3406">
        <v>0.63425199152351097</v>
      </c>
      <c r="G3406">
        <v>0.35875220658587498</v>
      </c>
      <c r="H3406">
        <v>0.25304934739211599</v>
      </c>
      <c r="I3406">
        <v>0.25746373240888099</v>
      </c>
      <c r="J3406">
        <v>0.35693479102535502</v>
      </c>
      <c r="K3406">
        <v>0.367973885109046</v>
      </c>
      <c r="L3406">
        <v>951.41563375767703</v>
      </c>
      <c r="M3406">
        <v>18.437411142789198</v>
      </c>
      <c r="N3406">
        <v>54.176530460634297</v>
      </c>
      <c r="O3406">
        <v>51.006899469261199</v>
      </c>
      <c r="P3406">
        <v>-6.4002706403383999E-2</v>
      </c>
      <c r="Q3406">
        <v>0.29178059050914701</v>
      </c>
      <c r="R3406">
        <v>0.96805092928787695</v>
      </c>
      <c r="S3406" t="s">
        <v>7238</v>
      </c>
      <c r="T3406" t="s">
        <v>7662</v>
      </c>
      <c r="U3406" t="s">
        <v>7662</v>
      </c>
      <c r="V3406" t="s">
        <v>7662</v>
      </c>
      <c r="W3406">
        <v>5</v>
      </c>
      <c r="X3406" t="s">
        <v>11068</v>
      </c>
      <c r="Y3406">
        <v>0.57704157021783431</v>
      </c>
      <c r="Z3406" t="str">
        <f>HYPERLINK("Melting_Curves/meltCurve_tr_E7EUG6_E7EUG6_HUMAN_.pdf", "Melting_Curves/meltCurve_tr_E7EUG6_E7EUG6_HUMAN_.pdf")</f>
        <v>Melting_Curves/meltCurve_tr_E7EUG6_E7EUG6_HUMAN_.pdf</v>
      </c>
      <c r="AA3406" t="s">
        <v>14850</v>
      </c>
      <c r="AB3406" t="s">
        <v>18639</v>
      </c>
    </row>
    <row r="3407" spans="1:28" x14ac:dyDescent="0.25">
      <c r="A3407" t="s">
        <v>3411</v>
      </c>
      <c r="B3407">
        <v>0.98876768158843997</v>
      </c>
      <c r="C3407">
        <v>0.89885045728229396</v>
      </c>
      <c r="D3407">
        <v>0.81378480624812</v>
      </c>
      <c r="E3407">
        <v>0.41556442399107402</v>
      </c>
      <c r="F3407">
        <v>0.215979693589751</v>
      </c>
      <c r="G3407">
        <v>0.15940006230374701</v>
      </c>
      <c r="H3407">
        <v>0.15167636404818699</v>
      </c>
      <c r="I3407">
        <v>3.83377907730693E-2</v>
      </c>
      <c r="J3407">
        <v>0.173388661988433</v>
      </c>
      <c r="K3407">
        <v>4.3311658573647598E-2</v>
      </c>
      <c r="L3407">
        <v>999.00035915273395</v>
      </c>
      <c r="M3407">
        <v>20.5556095192503</v>
      </c>
      <c r="N3407">
        <v>49.111835358649003</v>
      </c>
      <c r="O3407">
        <v>48.1469435815035</v>
      </c>
      <c r="P3407">
        <v>-9.6443569177057306E-2</v>
      </c>
      <c r="Q3407">
        <v>9.6436047028212901E-2</v>
      </c>
      <c r="R3407">
        <v>0.98522826223223703</v>
      </c>
      <c r="S3407" t="s">
        <v>7239</v>
      </c>
      <c r="T3407" t="s">
        <v>7662</v>
      </c>
      <c r="U3407" t="s">
        <v>7662</v>
      </c>
      <c r="V3407" t="s">
        <v>7662</v>
      </c>
      <c r="W3407">
        <v>2</v>
      </c>
      <c r="X3407" t="s">
        <v>11069</v>
      </c>
      <c r="Y3407">
        <v>0.36746651718002282</v>
      </c>
      <c r="Z3407" t="str">
        <f>HYPERLINK("Melting_Curves/meltCurve_tr_E7EUM5_E7EUM5_HUMAN_.pdf", "Melting_Curves/meltCurve_tr_E7EUM5_E7EUM5_HUMAN_.pdf")</f>
        <v>Melting_Curves/meltCurve_tr_E7EUM5_E7EUM5_HUMAN_.pdf</v>
      </c>
      <c r="AA3407" t="s">
        <v>14851</v>
      </c>
      <c r="AB3407" t="s">
        <v>18640</v>
      </c>
    </row>
    <row r="3408" spans="1:28" x14ac:dyDescent="0.25">
      <c r="A3408" t="s">
        <v>3412</v>
      </c>
      <c r="B3408">
        <v>0.98876768158843997</v>
      </c>
      <c r="C3408">
        <v>1.0077201668281499</v>
      </c>
      <c r="D3408">
        <v>0.97715659418704104</v>
      </c>
      <c r="E3408">
        <v>0.66418536762635905</v>
      </c>
      <c r="F3408">
        <v>0.33378191337281099</v>
      </c>
      <c r="G3408">
        <v>0.177047277856694</v>
      </c>
      <c r="H3408">
        <v>7.2484615520404902E-2</v>
      </c>
      <c r="I3408">
        <v>0</v>
      </c>
      <c r="J3408">
        <v>0</v>
      </c>
      <c r="K3408">
        <v>0</v>
      </c>
      <c r="L3408">
        <v>1113.7394959667199</v>
      </c>
      <c r="M3408">
        <v>21.585512877395701</v>
      </c>
      <c r="N3408">
        <v>51.645296738614498</v>
      </c>
      <c r="O3408">
        <v>51.159907403322599</v>
      </c>
      <c r="P3408">
        <v>-0.104420974741564</v>
      </c>
      <c r="Q3408">
        <v>1.0069693526795299E-2</v>
      </c>
      <c r="R3408">
        <v>0.99525297806548096</v>
      </c>
      <c r="S3408" t="s">
        <v>7240</v>
      </c>
      <c r="T3408" t="s">
        <v>7662</v>
      </c>
      <c r="U3408" t="s">
        <v>7662</v>
      </c>
      <c r="V3408" t="s">
        <v>7662</v>
      </c>
      <c r="W3408">
        <v>10</v>
      </c>
      <c r="X3408" t="s">
        <v>11070</v>
      </c>
      <c r="Y3408">
        <v>0.40464543227811789</v>
      </c>
      <c r="Z3408" t="str">
        <f>HYPERLINK("Melting_Curves/meltCurve_tr_E7EVJ5_E7EVJ5_HUMAN_.pdf", "Melting_Curves/meltCurve_tr_E7EVJ5_E7EVJ5_HUMAN_.pdf")</f>
        <v>Melting_Curves/meltCurve_tr_E7EVJ5_E7EVJ5_HUMAN_.pdf</v>
      </c>
      <c r="AA3408" t="s">
        <v>14852</v>
      </c>
      <c r="AB3408" t="s">
        <v>18641</v>
      </c>
    </row>
    <row r="3409" spans="1:28" x14ac:dyDescent="0.25">
      <c r="A3409" t="s">
        <v>3413</v>
      </c>
      <c r="B3409">
        <v>0.98876768158843997</v>
      </c>
      <c r="C3409">
        <v>1.15572424405023</v>
      </c>
      <c r="D3409">
        <v>0.91467297221989396</v>
      </c>
      <c r="E3409">
        <v>0.86706549941180799</v>
      </c>
      <c r="F3409">
        <v>0.82171514668677303</v>
      </c>
      <c r="G3409">
        <v>0.370504261231202</v>
      </c>
      <c r="H3409">
        <v>0.17822397242129501</v>
      </c>
      <c r="I3409">
        <v>0.13280428813016901</v>
      </c>
      <c r="J3409">
        <v>0.15629749936534401</v>
      </c>
      <c r="K3409">
        <v>0.164085707570714</v>
      </c>
      <c r="L3409">
        <v>1505.68834668864</v>
      </c>
      <c r="M3409">
        <v>27.344827526715999</v>
      </c>
      <c r="N3409">
        <v>55.7140219850343</v>
      </c>
      <c r="O3409">
        <v>54.771048473411099</v>
      </c>
      <c r="P3409">
        <v>-0.107746568861355</v>
      </c>
      <c r="Q3409">
        <v>0.13675275717844201</v>
      </c>
      <c r="R3409">
        <v>0.97261571949771097</v>
      </c>
      <c r="S3409" t="s">
        <v>7241</v>
      </c>
      <c r="T3409" t="s">
        <v>7662</v>
      </c>
      <c r="U3409" t="s">
        <v>7662</v>
      </c>
      <c r="V3409" t="s">
        <v>7662</v>
      </c>
      <c r="W3409">
        <v>4</v>
      </c>
      <c r="X3409" t="s">
        <v>11071</v>
      </c>
      <c r="Y3409">
        <v>0.57699284372058879</v>
      </c>
      <c r="Z3409" t="str">
        <f>HYPERLINK("Melting_Curves/meltCurve_tr_E7EW52_E7EW52_HUMAN_.pdf", "Melting_Curves/meltCurve_tr_E7EW52_E7EW52_HUMAN_.pdf")</f>
        <v>Melting_Curves/meltCurve_tr_E7EW52_E7EW52_HUMAN_.pdf</v>
      </c>
      <c r="AA3409" t="s">
        <v>14853</v>
      </c>
      <c r="AB3409" t="s">
        <v>18642</v>
      </c>
    </row>
    <row r="3410" spans="1:28" x14ac:dyDescent="0.25">
      <c r="A3410" t="s">
        <v>3414</v>
      </c>
      <c r="B3410">
        <v>0.98876768158843997</v>
      </c>
      <c r="C3410">
        <v>0.91650427497836195</v>
      </c>
      <c r="D3410">
        <v>1.13079784716139</v>
      </c>
      <c r="E3410">
        <v>0.88224283891578403</v>
      </c>
      <c r="F3410">
        <v>0.49707960322608102</v>
      </c>
      <c r="G3410">
        <v>0.189302821935809</v>
      </c>
      <c r="H3410">
        <v>7.4457872081645796E-2</v>
      </c>
      <c r="I3410">
        <v>6.6210042273675607E-2</v>
      </c>
      <c r="J3410">
        <v>7.1805733196348698E-2</v>
      </c>
      <c r="K3410">
        <v>4.7854746437092997E-2</v>
      </c>
      <c r="L3410">
        <v>1707.83344008125</v>
      </c>
      <c r="M3410">
        <v>32.295124965008803</v>
      </c>
      <c r="N3410">
        <v>53.1212064133776</v>
      </c>
      <c r="O3410">
        <v>52.680561278799502</v>
      </c>
      <c r="P3410">
        <v>-0.142891685510556</v>
      </c>
      <c r="Q3410">
        <v>6.76516142762984E-2</v>
      </c>
      <c r="R3410">
        <v>0.98419788714725998</v>
      </c>
      <c r="S3410" t="s">
        <v>7242</v>
      </c>
      <c r="T3410" t="s">
        <v>7662</v>
      </c>
      <c r="U3410" t="s">
        <v>7662</v>
      </c>
      <c r="V3410" t="s">
        <v>7662</v>
      </c>
      <c r="W3410">
        <v>8</v>
      </c>
      <c r="X3410" t="s">
        <v>11072</v>
      </c>
      <c r="Y3410">
        <v>0.47322406266590072</v>
      </c>
      <c r="Z3410" t="str">
        <f>HYPERLINK("Melting_Curves/meltCurve_tr_E7EW69_E7EW69_HUMAN_.pdf", "Melting_Curves/meltCurve_tr_E7EW69_E7EW69_HUMAN_.pdf")</f>
        <v>Melting_Curves/meltCurve_tr_E7EW69_E7EW69_HUMAN_.pdf</v>
      </c>
      <c r="AA3410" t="s">
        <v>14854</v>
      </c>
      <c r="AB3410" t="s">
        <v>18643</v>
      </c>
    </row>
    <row r="3411" spans="1:28" x14ac:dyDescent="0.25">
      <c r="A3411" t="s">
        <v>3415</v>
      </c>
      <c r="B3411">
        <v>0.98876768158843997</v>
      </c>
      <c r="C3411">
        <v>0.94422838382699603</v>
      </c>
      <c r="D3411">
        <v>1.03935066916674</v>
      </c>
      <c r="E3411">
        <v>0.38637766466276702</v>
      </c>
      <c r="F3411">
        <v>0.16921166828547701</v>
      </c>
      <c r="G3411">
        <v>8.4995081208097303E-2</v>
      </c>
      <c r="H3411">
        <v>6.4017782515125202E-2</v>
      </c>
      <c r="I3411">
        <v>6.9544662471504898E-2</v>
      </c>
      <c r="J3411">
        <v>4.53821663808378E-2</v>
      </c>
      <c r="K3411">
        <v>0</v>
      </c>
      <c r="L3411">
        <v>2357.5745100700301</v>
      </c>
      <c r="M3411">
        <v>47.706923973555803</v>
      </c>
      <c r="N3411">
        <v>49.559657872693499</v>
      </c>
      <c r="O3411">
        <v>49.331270509327197</v>
      </c>
      <c r="P3411">
        <v>-0.22634564182047801</v>
      </c>
      <c r="Q3411">
        <v>6.3791532854968996E-2</v>
      </c>
      <c r="R3411">
        <v>0.98975862186341801</v>
      </c>
      <c r="S3411" t="s">
        <v>7243</v>
      </c>
      <c r="T3411" t="s">
        <v>7662</v>
      </c>
      <c r="U3411" t="s">
        <v>7662</v>
      </c>
      <c r="V3411" t="s">
        <v>7662</v>
      </c>
      <c r="W3411">
        <v>2</v>
      </c>
      <c r="X3411" t="s">
        <v>11073</v>
      </c>
      <c r="Y3411">
        <v>0.35993763300524378</v>
      </c>
      <c r="Z3411" t="str">
        <f>HYPERLINK("Melting_Curves/meltCurve_tr_E7EW84_E7EW84_HUMAN_.pdf", "Melting_Curves/meltCurve_tr_E7EW84_E7EW84_HUMAN_.pdf")</f>
        <v>Melting_Curves/meltCurve_tr_E7EW84_E7EW84_HUMAN_.pdf</v>
      </c>
      <c r="AA3411" t="s">
        <v>14855</v>
      </c>
      <c r="AB3411" t="s">
        <v>18644</v>
      </c>
    </row>
    <row r="3412" spans="1:28" x14ac:dyDescent="0.25">
      <c r="A3412" t="s">
        <v>3416</v>
      </c>
      <c r="B3412">
        <v>0.98876768158843997</v>
      </c>
      <c r="C3412">
        <v>1.0220523427324699</v>
      </c>
      <c r="D3412">
        <v>0.88184724286970995</v>
      </c>
      <c r="E3412">
        <v>0.802070177992809</v>
      </c>
      <c r="F3412">
        <v>0.88950055175207199</v>
      </c>
      <c r="G3412">
        <v>0.70918733996206496</v>
      </c>
      <c r="H3412">
        <v>0.55343209561325801</v>
      </c>
      <c r="I3412">
        <v>0.66826277575885695</v>
      </c>
      <c r="J3412">
        <v>0.73149508405916497</v>
      </c>
      <c r="K3412">
        <v>0.953820839617607</v>
      </c>
      <c r="L3412">
        <v>876.86303184414999</v>
      </c>
      <c r="M3412">
        <v>18.1980523473547</v>
      </c>
      <c r="O3412">
        <v>47.613902665139001</v>
      </c>
      <c r="P3412">
        <v>-2.5434783445161001E-2</v>
      </c>
      <c r="Q3412">
        <v>0.73381941072773205</v>
      </c>
      <c r="R3412">
        <v>0.49620583610726399</v>
      </c>
      <c r="S3412" t="s">
        <v>7244</v>
      </c>
      <c r="T3412" t="s">
        <v>7662</v>
      </c>
      <c r="U3412" t="s">
        <v>7662</v>
      </c>
      <c r="V3412" t="s">
        <v>7662</v>
      </c>
      <c r="W3412">
        <v>41</v>
      </c>
      <c r="X3412" t="s">
        <v>11074</v>
      </c>
      <c r="Y3412">
        <v>0.8110295476021212</v>
      </c>
      <c r="Z3412" t="str">
        <f>HYPERLINK("Melting_Curves/meltCurve_tr_E7EX44_E7EX44_HUMAN_.pdf", "Melting_Curves/meltCurve_tr_E7EX44_E7EX44_HUMAN_.pdf")</f>
        <v>Melting_Curves/meltCurve_tr_E7EX44_E7EX44_HUMAN_.pdf</v>
      </c>
      <c r="AA3412" t="s">
        <v>12873</v>
      </c>
      <c r="AB3412" t="s">
        <v>18645</v>
      </c>
    </row>
    <row r="3413" spans="1:28" x14ac:dyDescent="0.25">
      <c r="A3413" t="s">
        <v>3417</v>
      </c>
      <c r="B3413">
        <v>0.98876768158843997</v>
      </c>
      <c r="C3413">
        <v>0.83523528640088995</v>
      </c>
      <c r="D3413">
        <v>0.77552491266859502</v>
      </c>
      <c r="E3413">
        <v>0.45595100980282599</v>
      </c>
      <c r="F3413">
        <v>0.19728322584209501</v>
      </c>
      <c r="G3413">
        <v>0.13771529609327601</v>
      </c>
      <c r="H3413">
        <v>9.2052010814324001E-2</v>
      </c>
      <c r="I3413">
        <v>7.2508107256606003E-2</v>
      </c>
      <c r="J3413">
        <v>0.16222386904521899</v>
      </c>
      <c r="K3413">
        <v>7.4533565666188503E-2</v>
      </c>
      <c r="L3413">
        <v>854.313138552704</v>
      </c>
      <c r="M3413">
        <v>17.625761042466401</v>
      </c>
      <c r="N3413">
        <v>48.970994507272998</v>
      </c>
      <c r="O3413">
        <v>47.858573955296499</v>
      </c>
      <c r="P3413">
        <v>-8.4474978936157505E-2</v>
      </c>
      <c r="Q3413">
        <v>8.2562093260709998E-2</v>
      </c>
      <c r="R3413">
        <v>0.98461150104590001</v>
      </c>
      <c r="S3413" t="s">
        <v>7245</v>
      </c>
      <c r="T3413" t="s">
        <v>7662</v>
      </c>
      <c r="U3413" t="s">
        <v>7662</v>
      </c>
      <c r="V3413" t="s">
        <v>7662</v>
      </c>
      <c r="W3413">
        <v>5</v>
      </c>
      <c r="X3413" t="s">
        <v>11075</v>
      </c>
      <c r="Y3413">
        <v>0.35834788246629612</v>
      </c>
      <c r="Z3413" t="str">
        <f>HYPERLINK("Melting_Curves/meltCurve_tr_E9PB14_E9PB14_HUMAN_.pdf", "Melting_Curves/meltCurve_tr_E9PB14_E9PB14_HUMAN_.pdf")</f>
        <v>Melting_Curves/meltCurve_tr_E9PB14_E9PB14_HUMAN_.pdf</v>
      </c>
      <c r="AA3413" t="s">
        <v>14856</v>
      </c>
      <c r="AB3413" t="s">
        <v>18646</v>
      </c>
    </row>
    <row r="3414" spans="1:28" x14ac:dyDescent="0.25">
      <c r="A3414" t="s">
        <v>3418</v>
      </c>
      <c r="B3414">
        <v>0.98876768158843997</v>
      </c>
      <c r="C3414">
        <v>0.73850309691329397</v>
      </c>
      <c r="D3414">
        <v>0.85963451551935599</v>
      </c>
      <c r="E3414">
        <v>0.55126595409875601</v>
      </c>
      <c r="F3414">
        <v>0.38286655237026901</v>
      </c>
      <c r="G3414">
        <v>0.124831253153195</v>
      </c>
      <c r="H3414">
        <v>8.1127852350284593E-2</v>
      </c>
      <c r="I3414">
        <v>7.5085355209128901E-2</v>
      </c>
      <c r="J3414">
        <v>7.0500896024036502E-2</v>
      </c>
      <c r="K3414">
        <v>3.3558110164495301E-2</v>
      </c>
      <c r="L3414">
        <v>636.84800038015601</v>
      </c>
      <c r="M3414">
        <v>12.600598003788299</v>
      </c>
      <c r="N3414">
        <v>50.541093087136801</v>
      </c>
      <c r="O3414">
        <v>49.318825445767501</v>
      </c>
      <c r="P3414">
        <v>-6.3885910745826793E-2</v>
      </c>
      <c r="Q3414">
        <v>0</v>
      </c>
      <c r="R3414">
        <v>0.96565740040663095</v>
      </c>
      <c r="S3414" t="s">
        <v>7246</v>
      </c>
      <c r="T3414" t="s">
        <v>7662</v>
      </c>
      <c r="U3414" t="s">
        <v>7662</v>
      </c>
      <c r="V3414" t="s">
        <v>7662</v>
      </c>
      <c r="W3414">
        <v>3</v>
      </c>
      <c r="X3414" t="s">
        <v>11076</v>
      </c>
      <c r="Y3414">
        <v>0.38250114506761318</v>
      </c>
      <c r="Z3414" t="str">
        <f>HYPERLINK("Melting_Curves/meltCurve_tr_E9PBL8_E9PBL8_HUMAN_.pdf", "Melting_Curves/meltCurve_tr_E9PBL8_E9PBL8_HUMAN_.pdf")</f>
        <v>Melting_Curves/meltCurve_tr_E9PBL8_E9PBL8_HUMAN_.pdf</v>
      </c>
      <c r="AA3414" t="s">
        <v>14857</v>
      </c>
      <c r="AB3414" t="s">
        <v>18647</v>
      </c>
    </row>
    <row r="3415" spans="1:28" x14ac:dyDescent="0.25">
      <c r="A3415" t="s">
        <v>3419</v>
      </c>
      <c r="B3415">
        <v>0.98876768158843997</v>
      </c>
      <c r="C3415">
        <v>0.86690530593581006</v>
      </c>
      <c r="D3415">
        <v>1.0195171407328301</v>
      </c>
      <c r="E3415">
        <v>0.53606857154791598</v>
      </c>
      <c r="F3415">
        <v>0.20699432260407999</v>
      </c>
      <c r="G3415">
        <v>9.9570939011090695E-2</v>
      </c>
      <c r="H3415">
        <v>7.1220729631964394E-2</v>
      </c>
      <c r="I3415">
        <v>7.7392856809236701E-2</v>
      </c>
      <c r="J3415">
        <v>8.8338801918884505E-2</v>
      </c>
      <c r="K3415">
        <v>6.4482182106031197E-2</v>
      </c>
      <c r="L3415">
        <v>1831.58805062284</v>
      </c>
      <c r="M3415">
        <v>36.582794117100399</v>
      </c>
      <c r="N3415">
        <v>50.306823205032302</v>
      </c>
      <c r="O3415">
        <v>49.918025250358397</v>
      </c>
      <c r="P3415">
        <v>-0.16854877714229499</v>
      </c>
      <c r="Q3415">
        <v>8.0048723564491595E-2</v>
      </c>
      <c r="R3415">
        <v>0.98590282175923805</v>
      </c>
      <c r="S3415" t="s">
        <v>7247</v>
      </c>
      <c r="T3415" t="s">
        <v>7662</v>
      </c>
      <c r="U3415" t="s">
        <v>7662</v>
      </c>
      <c r="V3415" t="s">
        <v>7662</v>
      </c>
      <c r="W3415">
        <v>4</v>
      </c>
      <c r="X3415" t="s">
        <v>11077</v>
      </c>
      <c r="Y3415">
        <v>0.39256541988829757</v>
      </c>
      <c r="Z3415" t="str">
        <f>HYPERLINK("Melting_Curves/meltCurve_tr_E9PC74_E9PC74_HUMAN_.pdf", "Melting_Curves/meltCurve_tr_E9PC74_E9PC74_HUMAN_.pdf")</f>
        <v>Melting_Curves/meltCurve_tr_E9PC74_E9PC74_HUMAN_.pdf</v>
      </c>
      <c r="AA3415" t="s">
        <v>14858</v>
      </c>
      <c r="AB3415" t="s">
        <v>18648</v>
      </c>
    </row>
    <row r="3416" spans="1:28" x14ac:dyDescent="0.25">
      <c r="A3416" t="s">
        <v>3420</v>
      </c>
      <c r="B3416">
        <v>0.98876768158843997</v>
      </c>
      <c r="C3416">
        <v>0.95274496682205501</v>
      </c>
      <c r="D3416">
        <v>0.87863084712088402</v>
      </c>
      <c r="E3416">
        <v>0.72192262122372297</v>
      </c>
      <c r="F3416">
        <v>0.74793775821539898</v>
      </c>
      <c r="G3416">
        <v>0.52859835718690495</v>
      </c>
      <c r="H3416">
        <v>0.39066238964929101</v>
      </c>
      <c r="I3416">
        <v>0.417510208400245</v>
      </c>
      <c r="J3416">
        <v>0.44506851747013998</v>
      </c>
      <c r="K3416">
        <v>0.55355773666487995</v>
      </c>
      <c r="L3416">
        <v>703.44567203907104</v>
      </c>
      <c r="M3416">
        <v>13.756586293505199</v>
      </c>
      <c r="N3416">
        <v>59.726634039019302</v>
      </c>
      <c r="O3416">
        <v>50.090959059664399</v>
      </c>
      <c r="P3416">
        <v>-3.9079883026769402E-2</v>
      </c>
      <c r="Q3416">
        <v>0.43088461808530198</v>
      </c>
      <c r="R3416">
        <v>0.92283361012714804</v>
      </c>
      <c r="S3416" t="s">
        <v>7248</v>
      </c>
      <c r="T3416" t="s">
        <v>7662</v>
      </c>
      <c r="U3416" t="s">
        <v>7662</v>
      </c>
      <c r="V3416" t="s">
        <v>7662</v>
      </c>
      <c r="W3416">
        <v>6</v>
      </c>
      <c r="X3416" t="s">
        <v>11078</v>
      </c>
      <c r="Y3416">
        <v>0.6571567086542438</v>
      </c>
      <c r="Z3416" t="str">
        <f>HYPERLINK("Melting_Curves/meltCurve_tr_E9PCJ7_E9PCJ7_HUMAN_.pdf", "Melting_Curves/meltCurve_tr_E9PCJ7_E9PCJ7_HUMAN_.pdf")</f>
        <v>Melting_Curves/meltCurve_tr_E9PCJ7_E9PCJ7_HUMAN_.pdf</v>
      </c>
      <c r="AA3416" t="s">
        <v>14859</v>
      </c>
      <c r="AB3416" t="s">
        <v>18649</v>
      </c>
    </row>
    <row r="3417" spans="1:28" x14ac:dyDescent="0.25">
      <c r="A3417" t="s">
        <v>3421</v>
      </c>
      <c r="B3417">
        <v>0.98876768158843997</v>
      </c>
      <c r="C3417">
        <v>0.93315945246255905</v>
      </c>
      <c r="D3417">
        <v>0.83139657127656497</v>
      </c>
      <c r="E3417">
        <v>0.57010343348606396</v>
      </c>
      <c r="F3417">
        <v>0.39489265291143999</v>
      </c>
      <c r="G3417">
        <v>0.194697636028035</v>
      </c>
      <c r="H3417">
        <v>8.2918923640256104E-2</v>
      </c>
      <c r="I3417">
        <v>6.6913441185018199E-2</v>
      </c>
      <c r="J3417">
        <v>7.5805122296960001E-2</v>
      </c>
      <c r="K3417">
        <v>7.1491511762295804E-2</v>
      </c>
      <c r="L3417">
        <v>758.11883773350098</v>
      </c>
      <c r="M3417">
        <v>14.9189198319922</v>
      </c>
      <c r="N3417">
        <v>51.081238155099399</v>
      </c>
      <c r="O3417">
        <v>49.929136630033597</v>
      </c>
      <c r="P3417">
        <v>-7.1923071653699502E-2</v>
      </c>
      <c r="Q3417">
        <v>3.7279813063284199E-2</v>
      </c>
      <c r="R3417">
        <v>0.99846008716877499</v>
      </c>
      <c r="S3417" t="s">
        <v>7249</v>
      </c>
      <c r="T3417" t="s">
        <v>7662</v>
      </c>
      <c r="U3417" t="s">
        <v>7662</v>
      </c>
      <c r="V3417" t="s">
        <v>7662</v>
      </c>
      <c r="W3417">
        <v>8</v>
      </c>
      <c r="X3417" t="s">
        <v>11079</v>
      </c>
      <c r="Y3417">
        <v>0.40694702760904822</v>
      </c>
      <c r="Z3417" t="str">
        <f>HYPERLINK("Melting_Curves/meltCurve_tr_E9PCY7_E9PCY7_HUMAN_.pdf", "Melting_Curves/meltCurve_tr_E9PCY7_E9PCY7_HUMAN_.pdf")</f>
        <v>Melting_Curves/meltCurve_tr_E9PCY7_E9PCY7_HUMAN_.pdf</v>
      </c>
      <c r="AA3417" t="s">
        <v>14860</v>
      </c>
      <c r="AB3417" t="s">
        <v>18650</v>
      </c>
    </row>
    <row r="3418" spans="1:28" x14ac:dyDescent="0.25">
      <c r="A3418" t="s">
        <v>3422</v>
      </c>
      <c r="B3418">
        <v>0.98876768158843997</v>
      </c>
      <c r="C3418">
        <v>0.869181296215355</v>
      </c>
      <c r="D3418">
        <v>0.94096484295763405</v>
      </c>
      <c r="E3418">
        <v>0.63353557577643504</v>
      </c>
      <c r="F3418">
        <v>0.19995321949148601</v>
      </c>
      <c r="G3418">
        <v>8.0410630881113596E-2</v>
      </c>
      <c r="H3418">
        <v>3.7737420394927501E-2</v>
      </c>
      <c r="I3418">
        <v>3.05367959989131E-2</v>
      </c>
      <c r="J3418">
        <v>3.3314699373774903E-2</v>
      </c>
      <c r="K3418">
        <v>2.5698412967297E-2</v>
      </c>
      <c r="L3418">
        <v>1606.9395624993001</v>
      </c>
      <c r="M3418">
        <v>31.721956236060201</v>
      </c>
      <c r="N3418">
        <v>50.763202459618903</v>
      </c>
      <c r="O3418">
        <v>50.456977347208898</v>
      </c>
      <c r="P3418">
        <v>-0.152128864355694</v>
      </c>
      <c r="Q3418">
        <v>3.2099772782344903E-2</v>
      </c>
      <c r="R3418">
        <v>0.98856739556025497</v>
      </c>
      <c r="S3418" t="s">
        <v>7250</v>
      </c>
      <c r="T3418" t="s">
        <v>7662</v>
      </c>
      <c r="U3418" t="s">
        <v>7662</v>
      </c>
      <c r="V3418" t="s">
        <v>7662</v>
      </c>
      <c r="W3418">
        <v>4</v>
      </c>
      <c r="X3418" t="s">
        <v>11080</v>
      </c>
      <c r="Y3418">
        <v>0.38133933591141228</v>
      </c>
      <c r="Z3418" t="str">
        <f>HYPERLINK("Melting_Curves/meltCurve_tr_E9PDQ5_E9PDQ5_HUMAN_.pdf", "Melting_Curves/meltCurve_tr_E9PDQ5_E9PDQ5_HUMAN_.pdf")</f>
        <v>Melting_Curves/meltCurve_tr_E9PDQ5_E9PDQ5_HUMAN_.pdf</v>
      </c>
      <c r="AA3418" t="s">
        <v>14861</v>
      </c>
      <c r="AB3418" t="s">
        <v>18651</v>
      </c>
    </row>
    <row r="3419" spans="1:28" x14ac:dyDescent="0.25">
      <c r="A3419" t="s">
        <v>3423</v>
      </c>
      <c r="B3419">
        <v>0.98876768158843997</v>
      </c>
      <c r="C3419">
        <v>0.781638088779401</v>
      </c>
      <c r="D3419">
        <v>1.0022477543270301</v>
      </c>
      <c r="E3419">
        <v>0.67235166432759996</v>
      </c>
      <c r="F3419">
        <v>0.302825602201716</v>
      </c>
      <c r="G3419">
        <v>0.157662704496177</v>
      </c>
      <c r="H3419">
        <v>0.12915455723292199</v>
      </c>
      <c r="I3419">
        <v>5.56652294723219E-2</v>
      </c>
      <c r="J3419">
        <v>0.13500260464708599</v>
      </c>
      <c r="K3419">
        <v>0.107753423950794</v>
      </c>
      <c r="L3419">
        <v>1552.88010865914</v>
      </c>
      <c r="M3419">
        <v>30.5190858343203</v>
      </c>
      <c r="N3419">
        <v>51.290011590638102</v>
      </c>
      <c r="O3419">
        <v>50.665299378023398</v>
      </c>
      <c r="P3419">
        <v>-0.13437137408580899</v>
      </c>
      <c r="Q3419">
        <v>0.10771585249082501</v>
      </c>
      <c r="R3419">
        <v>0.961011016672223</v>
      </c>
      <c r="S3419" t="s">
        <v>7251</v>
      </c>
      <c r="T3419" t="s">
        <v>7662</v>
      </c>
      <c r="U3419" t="s">
        <v>7662</v>
      </c>
      <c r="V3419" t="s">
        <v>7662</v>
      </c>
      <c r="W3419">
        <v>1</v>
      </c>
      <c r="X3419" t="s">
        <v>11081</v>
      </c>
      <c r="Y3419">
        <v>0.43679475920820687</v>
      </c>
      <c r="Z3419" t="str">
        <f>HYPERLINK("Melting_Curves/meltCurve_tr_E9PDR5_E9PDR5_HUMAN_.pdf", "Melting_Curves/meltCurve_tr_E9PDR5_E9PDR5_HUMAN_.pdf")</f>
        <v>Melting_Curves/meltCurve_tr_E9PDR5_E9PDR5_HUMAN_.pdf</v>
      </c>
      <c r="AA3419" t="s">
        <v>14862</v>
      </c>
      <c r="AB3419" t="s">
        <v>18652</v>
      </c>
    </row>
    <row r="3420" spans="1:28" x14ac:dyDescent="0.25">
      <c r="A3420" t="s">
        <v>3424</v>
      </c>
      <c r="B3420">
        <v>0.98876768158843997</v>
      </c>
      <c r="C3420">
        <v>0.97078593625221099</v>
      </c>
      <c r="D3420">
        <v>0.86631643399182201</v>
      </c>
      <c r="E3420">
        <v>0.61606875546426199</v>
      </c>
      <c r="F3420">
        <v>0.76669787606817996</v>
      </c>
      <c r="G3420">
        <v>0.55113430680527298</v>
      </c>
      <c r="H3420">
        <v>0.395859026860511</v>
      </c>
      <c r="I3420">
        <v>0.50448040253594995</v>
      </c>
      <c r="J3420">
        <v>0.54328515040165404</v>
      </c>
      <c r="K3420">
        <v>0.66761706667370602</v>
      </c>
      <c r="L3420">
        <v>822.69150187478294</v>
      </c>
      <c r="M3420">
        <v>17.035790502676999</v>
      </c>
      <c r="O3420">
        <v>47.641248529496899</v>
      </c>
      <c r="P3420">
        <v>-4.1506321311160999E-2</v>
      </c>
      <c r="Q3420">
        <v>0.53573230909498004</v>
      </c>
      <c r="R3420">
        <v>0.80845338435088898</v>
      </c>
      <c r="S3420" t="s">
        <v>7252</v>
      </c>
      <c r="T3420" t="s">
        <v>7662</v>
      </c>
      <c r="U3420" t="s">
        <v>7662</v>
      </c>
      <c r="V3420" t="s">
        <v>7662</v>
      </c>
      <c r="W3420">
        <v>3</v>
      </c>
      <c r="X3420" t="s">
        <v>11082</v>
      </c>
      <c r="Y3420">
        <v>0.67320005128128535</v>
      </c>
      <c r="Z3420" t="str">
        <f>HYPERLINK("Melting_Curves/meltCurve_tr_E9PEG3_E9PEG3_HUMAN_.pdf", "Melting_Curves/meltCurve_tr_E9PEG3_E9PEG3_HUMAN_.pdf")</f>
        <v>Melting_Curves/meltCurve_tr_E9PEG3_E9PEG3_HUMAN_.pdf</v>
      </c>
      <c r="AA3420" t="s">
        <v>14863</v>
      </c>
      <c r="AB3420" t="s">
        <v>18653</v>
      </c>
    </row>
    <row r="3421" spans="1:28" x14ac:dyDescent="0.25">
      <c r="A3421" t="s">
        <v>3425</v>
      </c>
      <c r="B3421">
        <v>0.98876768158843997</v>
      </c>
      <c r="C3421">
        <v>0.88107326084576898</v>
      </c>
      <c r="D3421">
        <v>1.0191833091071401</v>
      </c>
      <c r="E3421">
        <v>0.61601587823794701</v>
      </c>
      <c r="F3421">
        <v>0.29967673234740999</v>
      </c>
      <c r="G3421">
        <v>0.18380487021002201</v>
      </c>
      <c r="H3421">
        <v>0.13720124874474901</v>
      </c>
      <c r="I3421">
        <v>0.13747197678284101</v>
      </c>
      <c r="J3421">
        <v>0.150608182302126</v>
      </c>
      <c r="K3421">
        <v>0.137740866681167</v>
      </c>
      <c r="L3421">
        <v>1652.5314420856901</v>
      </c>
      <c r="M3421">
        <v>32.777733884017699</v>
      </c>
      <c r="N3421">
        <v>50.9509341007277</v>
      </c>
      <c r="O3421">
        <v>50.229738061469497</v>
      </c>
      <c r="P3421">
        <v>-0.139399976192362</v>
      </c>
      <c r="Q3421">
        <v>0.145518522631189</v>
      </c>
      <c r="R3421">
        <v>0.98652109943028798</v>
      </c>
      <c r="S3421" t="s">
        <v>7253</v>
      </c>
      <c r="T3421" t="s">
        <v>7662</v>
      </c>
      <c r="U3421" t="s">
        <v>7662</v>
      </c>
      <c r="V3421" t="s">
        <v>7662</v>
      </c>
      <c r="W3421">
        <v>29</v>
      </c>
      <c r="X3421" t="s">
        <v>11083</v>
      </c>
      <c r="Y3421">
        <v>0.44665346885012658</v>
      </c>
      <c r="Z3421" t="str">
        <f>HYPERLINK("Melting_Curves/meltCurve_tr_E9PEZ3_E9PEZ3_HUMAN_.pdf", "Melting_Curves/meltCurve_tr_E9PEZ3_E9PEZ3_HUMAN_.pdf")</f>
        <v>Melting_Curves/meltCurve_tr_E9PEZ3_E9PEZ3_HUMAN_.pdf</v>
      </c>
      <c r="AA3421" t="s">
        <v>14864</v>
      </c>
      <c r="AB3421" t="s">
        <v>18654</v>
      </c>
    </row>
    <row r="3422" spans="1:28" x14ac:dyDescent="0.25">
      <c r="A3422" t="s">
        <v>3426</v>
      </c>
      <c r="B3422">
        <v>0.98876768158843997</v>
      </c>
      <c r="C3422">
        <v>0.91355494768727896</v>
      </c>
      <c r="D3422">
        <v>0.97702846762798001</v>
      </c>
      <c r="E3422">
        <v>1.08670686162243</v>
      </c>
      <c r="F3422">
        <v>0.32918721852839</v>
      </c>
      <c r="G3422">
        <v>0.125332864349191</v>
      </c>
      <c r="H3422">
        <v>9.8623861266442597E-2</v>
      </c>
      <c r="I3422">
        <v>6.9252188398937001E-2</v>
      </c>
      <c r="J3422">
        <v>9.0428248423088706E-2</v>
      </c>
      <c r="K3422">
        <v>1.8917347840430799E-2</v>
      </c>
      <c r="L3422">
        <v>13197.4062172288</v>
      </c>
      <c r="M3422">
        <v>250</v>
      </c>
      <c r="N3422">
        <v>52.826731347580498</v>
      </c>
      <c r="O3422">
        <v>52.786251244751199</v>
      </c>
      <c r="P3422">
        <v>-1.0886940280628801</v>
      </c>
      <c r="Q3422">
        <v>8.0510856527557503E-2</v>
      </c>
      <c r="R3422">
        <v>0.98834678490950501</v>
      </c>
      <c r="S3422" t="s">
        <v>7254</v>
      </c>
      <c r="T3422" t="s">
        <v>7662</v>
      </c>
      <c r="U3422" t="s">
        <v>7662</v>
      </c>
      <c r="V3422" t="s">
        <v>7662</v>
      </c>
      <c r="W3422">
        <v>1</v>
      </c>
      <c r="X3422" t="s">
        <v>11084</v>
      </c>
      <c r="Y3422">
        <v>0.47259341644014502</v>
      </c>
      <c r="Z3422" t="str">
        <f>HYPERLINK("Melting_Curves/meltCurve_tr_E9PF01_E9PF01_HUMAN_.pdf", "Melting_Curves/meltCurve_tr_E9PF01_E9PF01_HUMAN_.pdf")</f>
        <v>Melting_Curves/meltCurve_tr_E9PF01_E9PF01_HUMAN_.pdf</v>
      </c>
      <c r="AA3422" t="s">
        <v>14865</v>
      </c>
      <c r="AB3422" t="s">
        <v>18655</v>
      </c>
    </row>
    <row r="3423" spans="1:28" x14ac:dyDescent="0.25">
      <c r="A3423" t="s">
        <v>3427</v>
      </c>
      <c r="B3423">
        <v>0.98876768158843997</v>
      </c>
      <c r="C3423">
        <v>0.84529136030616003</v>
      </c>
      <c r="D3423">
        <v>0.65777112982478303</v>
      </c>
      <c r="E3423">
        <v>0.27558751375221502</v>
      </c>
      <c r="F3423">
        <v>0.14191372044741801</v>
      </c>
      <c r="G3423">
        <v>9.0232714200234099E-2</v>
      </c>
      <c r="H3423">
        <v>2.5276180286023599E-2</v>
      </c>
      <c r="I3423">
        <v>2.8537342281870302E-2</v>
      </c>
      <c r="J3423">
        <v>0</v>
      </c>
      <c r="K3423">
        <v>0</v>
      </c>
      <c r="L3423">
        <v>839.95644879420104</v>
      </c>
      <c r="M3423">
        <v>17.704709775003099</v>
      </c>
      <c r="N3423">
        <v>47.492815322998403</v>
      </c>
      <c r="O3423">
        <v>46.849681708247701</v>
      </c>
      <c r="P3423">
        <v>-9.36041108054394E-2</v>
      </c>
      <c r="Q3423">
        <v>9.2820166253281405E-3</v>
      </c>
      <c r="R3423">
        <v>0.997406377760648</v>
      </c>
      <c r="S3423" t="s">
        <v>7255</v>
      </c>
      <c r="T3423" t="s">
        <v>7662</v>
      </c>
      <c r="U3423" t="s">
        <v>7662</v>
      </c>
      <c r="V3423" t="s">
        <v>7662</v>
      </c>
      <c r="W3423">
        <v>1</v>
      </c>
      <c r="X3423" t="s">
        <v>11085</v>
      </c>
      <c r="Y3423">
        <v>0.2736314144595085</v>
      </c>
      <c r="Z3423" t="str">
        <f>HYPERLINK("Melting_Curves/meltCurve_tr_E9PF10_E9PF10_HUMAN_.pdf", "Melting_Curves/meltCurve_tr_E9PF10_E9PF10_HUMAN_.pdf")</f>
        <v>Melting_Curves/meltCurve_tr_E9PF10_E9PF10_HUMAN_.pdf</v>
      </c>
      <c r="AA3423" t="s">
        <v>14866</v>
      </c>
      <c r="AB3423" t="s">
        <v>18656</v>
      </c>
    </row>
    <row r="3424" spans="1:28" x14ac:dyDescent="0.25">
      <c r="A3424" t="s">
        <v>3428</v>
      </c>
      <c r="B3424">
        <v>0.98876768158843997</v>
      </c>
      <c r="C3424">
        <v>1.04670789757212</v>
      </c>
      <c r="D3424">
        <v>0.89931287181722297</v>
      </c>
      <c r="E3424">
        <v>0.70173995597622496</v>
      </c>
      <c r="F3424">
        <v>0.80166350216958004</v>
      </c>
      <c r="G3424">
        <v>0.53725027660832103</v>
      </c>
      <c r="H3424">
        <v>0.444229535697231</v>
      </c>
      <c r="I3424">
        <v>0.54407548629258595</v>
      </c>
      <c r="J3424">
        <v>0.66673902577494104</v>
      </c>
      <c r="K3424">
        <v>0.71520942451803604</v>
      </c>
      <c r="L3424">
        <v>1008.90652664765</v>
      </c>
      <c r="M3424">
        <v>20.546687162172699</v>
      </c>
      <c r="O3424">
        <v>48.6450920228339</v>
      </c>
      <c r="P3424">
        <v>-4.3161489421548398E-2</v>
      </c>
      <c r="Q3424">
        <v>0.59126585686569</v>
      </c>
      <c r="R3424">
        <v>0.77870884739162305</v>
      </c>
      <c r="S3424" t="s">
        <v>7256</v>
      </c>
      <c r="T3424" t="s">
        <v>7662</v>
      </c>
      <c r="U3424" t="s">
        <v>7662</v>
      </c>
      <c r="V3424" t="s">
        <v>7662</v>
      </c>
      <c r="W3424">
        <v>4</v>
      </c>
      <c r="X3424" t="s">
        <v>11086</v>
      </c>
      <c r="Y3424">
        <v>0.72070684549623254</v>
      </c>
      <c r="Z3424" t="str">
        <f>HYPERLINK("Melting_Curves/meltCurve_tr_E9PFC1_E9PFC1_HUMAN_.pdf", "Melting_Curves/meltCurve_tr_E9PFC1_E9PFC1_HUMAN_.pdf")</f>
        <v>Melting_Curves/meltCurve_tr_E9PFC1_E9PFC1_HUMAN_.pdf</v>
      </c>
      <c r="AA3424" t="s">
        <v>14867</v>
      </c>
      <c r="AB3424" t="s">
        <v>18657</v>
      </c>
    </row>
    <row r="3425" spans="1:28" x14ac:dyDescent="0.25">
      <c r="A3425" t="s">
        <v>3429</v>
      </c>
      <c r="B3425">
        <v>0.98876768158843997</v>
      </c>
      <c r="C3425">
        <v>1.0938544091602</v>
      </c>
      <c r="D3425">
        <v>0.89773328842944</v>
      </c>
      <c r="E3425">
        <v>0.77496488092969795</v>
      </c>
      <c r="F3425">
        <v>0.85595285021950296</v>
      </c>
      <c r="G3425">
        <v>0.63106139173408604</v>
      </c>
      <c r="H3425">
        <v>0.55562940699566299</v>
      </c>
      <c r="I3425">
        <v>0.65918024412429299</v>
      </c>
      <c r="J3425">
        <v>0.65745138151966798</v>
      </c>
      <c r="K3425">
        <v>0.838289135351304</v>
      </c>
      <c r="L3425">
        <v>1008.4957338489</v>
      </c>
      <c r="M3425">
        <v>20.435246520992699</v>
      </c>
      <c r="O3425">
        <v>48.885515259359003</v>
      </c>
      <c r="P3425">
        <v>-3.3801641899062797E-2</v>
      </c>
      <c r="Q3425">
        <v>0.67656651614929597</v>
      </c>
      <c r="R3425">
        <v>0.713321561018185</v>
      </c>
      <c r="S3425" t="s">
        <v>7257</v>
      </c>
      <c r="T3425" t="s">
        <v>7662</v>
      </c>
      <c r="U3425" t="s">
        <v>7662</v>
      </c>
      <c r="V3425" t="s">
        <v>7662</v>
      </c>
      <c r="W3425">
        <v>1</v>
      </c>
      <c r="X3425" t="s">
        <v>11087</v>
      </c>
      <c r="Y3425">
        <v>0.78170533041709334</v>
      </c>
      <c r="Z3425" t="str">
        <f>HYPERLINK("Melting_Curves/meltCurve_tr_E9PFD7_E9PFD7_HUMAN_.pdf", "Melting_Curves/meltCurve_tr_E9PFD7_E9PFD7_HUMAN_.pdf")</f>
        <v>Melting_Curves/meltCurve_tr_E9PFD7_E9PFD7_HUMAN_.pdf</v>
      </c>
      <c r="AA3425" t="s">
        <v>14868</v>
      </c>
      <c r="AB3425" t="s">
        <v>18658</v>
      </c>
    </row>
    <row r="3426" spans="1:28" x14ac:dyDescent="0.25">
      <c r="A3426" t="s">
        <v>3430</v>
      </c>
      <c r="B3426">
        <v>0.98876768158843997</v>
      </c>
      <c r="C3426">
        <v>0.82854507194237903</v>
      </c>
      <c r="D3426">
        <v>0.921863101537578</v>
      </c>
      <c r="E3426">
        <v>0.64274769111652297</v>
      </c>
      <c r="F3426">
        <v>0.169561298185127</v>
      </c>
      <c r="G3426">
        <v>8.7445987470203296E-2</v>
      </c>
      <c r="H3426">
        <v>5.5307531805877698E-2</v>
      </c>
      <c r="I3426">
        <v>5.1712258688826201E-2</v>
      </c>
      <c r="J3426">
        <v>5.7595166118843202E-2</v>
      </c>
      <c r="K3426">
        <v>4.7994802709513201E-2</v>
      </c>
      <c r="L3426">
        <v>1913.67989484847</v>
      </c>
      <c r="M3426">
        <v>37.854300308635203</v>
      </c>
      <c r="N3426">
        <v>50.706638153109097</v>
      </c>
      <c r="O3426">
        <v>50.413371563414302</v>
      </c>
      <c r="P3426">
        <v>-0.17759979213584801</v>
      </c>
      <c r="Q3426">
        <v>5.3911438246156698E-2</v>
      </c>
      <c r="R3426">
        <v>0.97737815947665696</v>
      </c>
      <c r="S3426" t="s">
        <v>7258</v>
      </c>
      <c r="T3426" t="s">
        <v>7662</v>
      </c>
      <c r="U3426" t="s">
        <v>7662</v>
      </c>
      <c r="V3426" t="s">
        <v>7662</v>
      </c>
      <c r="W3426">
        <v>11</v>
      </c>
      <c r="X3426" t="s">
        <v>11088</v>
      </c>
      <c r="Y3426">
        <v>0.39043521735816511</v>
      </c>
      <c r="Z3426" t="str">
        <f>HYPERLINK("Melting_Curves/meltCurve_tr_E9PFR3_E9PFR3_HUMAN_.pdf", "Melting_Curves/meltCurve_tr_E9PFR3_E9PFR3_HUMAN_.pdf")</f>
        <v>Melting_Curves/meltCurve_tr_E9PFR3_E9PFR3_HUMAN_.pdf</v>
      </c>
      <c r="AA3426" t="s">
        <v>14869</v>
      </c>
      <c r="AB3426" t="s">
        <v>18659</v>
      </c>
    </row>
    <row r="3427" spans="1:28" x14ac:dyDescent="0.25">
      <c r="A3427" t="s">
        <v>3431</v>
      </c>
      <c r="B3427">
        <v>0.98876768158843997</v>
      </c>
      <c r="C3427">
        <v>1.0070770692739599</v>
      </c>
      <c r="D3427">
        <v>0.94704868281737198</v>
      </c>
      <c r="E3427">
        <v>0.55843894909624803</v>
      </c>
      <c r="F3427">
        <v>0.21536010761907201</v>
      </c>
      <c r="G3427">
        <v>0.14082560394388099</v>
      </c>
      <c r="H3427">
        <v>0.14285660755267801</v>
      </c>
      <c r="I3427">
        <v>0.113124863630919</v>
      </c>
      <c r="J3427">
        <v>4.8360233754702497E-2</v>
      </c>
      <c r="K3427">
        <v>1.3940909909939601E-2</v>
      </c>
      <c r="L3427">
        <v>1520.7402498983399</v>
      </c>
      <c r="M3427">
        <v>30.3524653987329</v>
      </c>
      <c r="N3427">
        <v>50.406902705553499</v>
      </c>
      <c r="O3427">
        <v>49.886711599048702</v>
      </c>
      <c r="P3427">
        <v>-0.139378229009198</v>
      </c>
      <c r="Q3427">
        <v>8.3688401171514604E-2</v>
      </c>
      <c r="R3427">
        <v>0.992489695280662</v>
      </c>
      <c r="S3427" t="s">
        <v>7259</v>
      </c>
      <c r="T3427" t="s">
        <v>7662</v>
      </c>
      <c r="U3427" t="s">
        <v>7662</v>
      </c>
      <c r="V3427" t="s">
        <v>7662</v>
      </c>
      <c r="W3427">
        <v>3</v>
      </c>
      <c r="X3427" t="s">
        <v>11089</v>
      </c>
      <c r="Y3427">
        <v>0.39780673266400579</v>
      </c>
      <c r="Z3427" t="str">
        <f>HYPERLINK("Melting_Curves/meltCurve_tr_E9PG46_E9PG46_HUMAN_.pdf", "Melting_Curves/meltCurve_tr_E9PG46_E9PG46_HUMAN_.pdf")</f>
        <v>Melting_Curves/meltCurve_tr_E9PG46_E9PG46_HUMAN_.pdf</v>
      </c>
      <c r="AA3427" t="s">
        <v>14870</v>
      </c>
      <c r="AB3427" t="s">
        <v>18660</v>
      </c>
    </row>
    <row r="3428" spans="1:28" x14ac:dyDescent="0.25">
      <c r="A3428" t="s">
        <v>3432</v>
      </c>
      <c r="B3428">
        <v>0.98876768158843997</v>
      </c>
      <c r="C3428">
        <v>1.09524100090083</v>
      </c>
      <c r="D3428">
        <v>0.80357942917476299</v>
      </c>
      <c r="E3428">
        <v>0.69946362210776603</v>
      </c>
      <c r="F3428">
        <v>0.63701900389100796</v>
      </c>
      <c r="G3428">
        <v>0.35520570552677</v>
      </c>
      <c r="H3428">
        <v>0.26192658561912602</v>
      </c>
      <c r="I3428">
        <v>0.31662910937177802</v>
      </c>
      <c r="J3428">
        <v>0.28725486567249497</v>
      </c>
      <c r="K3428">
        <v>0.48456617792481499</v>
      </c>
      <c r="L3428">
        <v>890.95673982252401</v>
      </c>
      <c r="M3428">
        <v>17.540966113972502</v>
      </c>
      <c r="N3428">
        <v>53.9831556364134</v>
      </c>
      <c r="O3428">
        <v>50.146535057413601</v>
      </c>
      <c r="P3428">
        <v>-5.92344964612024E-2</v>
      </c>
      <c r="Q3428">
        <v>0.32267281718681201</v>
      </c>
      <c r="R3428">
        <v>0.91006697013188298</v>
      </c>
      <c r="S3428" t="s">
        <v>7260</v>
      </c>
      <c r="T3428" t="s">
        <v>7662</v>
      </c>
      <c r="U3428" t="s">
        <v>7662</v>
      </c>
      <c r="V3428" t="s">
        <v>7662</v>
      </c>
      <c r="W3428">
        <v>3</v>
      </c>
      <c r="X3428" t="s">
        <v>11090</v>
      </c>
      <c r="Y3428">
        <v>0.57833963233241126</v>
      </c>
      <c r="Z3428" t="str">
        <f>HYPERLINK("Melting_Curves/meltCurve_tr_E9PG73_E9PG73_HUMAN_.pdf", "Melting_Curves/meltCurve_tr_E9PG73_E9PG73_HUMAN_.pdf")</f>
        <v>Melting_Curves/meltCurve_tr_E9PG73_E9PG73_HUMAN_.pdf</v>
      </c>
      <c r="AA3428" t="s">
        <v>14871</v>
      </c>
      <c r="AB3428" t="s">
        <v>18661</v>
      </c>
    </row>
    <row r="3429" spans="1:28" x14ac:dyDescent="0.25">
      <c r="A3429" t="s">
        <v>3433</v>
      </c>
      <c r="B3429">
        <v>0.98876768158843997</v>
      </c>
      <c r="C3429">
        <v>0.99364841047251695</v>
      </c>
      <c r="D3429">
        <v>0.80077949662188297</v>
      </c>
      <c r="E3429">
        <v>0.55548248022797697</v>
      </c>
      <c r="F3429">
        <v>0.49184839416305398</v>
      </c>
      <c r="G3429">
        <v>0.301064438809308</v>
      </c>
      <c r="H3429">
        <v>0.20003321232124999</v>
      </c>
      <c r="I3429">
        <v>0.222944759963116</v>
      </c>
      <c r="J3429">
        <v>0.28875907933065897</v>
      </c>
      <c r="K3429">
        <v>0.303113477436872</v>
      </c>
      <c r="L3429">
        <v>837.95251906872602</v>
      </c>
      <c r="M3429">
        <v>16.978121562152101</v>
      </c>
      <c r="N3429">
        <v>51.3969863883503</v>
      </c>
      <c r="O3429">
        <v>48.685415858988598</v>
      </c>
      <c r="P3429">
        <v>-6.5799401688066805E-2</v>
      </c>
      <c r="Q3429">
        <v>0.24531790180877</v>
      </c>
      <c r="R3429">
        <v>0.97744771806479902</v>
      </c>
      <c r="S3429" t="s">
        <v>7261</v>
      </c>
      <c r="T3429" t="s">
        <v>7662</v>
      </c>
      <c r="U3429" t="s">
        <v>7662</v>
      </c>
      <c r="V3429" t="s">
        <v>7662</v>
      </c>
      <c r="W3429">
        <v>29</v>
      </c>
      <c r="X3429" t="s">
        <v>11091</v>
      </c>
      <c r="Y3429">
        <v>0.49520361329117912</v>
      </c>
      <c r="Z3429" t="str">
        <f>HYPERLINK("Melting_Curves/meltCurve_tr_E9PGF5_E9PGF5_HUMAN_.pdf", "Melting_Curves/meltCurve_tr_E9PGF5_E9PGF5_HUMAN_.pdf")</f>
        <v>Melting_Curves/meltCurve_tr_E9PGF5_E9PGF5_HUMAN_.pdf</v>
      </c>
      <c r="AA3429" t="s">
        <v>14872</v>
      </c>
      <c r="AB3429" t="s">
        <v>18662</v>
      </c>
    </row>
    <row r="3430" spans="1:28" x14ac:dyDescent="0.25">
      <c r="A3430" t="s">
        <v>3434</v>
      </c>
      <c r="B3430">
        <v>0.98876768158843997</v>
      </c>
      <c r="C3430">
        <v>0.88476732349728204</v>
      </c>
      <c r="D3430">
        <v>0.95700647303561404</v>
      </c>
      <c r="E3430">
        <v>0.81048644483878596</v>
      </c>
      <c r="F3430">
        <v>0.52577347951954601</v>
      </c>
      <c r="G3430">
        <v>0.18744074823290899</v>
      </c>
      <c r="H3430">
        <v>8.0187684404307694E-2</v>
      </c>
      <c r="I3430">
        <v>6.4386065709857304E-2</v>
      </c>
      <c r="J3430">
        <v>7.4592728954349805E-2</v>
      </c>
      <c r="K3430">
        <v>6.0588617258304597E-2</v>
      </c>
      <c r="L3430">
        <v>1250.09233172886</v>
      </c>
      <c r="M3430">
        <v>23.6306954586084</v>
      </c>
      <c r="N3430">
        <v>53.151486927632703</v>
      </c>
      <c r="O3430">
        <v>52.526728733001498</v>
      </c>
      <c r="P3430">
        <v>-0.106549856067944</v>
      </c>
      <c r="Q3430">
        <v>5.2652294418008297E-2</v>
      </c>
      <c r="R3430">
        <v>0.99113258584430997</v>
      </c>
      <c r="S3430" t="s">
        <v>7262</v>
      </c>
      <c r="T3430" t="s">
        <v>7662</v>
      </c>
      <c r="U3430" t="s">
        <v>7662</v>
      </c>
      <c r="V3430" t="s">
        <v>7662</v>
      </c>
      <c r="W3430">
        <v>6</v>
      </c>
      <c r="X3430" t="s">
        <v>11092</v>
      </c>
      <c r="Y3430">
        <v>0.46973191052739838</v>
      </c>
      <c r="Z3430" t="str">
        <f>HYPERLINK("Melting_Curves/meltCurve_tr_E9PGF9_E9PGF9_HUMAN_.pdf", "Melting_Curves/meltCurve_tr_E9PGF9_E9PGF9_HUMAN_.pdf")</f>
        <v>Melting_Curves/meltCurve_tr_E9PGF9_E9PGF9_HUMAN_.pdf</v>
      </c>
      <c r="AA3430" t="s">
        <v>14873</v>
      </c>
      <c r="AB3430" t="s">
        <v>18663</v>
      </c>
    </row>
    <row r="3431" spans="1:28" x14ac:dyDescent="0.25">
      <c r="A3431" t="s">
        <v>3435</v>
      </c>
      <c r="B3431">
        <v>0.98876768158843997</v>
      </c>
      <c r="C3431">
        <v>1.06184835467553</v>
      </c>
      <c r="D3431">
        <v>0.87601605610305699</v>
      </c>
      <c r="E3431">
        <v>0.70524440478079398</v>
      </c>
      <c r="F3431">
        <v>0.68453361883345398</v>
      </c>
      <c r="G3431">
        <v>0.38781387164190101</v>
      </c>
      <c r="H3431">
        <v>0.32699296189795202</v>
      </c>
      <c r="I3431">
        <v>0.29397235399774302</v>
      </c>
      <c r="J3431">
        <v>0.72218211510151897</v>
      </c>
      <c r="K3431">
        <v>0.32808119977553601</v>
      </c>
      <c r="L3431">
        <v>988.10546638702203</v>
      </c>
      <c r="M3431">
        <v>19.519197723494699</v>
      </c>
      <c r="N3431">
        <v>55.340525679167499</v>
      </c>
      <c r="O3431">
        <v>50.099885339108504</v>
      </c>
      <c r="P3431">
        <v>-5.7923956843543602E-2</v>
      </c>
      <c r="Q3431">
        <v>0.40532809884113802</v>
      </c>
      <c r="R3431">
        <v>0.79236606407629495</v>
      </c>
      <c r="S3431" t="s">
        <v>7263</v>
      </c>
      <c r="T3431" t="s">
        <v>7662</v>
      </c>
      <c r="U3431" t="s">
        <v>7662</v>
      </c>
      <c r="V3431" t="s">
        <v>7662</v>
      </c>
      <c r="W3431">
        <v>2</v>
      </c>
      <c r="X3431" t="s">
        <v>11093</v>
      </c>
      <c r="Y3431">
        <v>0.6245389722059137</v>
      </c>
      <c r="Z3431" t="str">
        <f>HYPERLINK("Melting_Curves/meltCurve_tr_E9PGM7_E9PGM7_HUMAN_.pdf", "Melting_Curves/meltCurve_tr_E9PGM7_E9PGM7_HUMAN_.pdf")</f>
        <v>Melting_Curves/meltCurve_tr_E9PGM7_E9PGM7_HUMAN_.pdf</v>
      </c>
      <c r="AA3431" t="s">
        <v>14874</v>
      </c>
      <c r="AB3431" t="s">
        <v>18664</v>
      </c>
    </row>
    <row r="3432" spans="1:28" x14ac:dyDescent="0.25">
      <c r="A3432" t="s">
        <v>3436</v>
      </c>
      <c r="B3432">
        <v>0.98876768158843997</v>
      </c>
      <c r="C3432">
        <v>0.953425674889256</v>
      </c>
      <c r="D3432">
        <v>1.0693007733020301</v>
      </c>
      <c r="E3432">
        <v>1.01777443247634</v>
      </c>
      <c r="F3432">
        <v>0.62129591017109198</v>
      </c>
      <c r="G3432">
        <v>0.475177021184788</v>
      </c>
      <c r="H3432">
        <v>0.44082929585632002</v>
      </c>
      <c r="I3432">
        <v>0.486216541633953</v>
      </c>
      <c r="J3432">
        <v>0.30905118212959798</v>
      </c>
      <c r="K3432">
        <v>0.20763950635568901</v>
      </c>
      <c r="L3432">
        <v>13225.273825570201</v>
      </c>
      <c r="M3432">
        <v>250</v>
      </c>
      <c r="N3432">
        <v>53.211688261765801</v>
      </c>
      <c r="O3432">
        <v>52.8976882731451</v>
      </c>
      <c r="P3432">
        <v>-0.72807652732529105</v>
      </c>
      <c r="Q3432">
        <v>0.38378270329185499</v>
      </c>
      <c r="R3432">
        <v>0.92899802568338297</v>
      </c>
      <c r="S3432" t="s">
        <v>7264</v>
      </c>
      <c r="T3432" t="s">
        <v>7662</v>
      </c>
      <c r="U3432" t="s">
        <v>7662</v>
      </c>
      <c r="V3432" t="s">
        <v>7662</v>
      </c>
      <c r="W3432">
        <v>12</v>
      </c>
      <c r="X3432" t="s">
        <v>11094</v>
      </c>
      <c r="Y3432">
        <v>0.648835848999609</v>
      </c>
      <c r="Z3432" t="str">
        <f>HYPERLINK("Melting_Curves/meltCurve_tr_E9PGT1_E9PGT1_HUMAN_.pdf", "Melting_Curves/meltCurve_tr_E9PGT1_E9PGT1_HUMAN_.pdf")</f>
        <v>Melting_Curves/meltCurve_tr_E9PGT1_E9PGT1_HUMAN_.pdf</v>
      </c>
      <c r="AA3432" t="s">
        <v>14875</v>
      </c>
      <c r="AB3432" t="s">
        <v>18665</v>
      </c>
    </row>
    <row r="3433" spans="1:28" x14ac:dyDescent="0.25">
      <c r="A3433" t="s">
        <v>3437</v>
      </c>
      <c r="B3433">
        <v>0.98876768158843997</v>
      </c>
      <c r="C3433">
        <v>0.99406359762377094</v>
      </c>
      <c r="D3433">
        <v>1.0487507553297599</v>
      </c>
      <c r="E3433">
        <v>0.73331745979607499</v>
      </c>
      <c r="F3433">
        <v>0.63160139058628595</v>
      </c>
      <c r="G3433">
        <v>0.32206277081146101</v>
      </c>
      <c r="H3433">
        <v>0.222929117686438</v>
      </c>
      <c r="I3433">
        <v>0.25749895697180802</v>
      </c>
      <c r="J3433">
        <v>0.150420720295387</v>
      </c>
      <c r="K3433">
        <v>0.186358533656519</v>
      </c>
      <c r="L3433">
        <v>1039.71698515395</v>
      </c>
      <c r="M3433">
        <v>19.629710147272899</v>
      </c>
      <c r="N3433">
        <v>54.170792237085202</v>
      </c>
      <c r="O3433">
        <v>52.425992740711202</v>
      </c>
      <c r="P3433">
        <v>-7.7057977142292705E-2</v>
      </c>
      <c r="Q3433">
        <v>0.17681942784569199</v>
      </c>
      <c r="R3433">
        <v>0.98348241181513296</v>
      </c>
      <c r="S3433" t="s">
        <v>7265</v>
      </c>
      <c r="T3433" t="s">
        <v>7662</v>
      </c>
      <c r="U3433" t="s">
        <v>7662</v>
      </c>
      <c r="V3433" t="s">
        <v>7662</v>
      </c>
      <c r="W3433">
        <v>1</v>
      </c>
      <c r="X3433" t="s">
        <v>11095</v>
      </c>
      <c r="Y3433">
        <v>0.54430258378153595</v>
      </c>
      <c r="Z3433" t="str">
        <f>HYPERLINK("Melting_Curves/meltCurve_tr_E9PGW7_E9PGW7_HUMAN_.pdf", "Melting_Curves/meltCurve_tr_E9PGW7_E9PGW7_HUMAN_.pdf")</f>
        <v>Melting_Curves/meltCurve_tr_E9PGW7_E9PGW7_HUMAN_.pdf</v>
      </c>
      <c r="AA3433" t="s">
        <v>14876</v>
      </c>
      <c r="AB3433" t="s">
        <v>18666</v>
      </c>
    </row>
    <row r="3434" spans="1:28" x14ac:dyDescent="0.25">
      <c r="A3434" t="s">
        <v>3438</v>
      </c>
      <c r="B3434">
        <v>0.98876768158843997</v>
      </c>
      <c r="C3434">
        <v>0.907483717887693</v>
      </c>
      <c r="D3434">
        <v>1.0330142918499099</v>
      </c>
      <c r="E3434">
        <v>0.84920422506856597</v>
      </c>
      <c r="F3434">
        <v>0.37790580324705703</v>
      </c>
      <c r="G3434">
        <v>0.14041492921896301</v>
      </c>
      <c r="H3434">
        <v>8.2357821242460105E-2</v>
      </c>
      <c r="I3434">
        <v>8.5871184919030397E-2</v>
      </c>
      <c r="J3434">
        <v>8.9604510478798499E-2</v>
      </c>
      <c r="K3434">
        <v>6.0955244279941298E-2</v>
      </c>
      <c r="L3434">
        <v>2045.24412898235</v>
      </c>
      <c r="M3434">
        <v>39.307443235857399</v>
      </c>
      <c r="N3434">
        <v>52.277999182944697</v>
      </c>
      <c r="O3434">
        <v>51.897862908703097</v>
      </c>
      <c r="P3434">
        <v>-0.17336183256499799</v>
      </c>
      <c r="Q3434">
        <v>8.4439329445842606E-2</v>
      </c>
      <c r="R3434">
        <v>0.99301590149844499</v>
      </c>
      <c r="S3434" t="s">
        <v>7266</v>
      </c>
      <c r="T3434" t="s">
        <v>7662</v>
      </c>
      <c r="U3434" t="s">
        <v>7662</v>
      </c>
      <c r="V3434" t="s">
        <v>7662</v>
      </c>
      <c r="W3434">
        <v>11</v>
      </c>
      <c r="X3434" t="s">
        <v>11096</v>
      </c>
      <c r="Y3434">
        <v>0.45504853629438169</v>
      </c>
      <c r="Z3434" t="str">
        <f>HYPERLINK("Melting_Curves/meltCurve_tr_E9PH29_E9PH29_HUMAN_.pdf", "Melting_Curves/meltCurve_tr_E9PH29_E9PH29_HUMAN_.pdf")</f>
        <v>Melting_Curves/meltCurve_tr_E9PH29_E9PH29_HUMAN_.pdf</v>
      </c>
      <c r="AA3434" t="s">
        <v>14877</v>
      </c>
      <c r="AB3434" t="s">
        <v>18667</v>
      </c>
    </row>
    <row r="3435" spans="1:28" x14ac:dyDescent="0.25">
      <c r="A3435" t="s">
        <v>3439</v>
      </c>
      <c r="B3435">
        <v>0.98876768158843997</v>
      </c>
      <c r="C3435">
        <v>0.96672677447940203</v>
      </c>
      <c r="D3435">
        <v>0.89876065763667501</v>
      </c>
      <c r="E3435">
        <v>0.82352669848164495</v>
      </c>
      <c r="F3435">
        <v>0.73518418687647802</v>
      </c>
      <c r="G3435">
        <v>0.36898207946342199</v>
      </c>
      <c r="H3435">
        <v>0.20474809081317</v>
      </c>
      <c r="I3435">
        <v>0.213940468602519</v>
      </c>
      <c r="J3435">
        <v>0.186494186906978</v>
      </c>
      <c r="K3435">
        <v>0.19377853620739099</v>
      </c>
      <c r="L3435">
        <v>1040.6563620089</v>
      </c>
      <c r="M3435">
        <v>19.203902068451299</v>
      </c>
      <c r="N3435">
        <v>55.299271486717998</v>
      </c>
      <c r="O3435">
        <v>53.612489173338801</v>
      </c>
      <c r="P3435">
        <v>-7.5236322549982207E-2</v>
      </c>
      <c r="Q3435">
        <v>0.159868164052652</v>
      </c>
      <c r="R3435">
        <v>0.986262465320905</v>
      </c>
      <c r="S3435" t="s">
        <v>7267</v>
      </c>
      <c r="T3435" t="s">
        <v>7662</v>
      </c>
      <c r="U3435" t="s">
        <v>7662</v>
      </c>
      <c r="V3435" t="s">
        <v>7662</v>
      </c>
      <c r="W3435">
        <v>2</v>
      </c>
      <c r="X3435" t="s">
        <v>11097</v>
      </c>
      <c r="Y3435">
        <v>0.56937650858257394</v>
      </c>
      <c r="Z3435" t="str">
        <f>HYPERLINK("Melting_Curves/meltCurve_tr_E9PHK0_E9PHK0_HUMAN_.pdf", "Melting_Curves/meltCurve_tr_E9PHK0_E9PHK0_HUMAN_.pdf")</f>
        <v>Melting_Curves/meltCurve_tr_E9PHK0_E9PHK0_HUMAN_.pdf</v>
      </c>
      <c r="AA3435" t="s">
        <v>14878</v>
      </c>
      <c r="AB3435" t="s">
        <v>18668</v>
      </c>
    </row>
    <row r="3436" spans="1:28" x14ac:dyDescent="0.25">
      <c r="A3436" t="s">
        <v>3440</v>
      </c>
      <c r="B3436">
        <v>0.98876768158843997</v>
      </c>
      <c r="C3436">
        <v>0.83388981561035402</v>
      </c>
      <c r="D3436">
        <v>0.75577039098582199</v>
      </c>
      <c r="E3436">
        <v>0.36379328625575702</v>
      </c>
      <c r="F3436">
        <v>0.10527831680015599</v>
      </c>
      <c r="G3436">
        <v>5.7254448040379297E-2</v>
      </c>
      <c r="H3436">
        <v>3.65090428971592E-2</v>
      </c>
      <c r="I3436">
        <v>3.82813611506038E-2</v>
      </c>
      <c r="J3436">
        <v>4.2007409548260599E-2</v>
      </c>
      <c r="K3436">
        <v>4.8976557080776702E-2</v>
      </c>
      <c r="L3436">
        <v>954.07581186005598</v>
      </c>
      <c r="M3436">
        <v>19.8361033699716</v>
      </c>
      <c r="N3436">
        <v>48.226467010373199</v>
      </c>
      <c r="O3436">
        <v>47.617110816753403</v>
      </c>
      <c r="P3436">
        <v>-0.10146556307197099</v>
      </c>
      <c r="Q3436">
        <v>2.5749280425518599E-2</v>
      </c>
      <c r="R3436">
        <v>0.99013994623339496</v>
      </c>
      <c r="S3436" t="s">
        <v>7268</v>
      </c>
      <c r="T3436" t="s">
        <v>7662</v>
      </c>
      <c r="U3436" t="s">
        <v>7662</v>
      </c>
      <c r="V3436" t="s">
        <v>7662</v>
      </c>
      <c r="W3436">
        <v>9</v>
      </c>
      <c r="X3436" t="s">
        <v>11098</v>
      </c>
      <c r="Y3436">
        <v>0.30279073618865737</v>
      </c>
      <c r="Z3436" t="str">
        <f>HYPERLINK("Melting_Curves/meltCurve_tr_E9PHM2_E9PHM2_HUMAN_.pdf", "Melting_Curves/meltCurve_tr_E9PHM2_E9PHM2_HUMAN_.pdf")</f>
        <v>Melting_Curves/meltCurve_tr_E9PHM2_E9PHM2_HUMAN_.pdf</v>
      </c>
      <c r="AA3436" t="s">
        <v>14879</v>
      </c>
      <c r="AB3436" t="s">
        <v>18669</v>
      </c>
    </row>
    <row r="3437" spans="1:28" x14ac:dyDescent="0.25">
      <c r="A3437" t="s">
        <v>3441</v>
      </c>
      <c r="B3437">
        <v>0.98876768158843997</v>
      </c>
      <c r="C3437">
        <v>1.3440985990379799</v>
      </c>
      <c r="D3437">
        <v>1.02322638428616</v>
      </c>
      <c r="E3437">
        <v>0.79028070765884995</v>
      </c>
      <c r="F3437">
        <v>0.96637167631432896</v>
      </c>
      <c r="G3437">
        <v>0.66640605916473294</v>
      </c>
      <c r="H3437">
        <v>0.58150034126842198</v>
      </c>
      <c r="I3437">
        <v>0.40436417514828399</v>
      </c>
      <c r="J3437">
        <v>0.42107157150005498</v>
      </c>
      <c r="K3437">
        <v>0.60977584384461803</v>
      </c>
      <c r="L3437">
        <v>1290.7317173807601</v>
      </c>
      <c r="M3437">
        <v>23.0877611449767</v>
      </c>
      <c r="N3437">
        <v>64.447240370128299</v>
      </c>
      <c r="O3437">
        <v>55.491107280816003</v>
      </c>
      <c r="P3437">
        <v>-5.4447242018934201E-2</v>
      </c>
      <c r="Q3437">
        <v>0.47655695748677102</v>
      </c>
      <c r="R3437">
        <v>0.76437404487379101</v>
      </c>
      <c r="S3437" t="s">
        <v>7269</v>
      </c>
      <c r="T3437" t="s">
        <v>7662</v>
      </c>
      <c r="U3437" t="s">
        <v>7662</v>
      </c>
      <c r="V3437" t="s">
        <v>7662</v>
      </c>
      <c r="W3437">
        <v>2</v>
      </c>
      <c r="X3437" t="s">
        <v>11099</v>
      </c>
      <c r="Y3437">
        <v>0.75955129827991719</v>
      </c>
      <c r="Z3437" t="str">
        <f>HYPERLINK("Melting_Curves/meltCurve_tr_E9PHV4_E9PHV4_HUMAN_.pdf", "Melting_Curves/meltCurve_tr_E9PHV4_E9PHV4_HUMAN_.pdf")</f>
        <v>Melting_Curves/meltCurve_tr_E9PHV4_E9PHV4_HUMAN_.pdf</v>
      </c>
      <c r="AA3437" t="s">
        <v>14880</v>
      </c>
      <c r="AB3437" t="s">
        <v>18670</v>
      </c>
    </row>
    <row r="3438" spans="1:28" x14ac:dyDescent="0.25">
      <c r="A3438" t="s">
        <v>3442</v>
      </c>
      <c r="B3438">
        <v>0.98876768158843997</v>
      </c>
      <c r="C3438">
        <v>1.0452482024466401</v>
      </c>
      <c r="D3438">
        <v>0.95178762195840305</v>
      </c>
      <c r="E3438">
        <v>0.72273572797316199</v>
      </c>
      <c r="F3438">
        <v>0.66321655261233803</v>
      </c>
      <c r="G3438">
        <v>0.40079257138979302</v>
      </c>
      <c r="H3438">
        <v>0.30862435541574001</v>
      </c>
      <c r="I3438">
        <v>0.33578416657544402</v>
      </c>
      <c r="J3438">
        <v>0.41676664235781702</v>
      </c>
      <c r="K3438">
        <v>0.44529151051417198</v>
      </c>
      <c r="L3438">
        <v>1100.4784801903299</v>
      </c>
      <c r="M3438">
        <v>21.412669090867599</v>
      </c>
      <c r="N3438">
        <v>54.8104993115723</v>
      </c>
      <c r="O3438">
        <v>50.951854286263398</v>
      </c>
      <c r="P3438">
        <v>-6.6360280756589604E-2</v>
      </c>
      <c r="Q3438">
        <v>0.36839351289128303</v>
      </c>
      <c r="R3438">
        <v>0.96056002923633099</v>
      </c>
      <c r="S3438" t="s">
        <v>7270</v>
      </c>
      <c r="T3438" t="s">
        <v>7662</v>
      </c>
      <c r="U3438" t="s">
        <v>7662</v>
      </c>
      <c r="V3438" t="s">
        <v>7662</v>
      </c>
      <c r="W3438">
        <v>9</v>
      </c>
      <c r="X3438" t="s">
        <v>11100</v>
      </c>
      <c r="Y3438">
        <v>0.61598709854103029</v>
      </c>
      <c r="Z3438" t="str">
        <f>HYPERLINK("Melting_Curves/meltCurve_tr_E9PHV5_E9PHV5_HUMAN_.pdf", "Melting_Curves/meltCurve_tr_E9PHV5_E9PHV5_HUMAN_.pdf")</f>
        <v>Melting_Curves/meltCurve_tr_E9PHV5_E9PHV5_HUMAN_.pdf</v>
      </c>
      <c r="AA3438" t="s">
        <v>14881</v>
      </c>
      <c r="AB3438" t="s">
        <v>18671</v>
      </c>
    </row>
    <row r="3439" spans="1:28" x14ac:dyDescent="0.25">
      <c r="A3439" t="s">
        <v>3443</v>
      </c>
      <c r="B3439">
        <v>0.98876768158843997</v>
      </c>
      <c r="C3439">
        <v>0.73765521757594499</v>
      </c>
      <c r="D3439">
        <v>1.0338607722797</v>
      </c>
      <c r="E3439">
        <v>0.34330396658255102</v>
      </c>
      <c r="F3439">
        <v>5.61241661733409E-2</v>
      </c>
      <c r="G3439">
        <v>2.04572964831236E-2</v>
      </c>
      <c r="H3439">
        <v>9.2752887954102303E-3</v>
      </c>
      <c r="I3439">
        <v>6.07359365411327E-3</v>
      </c>
      <c r="J3439">
        <v>6.2755850254075096E-3</v>
      </c>
      <c r="K3439">
        <v>5.37583683464825E-3</v>
      </c>
      <c r="L3439">
        <v>3328.8388712251199</v>
      </c>
      <c r="M3439">
        <v>67.258562063432606</v>
      </c>
      <c r="N3439">
        <v>49.5156528685608</v>
      </c>
      <c r="O3439">
        <v>49.449473573329101</v>
      </c>
      <c r="P3439">
        <v>-0.33492139955429001</v>
      </c>
      <c r="Q3439">
        <v>1.5044128990504099E-2</v>
      </c>
      <c r="R3439">
        <v>0.95740401002713904</v>
      </c>
      <c r="S3439" t="s">
        <v>7271</v>
      </c>
      <c r="T3439" t="s">
        <v>7662</v>
      </c>
      <c r="U3439" t="s">
        <v>7662</v>
      </c>
      <c r="V3439" t="s">
        <v>7662</v>
      </c>
      <c r="W3439">
        <v>1</v>
      </c>
      <c r="X3439" t="s">
        <v>11101</v>
      </c>
      <c r="Y3439">
        <v>0.32790768142495769</v>
      </c>
      <c r="Z3439" t="str">
        <f>HYPERLINK("Melting_Curves/meltCurve_tr_E9PIB9_E9PIB9_HUMAN_.pdf", "Melting_Curves/meltCurve_tr_E9PIB9_E9PIB9_HUMAN_.pdf")</f>
        <v>Melting_Curves/meltCurve_tr_E9PIB9_E9PIB9_HUMAN_.pdf</v>
      </c>
      <c r="AA3439" t="s">
        <v>14882</v>
      </c>
      <c r="AB3439" t="s">
        <v>18672</v>
      </c>
    </row>
    <row r="3440" spans="1:28" x14ac:dyDescent="0.25">
      <c r="A3440" t="s">
        <v>3444</v>
      </c>
      <c r="B3440">
        <v>0.98876768158843997</v>
      </c>
      <c r="C3440">
        <v>0.98084515093586</v>
      </c>
      <c r="D3440">
        <v>0.65919669106935497</v>
      </c>
      <c r="E3440">
        <v>0.424319564492525</v>
      </c>
      <c r="F3440">
        <v>0.40764258695007499</v>
      </c>
      <c r="G3440">
        <v>0.24281333807056199</v>
      </c>
      <c r="H3440">
        <v>0.154999184277304</v>
      </c>
      <c r="I3440">
        <v>0.132338025638818</v>
      </c>
      <c r="J3440">
        <v>0.14137323020879999</v>
      </c>
      <c r="K3440">
        <v>0.15250096693079801</v>
      </c>
      <c r="L3440">
        <v>713.42334164430997</v>
      </c>
      <c r="M3440">
        <v>14.72755760515</v>
      </c>
      <c r="N3440">
        <v>49.505966202539497</v>
      </c>
      <c r="O3440">
        <v>47.5745725867232</v>
      </c>
      <c r="P3440">
        <v>-6.6895119441129303E-2</v>
      </c>
      <c r="Q3440">
        <v>0.135725990092954</v>
      </c>
      <c r="R3440">
        <v>0.97595238900625902</v>
      </c>
      <c r="S3440" t="s">
        <v>7272</v>
      </c>
      <c r="T3440" t="s">
        <v>7662</v>
      </c>
      <c r="U3440" t="s">
        <v>7662</v>
      </c>
      <c r="V3440" t="s">
        <v>7662</v>
      </c>
      <c r="W3440">
        <v>3</v>
      </c>
      <c r="X3440" t="s">
        <v>11102</v>
      </c>
      <c r="Y3440">
        <v>0.40150809837422441</v>
      </c>
      <c r="Z3440" t="str">
        <f>HYPERLINK("Melting_Curves/meltCurve_tr_E9PIC2_E9PIC2_HUMAN_.pdf", "Melting_Curves/meltCurve_tr_E9PIC2_E9PIC2_HUMAN_.pdf")</f>
        <v>Melting_Curves/meltCurve_tr_E9PIC2_E9PIC2_HUMAN_.pdf</v>
      </c>
      <c r="AA3440" t="s">
        <v>14883</v>
      </c>
      <c r="AB3440" t="s">
        <v>18673</v>
      </c>
    </row>
    <row r="3441" spans="1:28" x14ac:dyDescent="0.25">
      <c r="A3441" t="s">
        <v>3445</v>
      </c>
      <c r="B3441">
        <v>0.98876768158843997</v>
      </c>
      <c r="C3441">
        <v>0.79766121155991498</v>
      </c>
      <c r="D3441">
        <v>1.0200810067835699</v>
      </c>
      <c r="E3441">
        <v>0.96456640840339702</v>
      </c>
      <c r="F3441">
        <v>0.59439167576118301</v>
      </c>
      <c r="G3441">
        <v>0.44478237365442502</v>
      </c>
      <c r="H3441">
        <v>0.30066650136673501</v>
      </c>
      <c r="I3441">
        <v>9.0261400589727106E-2</v>
      </c>
      <c r="J3441">
        <v>5.73679507200998E-2</v>
      </c>
      <c r="K3441">
        <v>5.0803961457917601E-2</v>
      </c>
      <c r="L3441">
        <v>833.24025438902402</v>
      </c>
      <c r="M3441">
        <v>14.880275373965301</v>
      </c>
      <c r="N3441">
        <v>55.996298590470097</v>
      </c>
      <c r="O3441">
        <v>55.014167819266802</v>
      </c>
      <c r="P3441">
        <v>-6.7627258673136001E-2</v>
      </c>
      <c r="Q3441">
        <v>0</v>
      </c>
      <c r="R3441">
        <v>0.95024561410053998</v>
      </c>
      <c r="S3441" t="s">
        <v>7273</v>
      </c>
      <c r="T3441" t="s">
        <v>7662</v>
      </c>
      <c r="U3441" t="s">
        <v>7662</v>
      </c>
      <c r="V3441" t="s">
        <v>7662</v>
      </c>
      <c r="W3441">
        <v>14</v>
      </c>
      <c r="X3441" t="s">
        <v>11103</v>
      </c>
      <c r="Y3441">
        <v>0.55107832127426637</v>
      </c>
      <c r="Z3441" t="str">
        <f>HYPERLINK("Melting_Curves/meltCurve_tr_E9PIR7_E9PIR7_HUMAN_.pdf", "Melting_Curves/meltCurve_tr_E9PIR7_E9PIR7_HUMAN_.pdf")</f>
        <v>Melting_Curves/meltCurve_tr_E9PIR7_E9PIR7_HUMAN_.pdf</v>
      </c>
      <c r="AA3441" t="s">
        <v>14884</v>
      </c>
      <c r="AB3441" t="s">
        <v>18674</v>
      </c>
    </row>
    <row r="3442" spans="1:28" x14ac:dyDescent="0.25">
      <c r="A3442" t="s">
        <v>3446</v>
      </c>
      <c r="B3442">
        <v>0.98876768158843997</v>
      </c>
      <c r="C3442">
        <v>1.31982310380461</v>
      </c>
      <c r="D3442">
        <v>0.91802378155786502</v>
      </c>
      <c r="E3442">
        <v>0.86051330201593201</v>
      </c>
      <c r="F3442">
        <v>1.1405218169123501</v>
      </c>
      <c r="G3442">
        <v>0.76345528430815102</v>
      </c>
      <c r="H3442">
        <v>0.60636133162280703</v>
      </c>
      <c r="I3442">
        <v>0.62686166991080206</v>
      </c>
      <c r="J3442">
        <v>0.92586579811407099</v>
      </c>
      <c r="K3442">
        <v>0.89925881087911197</v>
      </c>
      <c r="L3442">
        <v>13866.330558637699</v>
      </c>
      <c r="M3442">
        <v>250</v>
      </c>
      <c r="O3442">
        <v>55.461768360496798</v>
      </c>
      <c r="P3442">
        <v>-0.26560533583516599</v>
      </c>
      <c r="Q3442">
        <v>0.76430491551066504</v>
      </c>
      <c r="R3442">
        <v>0.44193144808576201</v>
      </c>
      <c r="S3442" t="s">
        <v>7274</v>
      </c>
      <c r="T3442" t="s">
        <v>7662</v>
      </c>
      <c r="U3442" t="s">
        <v>7662</v>
      </c>
      <c r="V3442" t="s">
        <v>7662</v>
      </c>
      <c r="W3442">
        <v>9</v>
      </c>
      <c r="X3442" t="s">
        <v>11104</v>
      </c>
      <c r="Y3442">
        <v>0.88583120594430065</v>
      </c>
      <c r="Z3442" t="str">
        <f>HYPERLINK("Melting_Curves/meltCurve_tr_E9PJ81_E9PJ81_HUMAN_.pdf", "Melting_Curves/meltCurve_tr_E9PJ81_E9PJ81_HUMAN_.pdf")</f>
        <v>Melting_Curves/meltCurve_tr_E9PJ81_E9PJ81_HUMAN_.pdf</v>
      </c>
      <c r="AA3442" t="s">
        <v>14885</v>
      </c>
      <c r="AB3442" t="s">
        <v>18675</v>
      </c>
    </row>
    <row r="3443" spans="1:28" x14ac:dyDescent="0.25">
      <c r="A3443" t="s">
        <v>3447</v>
      </c>
      <c r="B3443">
        <v>0.98876768158843997</v>
      </c>
      <c r="C3443">
        <v>1.0964447844029901</v>
      </c>
      <c r="D3443">
        <v>0.93458747370227602</v>
      </c>
      <c r="E3443">
        <v>0.82523046620819396</v>
      </c>
      <c r="F3443">
        <v>0.52355219413281096</v>
      </c>
      <c r="G3443">
        <v>0.17949334785843499</v>
      </c>
      <c r="H3443">
        <v>0.102079578516712</v>
      </c>
      <c r="I3443">
        <v>8.3217662268982195E-2</v>
      </c>
      <c r="J3443">
        <v>0.14049428598663999</v>
      </c>
      <c r="K3443">
        <v>0.12926860894148801</v>
      </c>
      <c r="L3443">
        <v>1489.6237809335901</v>
      </c>
      <c r="M3443">
        <v>28.310311667891</v>
      </c>
      <c r="N3443">
        <v>53.060253729872798</v>
      </c>
      <c r="O3443">
        <v>52.357273587496003</v>
      </c>
      <c r="P3443">
        <v>-0.12096489994156499</v>
      </c>
      <c r="Q3443">
        <v>0.105154340981141</v>
      </c>
      <c r="R3443">
        <v>0.99010025655335199</v>
      </c>
      <c r="S3443" t="s">
        <v>7275</v>
      </c>
      <c r="T3443" t="s">
        <v>7662</v>
      </c>
      <c r="U3443" t="s">
        <v>7662</v>
      </c>
      <c r="V3443" t="s">
        <v>7662</v>
      </c>
      <c r="W3443">
        <v>3</v>
      </c>
      <c r="X3443" t="s">
        <v>11105</v>
      </c>
      <c r="Y3443">
        <v>0.48798357174253421</v>
      </c>
      <c r="Z3443" t="str">
        <f>HYPERLINK("Melting_Curves/meltCurve_tr_E9PJD7_E9PJD7_HUMAN_.pdf", "Melting_Curves/meltCurve_tr_E9PJD7_E9PJD7_HUMAN_.pdf")</f>
        <v>Melting_Curves/meltCurve_tr_E9PJD7_E9PJD7_HUMAN_.pdf</v>
      </c>
      <c r="AA3443" t="s">
        <v>14886</v>
      </c>
      <c r="AB3443" t="s">
        <v>18676</v>
      </c>
    </row>
    <row r="3444" spans="1:28" x14ac:dyDescent="0.25">
      <c r="A3444" t="s">
        <v>3448</v>
      </c>
      <c r="B3444">
        <v>0.98876768158843997</v>
      </c>
      <c r="C3444">
        <v>1.0699095322933401</v>
      </c>
      <c r="D3444">
        <v>0.84344435046156596</v>
      </c>
      <c r="E3444">
        <v>0.54946615742671001</v>
      </c>
      <c r="F3444">
        <v>0.60866554878815304</v>
      </c>
      <c r="G3444">
        <v>0.39881764869894598</v>
      </c>
      <c r="H3444">
        <v>0.31702679519170701</v>
      </c>
      <c r="I3444">
        <v>0.39432801064857698</v>
      </c>
      <c r="J3444">
        <v>0.46967036665039802</v>
      </c>
      <c r="K3444">
        <v>0.53428260435042096</v>
      </c>
      <c r="L3444">
        <v>1207.7939142108801</v>
      </c>
      <c r="M3444">
        <v>25.107941942045901</v>
      </c>
      <c r="N3444">
        <v>52.389309568432601</v>
      </c>
      <c r="O3444">
        <v>47.802028430301803</v>
      </c>
      <c r="P3444">
        <v>-7.4077750636467807E-2</v>
      </c>
      <c r="Q3444">
        <v>0.435872593199509</v>
      </c>
      <c r="R3444">
        <v>0.90872242929963198</v>
      </c>
      <c r="S3444" t="s">
        <v>7276</v>
      </c>
      <c r="T3444" t="s">
        <v>7662</v>
      </c>
      <c r="U3444" t="s">
        <v>7662</v>
      </c>
      <c r="V3444" t="s">
        <v>7662</v>
      </c>
      <c r="W3444">
        <v>1</v>
      </c>
      <c r="X3444" t="s">
        <v>11106</v>
      </c>
      <c r="Y3444">
        <v>0.59320328648484921</v>
      </c>
      <c r="Z3444" t="str">
        <f>HYPERLINK("Melting_Curves/meltCurve_tr_E9PJN7_E9PJN7_HUMAN_.pdf", "Melting_Curves/meltCurve_tr_E9PJN7_E9PJN7_HUMAN_.pdf")</f>
        <v>Melting_Curves/meltCurve_tr_E9PJN7_E9PJN7_HUMAN_.pdf</v>
      </c>
      <c r="AA3444" t="s">
        <v>14887</v>
      </c>
      <c r="AB3444" t="s">
        <v>18677</v>
      </c>
    </row>
    <row r="3445" spans="1:28" x14ac:dyDescent="0.25">
      <c r="A3445" t="s">
        <v>3449</v>
      </c>
      <c r="B3445">
        <v>0.98876768158843997</v>
      </c>
      <c r="C3445">
        <v>0.927752617395734</v>
      </c>
      <c r="D3445">
        <v>1.1193644230852799</v>
      </c>
      <c r="E3445">
        <v>0.76277371087452694</v>
      </c>
      <c r="F3445">
        <v>0.43754268277425901</v>
      </c>
      <c r="G3445">
        <v>0.34243188503476102</v>
      </c>
      <c r="H3445">
        <v>0.23552121791177699</v>
      </c>
      <c r="I3445">
        <v>0.23644567683454601</v>
      </c>
      <c r="J3445">
        <v>0.28616294306296503</v>
      </c>
      <c r="K3445">
        <v>0.30657853487626702</v>
      </c>
      <c r="L3445">
        <v>1900.6830469818799</v>
      </c>
      <c r="M3445">
        <v>37.178014326463099</v>
      </c>
      <c r="N3445">
        <v>52.265628786948</v>
      </c>
      <c r="O3445">
        <v>50.976605081654697</v>
      </c>
      <c r="P3445">
        <v>-0.13163139674513399</v>
      </c>
      <c r="Q3445">
        <v>0.27805684293928001</v>
      </c>
      <c r="R3445">
        <v>0.97256663810016897</v>
      </c>
      <c r="S3445" t="s">
        <v>7277</v>
      </c>
      <c r="T3445" t="s">
        <v>7662</v>
      </c>
      <c r="U3445" t="s">
        <v>7662</v>
      </c>
      <c r="V3445" t="s">
        <v>7662</v>
      </c>
      <c r="W3445">
        <v>11</v>
      </c>
      <c r="X3445" t="s">
        <v>11107</v>
      </c>
      <c r="Y3445">
        <v>0.54870552844937714</v>
      </c>
      <c r="Z3445" t="str">
        <f>HYPERLINK("Melting_Curves/meltCurve_tr_E9PK01_E9PK01_HUMAN_.pdf", "Melting_Curves/meltCurve_tr_E9PK01_E9PK01_HUMAN_.pdf")</f>
        <v>Melting_Curves/meltCurve_tr_E9PK01_E9PK01_HUMAN_.pdf</v>
      </c>
      <c r="AA3445" t="s">
        <v>14888</v>
      </c>
      <c r="AB3445" t="s">
        <v>18678</v>
      </c>
    </row>
    <row r="3446" spans="1:28" x14ac:dyDescent="0.25">
      <c r="A3446" t="s">
        <v>3450</v>
      </c>
      <c r="B3446">
        <v>0.98876768158843997</v>
      </c>
      <c r="C3446">
        <v>1.16858451999499</v>
      </c>
      <c r="D3446">
        <v>0.86692225072339502</v>
      </c>
      <c r="E3446">
        <v>0.512163923098926</v>
      </c>
      <c r="F3446">
        <v>0.28338644792955803</v>
      </c>
      <c r="G3446">
        <v>0.144063453074527</v>
      </c>
      <c r="H3446">
        <v>0.10872357967439</v>
      </c>
      <c r="I3446">
        <v>9.9896653497263996E-2</v>
      </c>
      <c r="J3446">
        <v>0.17816337873249899</v>
      </c>
      <c r="K3446">
        <v>0.16649591624481</v>
      </c>
      <c r="L3446">
        <v>1361.40624706829</v>
      </c>
      <c r="M3446">
        <v>27.475034433518999</v>
      </c>
      <c r="N3446">
        <v>50.133209943389197</v>
      </c>
      <c r="O3446">
        <v>49.2903916860135</v>
      </c>
      <c r="P3446">
        <v>-0.120310587519967</v>
      </c>
      <c r="Q3446">
        <v>0.13665593174038801</v>
      </c>
      <c r="R3446">
        <v>0.97313886285849904</v>
      </c>
      <c r="S3446" t="s">
        <v>7278</v>
      </c>
      <c r="T3446" t="s">
        <v>7662</v>
      </c>
      <c r="U3446" t="s">
        <v>7662</v>
      </c>
      <c r="V3446" t="s">
        <v>7662</v>
      </c>
      <c r="W3446">
        <v>2</v>
      </c>
      <c r="X3446" t="s">
        <v>11108</v>
      </c>
      <c r="Y3446">
        <v>0.41784701324534052</v>
      </c>
      <c r="Z3446" t="str">
        <f>HYPERLINK("Melting_Curves/meltCurve_tr_E9PK26_E9PK26_HUMAN_.pdf", "Melting_Curves/meltCurve_tr_E9PK26_E9PK26_HUMAN_.pdf")</f>
        <v>Melting_Curves/meltCurve_tr_E9PK26_E9PK26_HUMAN_.pdf</v>
      </c>
      <c r="AA3446" t="s">
        <v>14889</v>
      </c>
      <c r="AB3446" t="s">
        <v>18679</v>
      </c>
    </row>
    <row r="3447" spans="1:28" x14ac:dyDescent="0.25">
      <c r="A3447" t="s">
        <v>3451</v>
      </c>
      <c r="B3447">
        <v>0.98876768158843997</v>
      </c>
      <c r="C3447">
        <v>1.0348617230391699</v>
      </c>
      <c r="D3447">
        <v>0.69930259354160296</v>
      </c>
      <c r="E3447">
        <v>0.45694550284666602</v>
      </c>
      <c r="F3447">
        <v>0.357604698814384</v>
      </c>
      <c r="G3447">
        <v>0.23113402573896799</v>
      </c>
      <c r="H3447">
        <v>0.16504188474916201</v>
      </c>
      <c r="I3447">
        <v>0.16697774738360699</v>
      </c>
      <c r="J3447">
        <v>0.22423951917381199</v>
      </c>
      <c r="K3447">
        <v>0.19941083994016701</v>
      </c>
      <c r="L3447">
        <v>925.43105261434096</v>
      </c>
      <c r="M3447">
        <v>19.219159751588698</v>
      </c>
      <c r="N3447">
        <v>49.384570478304099</v>
      </c>
      <c r="O3447">
        <v>47.6392673061548</v>
      </c>
      <c r="P3447">
        <v>-8.1640119843060105E-2</v>
      </c>
      <c r="Q3447">
        <v>0.19057287117487101</v>
      </c>
      <c r="R3447">
        <v>0.97928695106890695</v>
      </c>
      <c r="S3447" t="s">
        <v>7279</v>
      </c>
      <c r="T3447" t="s">
        <v>7662</v>
      </c>
      <c r="U3447" t="s">
        <v>7662</v>
      </c>
      <c r="V3447" t="s">
        <v>7662</v>
      </c>
      <c r="W3447">
        <v>6</v>
      </c>
      <c r="X3447" t="s">
        <v>11109</v>
      </c>
      <c r="Y3447">
        <v>0.42297781241624188</v>
      </c>
      <c r="Z3447" t="str">
        <f>HYPERLINK("Melting_Curves/meltCurve_tr_E9PK67_E9PK67_HUMAN_.pdf", "Melting_Curves/meltCurve_tr_E9PK67_E9PK67_HUMAN_.pdf")</f>
        <v>Melting_Curves/meltCurve_tr_E9PK67_E9PK67_HUMAN_.pdf</v>
      </c>
      <c r="AA3447" t="s">
        <v>14890</v>
      </c>
      <c r="AB3447" t="s">
        <v>18680</v>
      </c>
    </row>
    <row r="3448" spans="1:28" x14ac:dyDescent="0.25">
      <c r="A3448" t="s">
        <v>3452</v>
      </c>
      <c r="B3448">
        <v>0.98876768158843997</v>
      </c>
      <c r="C3448">
        <v>1.2077899940124801</v>
      </c>
      <c r="D3448">
        <v>0.98711226385116002</v>
      </c>
      <c r="E3448">
        <v>0.77848352162079804</v>
      </c>
      <c r="F3448">
        <v>0.71804956254465302</v>
      </c>
      <c r="G3448">
        <v>0.33611586134993299</v>
      </c>
      <c r="H3448">
        <v>0.19651068346897799</v>
      </c>
      <c r="I3448">
        <v>0.178081353045629</v>
      </c>
      <c r="J3448">
        <v>9.7336574161196204E-2</v>
      </c>
      <c r="K3448">
        <v>9.5898823749259302E-2</v>
      </c>
      <c r="L3448">
        <v>1019.4406370097699</v>
      </c>
      <c r="M3448">
        <v>18.7135393552674</v>
      </c>
      <c r="N3448">
        <v>55.050016749184302</v>
      </c>
      <c r="O3448">
        <v>53.865455411075203</v>
      </c>
      <c r="P3448">
        <v>-7.9159607232024504E-2</v>
      </c>
      <c r="Q3448">
        <v>8.8619666617098206E-2</v>
      </c>
      <c r="R3448">
        <v>0.964174871780061</v>
      </c>
      <c r="S3448" t="s">
        <v>7280</v>
      </c>
      <c r="T3448" t="s">
        <v>7662</v>
      </c>
      <c r="U3448" t="s">
        <v>7662</v>
      </c>
      <c r="V3448" t="s">
        <v>7662</v>
      </c>
      <c r="W3448">
        <v>2</v>
      </c>
      <c r="X3448" t="s">
        <v>11110</v>
      </c>
      <c r="Y3448">
        <v>0.54197965640595835</v>
      </c>
      <c r="Z3448" t="str">
        <f>HYPERLINK("Melting_Curves/meltCurve_tr_E9PKB0_E9PKB0_HUMAN_.pdf", "Melting_Curves/meltCurve_tr_E9PKB0_E9PKB0_HUMAN_.pdf")</f>
        <v>Melting_Curves/meltCurve_tr_E9PKB0_E9PKB0_HUMAN_.pdf</v>
      </c>
      <c r="AA3448" t="s">
        <v>14891</v>
      </c>
      <c r="AB3448" t="s">
        <v>18681</v>
      </c>
    </row>
    <row r="3449" spans="1:28" x14ac:dyDescent="0.25">
      <c r="A3449" t="s">
        <v>3453</v>
      </c>
      <c r="B3449">
        <v>0.98876768158843997</v>
      </c>
      <c r="C3449">
        <v>0.98891562792159105</v>
      </c>
      <c r="D3449">
        <v>1.20404899045998</v>
      </c>
      <c r="E3449">
        <v>1.0629756123165199</v>
      </c>
      <c r="F3449">
        <v>0.101677449103736</v>
      </c>
      <c r="G3449">
        <v>6.5785816836777394E-2</v>
      </c>
      <c r="H3449">
        <v>2.7216019012676899E-2</v>
      </c>
      <c r="I3449">
        <v>2.2904296308113602E-2</v>
      </c>
      <c r="J3449">
        <v>2.84625866408083E-2</v>
      </c>
      <c r="K3449">
        <v>2.1894820260157499E-2</v>
      </c>
      <c r="L3449">
        <v>13113.540484937999</v>
      </c>
      <c r="M3449">
        <v>250</v>
      </c>
      <c r="N3449">
        <v>52.468605548997097</v>
      </c>
      <c r="O3449">
        <v>52.450781353421299</v>
      </c>
      <c r="P3449">
        <v>-1.1519700596706099</v>
      </c>
      <c r="Q3449">
        <v>3.3251882473172803E-2</v>
      </c>
      <c r="R3449">
        <v>0.98123857163384798</v>
      </c>
      <c r="S3449" t="s">
        <v>7281</v>
      </c>
      <c r="T3449" t="s">
        <v>7662</v>
      </c>
      <c r="U3449" t="s">
        <v>7662</v>
      </c>
      <c r="V3449" t="s">
        <v>7662</v>
      </c>
      <c r="W3449">
        <v>4</v>
      </c>
      <c r="X3449" t="s">
        <v>11111</v>
      </c>
      <c r="Y3449">
        <v>0.43467546468879192</v>
      </c>
      <c r="Z3449" t="str">
        <f>HYPERLINK("Melting_Curves/meltCurve_tr_E9PKF3_E9PKF3_HUMAN_.pdf", "Melting_Curves/meltCurve_tr_E9PKF3_E9PKF3_HUMAN_.pdf")</f>
        <v>Melting_Curves/meltCurve_tr_E9PKF3_E9PKF3_HUMAN_.pdf</v>
      </c>
      <c r="AA3449" t="s">
        <v>12258</v>
      </c>
      <c r="AB3449" t="s">
        <v>18682</v>
      </c>
    </row>
    <row r="3450" spans="1:28" x14ac:dyDescent="0.25">
      <c r="A3450" t="s">
        <v>3454</v>
      </c>
      <c r="B3450">
        <v>0.98876768158843997</v>
      </c>
      <c r="C3450">
        <v>0.86496586086310101</v>
      </c>
      <c r="D3450">
        <v>0.98260024566259396</v>
      </c>
      <c r="E3450">
        <v>0.49356580127279498</v>
      </c>
      <c r="F3450">
        <v>0.158341555608109</v>
      </c>
      <c r="G3450">
        <v>0.107359992854183</v>
      </c>
      <c r="H3450">
        <v>7.1047236726121801E-2</v>
      </c>
      <c r="I3450">
        <v>5.0967794633073001E-2</v>
      </c>
      <c r="J3450">
        <v>0.13990596062157201</v>
      </c>
      <c r="K3450">
        <v>6.2511375594257304E-2</v>
      </c>
      <c r="L3450">
        <v>1988.4286885675101</v>
      </c>
      <c r="M3450">
        <v>39.974044454992097</v>
      </c>
      <c r="N3450">
        <v>49.976243793938799</v>
      </c>
      <c r="O3450">
        <v>49.619000248990197</v>
      </c>
      <c r="P3450">
        <v>-0.18426611652531</v>
      </c>
      <c r="Q3450">
        <v>8.5098316949743402E-2</v>
      </c>
      <c r="R3450">
        <v>0.98403750679629798</v>
      </c>
      <c r="S3450" t="s">
        <v>7282</v>
      </c>
      <c r="T3450" t="s">
        <v>7662</v>
      </c>
      <c r="U3450" t="s">
        <v>7662</v>
      </c>
      <c r="V3450" t="s">
        <v>7662</v>
      </c>
      <c r="W3450">
        <v>6</v>
      </c>
      <c r="X3450" t="s">
        <v>11112</v>
      </c>
      <c r="Y3450">
        <v>0.38537916711719</v>
      </c>
      <c r="Z3450" t="str">
        <f>HYPERLINK("Melting_Curves/meltCurve_tr_E9PKG1_E9PKG1_HUMAN_.pdf", "Melting_Curves/meltCurve_tr_E9PKG1_E9PKG1_HUMAN_.pdf")</f>
        <v>Melting_Curves/meltCurve_tr_E9PKG1_E9PKG1_HUMAN_.pdf</v>
      </c>
      <c r="AA3450" t="s">
        <v>14892</v>
      </c>
      <c r="AB3450" t="s">
        <v>18683</v>
      </c>
    </row>
    <row r="3451" spans="1:28" x14ac:dyDescent="0.25">
      <c r="A3451" t="s">
        <v>3455</v>
      </c>
      <c r="B3451">
        <v>0.98876768158843997</v>
      </c>
      <c r="C3451">
        <v>0.96433826879176998</v>
      </c>
      <c r="D3451">
        <v>1.0673903406081899</v>
      </c>
      <c r="E3451">
        <v>0.801410443246386</v>
      </c>
      <c r="F3451">
        <v>0.51193997163159</v>
      </c>
      <c r="G3451">
        <v>0.243129100727591</v>
      </c>
      <c r="H3451">
        <v>0.13110311021960899</v>
      </c>
      <c r="I3451">
        <v>0.10480961758404</v>
      </c>
      <c r="J3451">
        <v>0.10420886464818301</v>
      </c>
      <c r="K3451">
        <v>6.5832349546394595E-2</v>
      </c>
      <c r="L3451">
        <v>1280.62109271895</v>
      </c>
      <c r="M3451">
        <v>24.254518058494501</v>
      </c>
      <c r="N3451">
        <v>53.239668442723797</v>
      </c>
      <c r="O3451">
        <v>52.4442914574852</v>
      </c>
      <c r="P3451">
        <v>-0.10511303733759</v>
      </c>
      <c r="Q3451">
        <v>9.0891859117431598E-2</v>
      </c>
      <c r="R3451">
        <v>0.99282594961694004</v>
      </c>
      <c r="S3451" t="s">
        <v>7283</v>
      </c>
      <c r="T3451" t="s">
        <v>7662</v>
      </c>
      <c r="U3451" t="s">
        <v>7662</v>
      </c>
      <c r="V3451" t="s">
        <v>7662</v>
      </c>
      <c r="W3451">
        <v>4</v>
      </c>
      <c r="X3451" t="s">
        <v>11113</v>
      </c>
      <c r="Y3451">
        <v>0.4876032854221895</v>
      </c>
      <c r="Z3451" t="str">
        <f>HYPERLINK("Melting_Curves/meltCurve_tr_E9PKS9_E9PKS9_HUMAN_.pdf", "Melting_Curves/meltCurve_tr_E9PKS9_E9PKS9_HUMAN_.pdf")</f>
        <v>Melting_Curves/meltCurve_tr_E9PKS9_E9PKS9_HUMAN_.pdf</v>
      </c>
      <c r="AA3451" t="s">
        <v>14893</v>
      </c>
      <c r="AB3451" t="s">
        <v>18684</v>
      </c>
    </row>
    <row r="3452" spans="1:28" x14ac:dyDescent="0.25">
      <c r="A3452" t="s">
        <v>3456</v>
      </c>
      <c r="B3452">
        <v>0.98876768158843997</v>
      </c>
      <c r="C3452">
        <v>1.07293201334503</v>
      </c>
      <c r="D3452">
        <v>0.86407634583572501</v>
      </c>
      <c r="E3452">
        <v>0.65083592120882405</v>
      </c>
      <c r="F3452">
        <v>0.36372224963921801</v>
      </c>
      <c r="G3452">
        <v>0.15786309899932999</v>
      </c>
      <c r="H3452">
        <v>0.105338918382041</v>
      </c>
      <c r="I3452">
        <v>9.2473782188009002E-2</v>
      </c>
      <c r="J3452">
        <v>0.118002854661286</v>
      </c>
      <c r="K3452">
        <v>0.132948497782613</v>
      </c>
      <c r="L3452">
        <v>1134.9971679791599</v>
      </c>
      <c r="M3452">
        <v>22.323543506229399</v>
      </c>
      <c r="N3452">
        <v>51.361492730178099</v>
      </c>
      <c r="O3452">
        <v>50.440337996851198</v>
      </c>
      <c r="P3452">
        <v>-9.9484393949035493E-2</v>
      </c>
      <c r="Q3452">
        <v>0.100873874446507</v>
      </c>
      <c r="R3452">
        <v>0.99079704461603402</v>
      </c>
      <c r="S3452" t="s">
        <v>7284</v>
      </c>
      <c r="T3452" t="s">
        <v>7662</v>
      </c>
      <c r="U3452" t="s">
        <v>7662</v>
      </c>
      <c r="V3452" t="s">
        <v>7662</v>
      </c>
      <c r="W3452">
        <v>2</v>
      </c>
      <c r="X3452" t="s">
        <v>11114</v>
      </c>
      <c r="Y3452">
        <v>0.43596958284399812</v>
      </c>
      <c r="Z3452" t="str">
        <f>HYPERLINK("Melting_Curves/meltCurve_tr_E9PKV8_E9PKV8_HUMAN_.pdf", "Melting_Curves/meltCurve_tr_E9PKV8_E9PKV8_HUMAN_.pdf")</f>
        <v>Melting_Curves/meltCurve_tr_E9PKV8_E9PKV8_HUMAN_.pdf</v>
      </c>
      <c r="AA3452" t="s">
        <v>14894</v>
      </c>
      <c r="AB3452" t="s">
        <v>18685</v>
      </c>
    </row>
    <row r="3453" spans="1:28" x14ac:dyDescent="0.25">
      <c r="A3453" t="s">
        <v>3457</v>
      </c>
      <c r="B3453">
        <v>0.98876768158843997</v>
      </c>
      <c r="C3453">
        <v>1.0642442831197401</v>
      </c>
      <c r="D3453">
        <v>0.85266231055271702</v>
      </c>
      <c r="E3453">
        <v>0.74095288323333397</v>
      </c>
      <c r="F3453">
        <v>0.83384268794946903</v>
      </c>
      <c r="G3453">
        <v>0.55591214145853396</v>
      </c>
      <c r="H3453">
        <v>0.34278468895772402</v>
      </c>
      <c r="I3453">
        <v>0.3203626858384</v>
      </c>
      <c r="J3453">
        <v>0.327510935083207</v>
      </c>
      <c r="K3453">
        <v>0.41034263537259102</v>
      </c>
      <c r="L3453">
        <v>723.24780052977201</v>
      </c>
      <c r="M3453">
        <v>13.2985849589928</v>
      </c>
      <c r="N3453">
        <v>58.112404067271001</v>
      </c>
      <c r="O3453">
        <v>53.199678255065699</v>
      </c>
      <c r="P3453">
        <v>-4.4570561041489397E-2</v>
      </c>
      <c r="Q3453">
        <v>0.28691458811619802</v>
      </c>
      <c r="R3453">
        <v>0.92290759228240005</v>
      </c>
      <c r="S3453" t="s">
        <v>7285</v>
      </c>
      <c r="T3453" t="s">
        <v>7662</v>
      </c>
      <c r="U3453" t="s">
        <v>7662</v>
      </c>
      <c r="V3453" t="s">
        <v>7662</v>
      </c>
      <c r="W3453">
        <v>6</v>
      </c>
      <c r="X3453" t="s">
        <v>11115</v>
      </c>
      <c r="Y3453">
        <v>0.64515745471842101</v>
      </c>
      <c r="Z3453" t="str">
        <f>HYPERLINK("Melting_Curves/meltCurve_tr_E9PKY5_E9PKY5_HUMAN_.pdf", "Melting_Curves/meltCurve_tr_E9PKY5_E9PKY5_HUMAN_.pdf")</f>
        <v>Melting_Curves/meltCurve_tr_E9PKY5_E9PKY5_HUMAN_.pdf</v>
      </c>
      <c r="AA3453" t="s">
        <v>14895</v>
      </c>
      <c r="AB3453" t="s">
        <v>18579</v>
      </c>
    </row>
    <row r="3454" spans="1:28" x14ac:dyDescent="0.25">
      <c r="A3454" t="s">
        <v>3458</v>
      </c>
      <c r="B3454">
        <v>0.98876768158843997</v>
      </c>
      <c r="C3454">
        <v>0.84249194862124799</v>
      </c>
      <c r="D3454">
        <v>0.63255594494810397</v>
      </c>
      <c r="E3454">
        <v>0.27320842403949003</v>
      </c>
      <c r="F3454">
        <v>0.165939704738921</v>
      </c>
      <c r="G3454">
        <v>0.102287513981107</v>
      </c>
      <c r="H3454">
        <v>7.5312558445353395E-2</v>
      </c>
      <c r="I3454">
        <v>8.4108052930663202E-2</v>
      </c>
      <c r="J3454">
        <v>9.3726504864710597E-2</v>
      </c>
      <c r="K3454">
        <v>0.101304607639218</v>
      </c>
      <c r="L3454">
        <v>930.23645397853898</v>
      </c>
      <c r="M3454">
        <v>19.894305581796299</v>
      </c>
      <c r="N3454">
        <v>47.189967579286701</v>
      </c>
      <c r="O3454">
        <v>46.2941683999181</v>
      </c>
      <c r="P3454">
        <v>-9.8511718263471895E-2</v>
      </c>
      <c r="Q3454">
        <v>8.3081040658736005E-2</v>
      </c>
      <c r="R3454">
        <v>0.998110820938096</v>
      </c>
      <c r="S3454" t="s">
        <v>7286</v>
      </c>
      <c r="T3454" t="s">
        <v>7662</v>
      </c>
      <c r="U3454" t="s">
        <v>7662</v>
      </c>
      <c r="V3454" t="s">
        <v>7662</v>
      </c>
      <c r="W3454">
        <v>23</v>
      </c>
      <c r="X3454" t="s">
        <v>11116</v>
      </c>
      <c r="Y3454">
        <v>0.30338617588223749</v>
      </c>
      <c r="Z3454" t="str">
        <f>HYPERLINK("Melting_Curves/meltCurve_tr_E9PL22_E9PL22_HUMAN_.pdf", "Melting_Curves/meltCurve_tr_E9PL22_E9PL22_HUMAN_.pdf")</f>
        <v>Melting_Curves/meltCurve_tr_E9PL22_E9PL22_HUMAN_.pdf</v>
      </c>
      <c r="AA3454" t="s">
        <v>14896</v>
      </c>
      <c r="AB3454" t="s">
        <v>18686</v>
      </c>
    </row>
    <row r="3455" spans="1:28" x14ac:dyDescent="0.25">
      <c r="A3455" t="s">
        <v>3459</v>
      </c>
      <c r="B3455">
        <v>0.98876768158843997</v>
      </c>
      <c r="C3455">
        <v>1.13615719428992</v>
      </c>
      <c r="D3455">
        <v>0.85198746828401195</v>
      </c>
      <c r="E3455">
        <v>0.71905821421398997</v>
      </c>
      <c r="F3455">
        <v>0.86656699438811602</v>
      </c>
      <c r="G3455">
        <v>0.59509060590337703</v>
      </c>
      <c r="H3455">
        <v>0.435666109476396</v>
      </c>
      <c r="I3455">
        <v>0.4215157370466</v>
      </c>
      <c r="J3455">
        <v>0.53250849115603305</v>
      </c>
      <c r="K3455">
        <v>0.547688613362178</v>
      </c>
      <c r="L3455">
        <v>746.39019404139901</v>
      </c>
      <c r="M3455">
        <v>14.1982720348994</v>
      </c>
      <c r="N3455">
        <v>64.173219341608103</v>
      </c>
      <c r="O3455">
        <v>51.559234635103202</v>
      </c>
      <c r="P3455">
        <v>-3.7068246145497502E-2</v>
      </c>
      <c r="Q3455">
        <v>0.46163278588581902</v>
      </c>
      <c r="R3455">
        <v>0.83475635724336295</v>
      </c>
      <c r="S3455" t="s">
        <v>7287</v>
      </c>
      <c r="T3455" t="s">
        <v>7662</v>
      </c>
      <c r="U3455" t="s">
        <v>7662</v>
      </c>
      <c r="V3455" t="s">
        <v>7662</v>
      </c>
      <c r="W3455">
        <v>8</v>
      </c>
      <c r="X3455" t="s">
        <v>11117</v>
      </c>
      <c r="Y3455">
        <v>0.69993688867233617</v>
      </c>
      <c r="Z3455" t="str">
        <f>HYPERLINK("Melting_Curves/meltCurve_tr_E9PL57_E9PL57_HUMAN_.pdf", "Melting_Curves/meltCurve_tr_E9PL57_E9PL57_HUMAN_.pdf")</f>
        <v>Melting_Curves/meltCurve_tr_E9PL57_E9PL57_HUMAN_.pdf</v>
      </c>
      <c r="AA3455" t="s">
        <v>14897</v>
      </c>
      <c r="AB3455" t="s">
        <v>18687</v>
      </c>
    </row>
    <row r="3456" spans="1:28" x14ac:dyDescent="0.25">
      <c r="A3456" t="s">
        <v>3460</v>
      </c>
      <c r="B3456">
        <v>0.98876768158843997</v>
      </c>
      <c r="C3456">
        <v>0.89792028213315001</v>
      </c>
      <c r="D3456">
        <v>0.83348811643217902</v>
      </c>
      <c r="E3456">
        <v>0.83459067311882196</v>
      </c>
      <c r="F3456">
        <v>0.60634948054717697</v>
      </c>
      <c r="G3456">
        <v>0.34811534204183597</v>
      </c>
      <c r="H3456">
        <v>0.23750577230852399</v>
      </c>
      <c r="I3456">
        <v>0.177698411521442</v>
      </c>
      <c r="J3456">
        <v>0.281205846759917</v>
      </c>
      <c r="K3456">
        <v>0.27864916552042401</v>
      </c>
      <c r="L3456">
        <v>919.71797750333405</v>
      </c>
      <c r="M3456">
        <v>17.470506489790999</v>
      </c>
      <c r="N3456">
        <v>54.361163959227603</v>
      </c>
      <c r="O3456">
        <v>51.9688122892249</v>
      </c>
      <c r="P3456">
        <v>-6.6224885126131103E-2</v>
      </c>
      <c r="Q3456">
        <v>0.212057657565002</v>
      </c>
      <c r="R3456">
        <v>0.95979782793277801</v>
      </c>
      <c r="S3456" t="s">
        <v>7288</v>
      </c>
      <c r="T3456" t="s">
        <v>7662</v>
      </c>
      <c r="U3456" t="s">
        <v>7662</v>
      </c>
      <c r="V3456" t="s">
        <v>7662</v>
      </c>
      <c r="W3456">
        <v>1</v>
      </c>
      <c r="X3456" t="s">
        <v>11118</v>
      </c>
      <c r="Y3456">
        <v>0.5577795847729855</v>
      </c>
      <c r="Z3456" t="str">
        <f>HYPERLINK("Melting_Curves/meltCurve_tr_E9PLD2_E9PLD2_HUMAN_.pdf", "Melting_Curves/meltCurve_tr_E9PLD2_E9PLD2_HUMAN_.pdf")</f>
        <v>Melting_Curves/meltCurve_tr_E9PLD2_E9PLD2_HUMAN_.pdf</v>
      </c>
      <c r="AA3456" t="s">
        <v>14898</v>
      </c>
      <c r="AB3456" t="s">
        <v>18688</v>
      </c>
    </row>
    <row r="3457" spans="1:28" x14ac:dyDescent="0.25">
      <c r="A3457" t="s">
        <v>3461</v>
      </c>
      <c r="B3457">
        <v>0.98876768158843997</v>
      </c>
      <c r="C3457">
        <v>0.93036199369074402</v>
      </c>
      <c r="D3457">
        <v>0.94777886165500502</v>
      </c>
      <c r="E3457">
        <v>0.85200588828116297</v>
      </c>
      <c r="F3457">
        <v>0.53600135806820004</v>
      </c>
      <c r="G3457">
        <v>0.23843059327098401</v>
      </c>
      <c r="H3457">
        <v>6.3195240930161004E-2</v>
      </c>
      <c r="I3457">
        <v>4.8100905387443299E-2</v>
      </c>
      <c r="J3457">
        <v>5.13462022309219E-2</v>
      </c>
      <c r="K3457">
        <v>4.7099988430447298E-2</v>
      </c>
      <c r="L3457">
        <v>1205.69035357235</v>
      </c>
      <c r="M3457">
        <v>22.591650353771701</v>
      </c>
      <c r="N3457">
        <v>53.530646398250703</v>
      </c>
      <c r="O3457">
        <v>52.9559726237812</v>
      </c>
      <c r="P3457">
        <v>-0.10313526123189</v>
      </c>
      <c r="Q3457">
        <v>3.3002466120055599E-2</v>
      </c>
      <c r="R3457">
        <v>0.99544708041366103</v>
      </c>
      <c r="S3457" t="s">
        <v>7289</v>
      </c>
      <c r="T3457" t="s">
        <v>7662</v>
      </c>
      <c r="U3457" t="s">
        <v>7662</v>
      </c>
      <c r="V3457" t="s">
        <v>7662</v>
      </c>
      <c r="W3457">
        <v>30</v>
      </c>
      <c r="X3457" t="s">
        <v>11119</v>
      </c>
      <c r="Y3457">
        <v>0.47465741264163641</v>
      </c>
      <c r="Z3457" t="str">
        <f>HYPERLINK("Melting_Curves/meltCurve_tr_E9PLK3_E9PLK3_HUMAN_.pdf", "Melting_Curves/meltCurve_tr_E9PLK3_E9PLK3_HUMAN_.pdf")</f>
        <v>Melting_Curves/meltCurve_tr_E9PLK3_E9PLK3_HUMAN_.pdf</v>
      </c>
      <c r="AA3457" t="s">
        <v>14899</v>
      </c>
      <c r="AB3457" t="s">
        <v>18689</v>
      </c>
    </row>
    <row r="3458" spans="1:28" x14ac:dyDescent="0.25">
      <c r="A3458" t="s">
        <v>3462</v>
      </c>
      <c r="B3458">
        <v>0.98876768158843997</v>
      </c>
      <c r="C3458">
        <v>0.93348283956686096</v>
      </c>
      <c r="D3458">
        <v>0.91453358121295403</v>
      </c>
      <c r="E3458">
        <v>0.50084389060977197</v>
      </c>
      <c r="F3458">
        <v>0.24820741958951301</v>
      </c>
      <c r="G3458">
        <v>0.154407016287676</v>
      </c>
      <c r="H3458">
        <v>0.10741532622274599</v>
      </c>
      <c r="I3458">
        <v>9.8369564145307398E-2</v>
      </c>
      <c r="J3458">
        <v>0.100354091972819</v>
      </c>
      <c r="K3458">
        <v>8.7303991220457899E-2</v>
      </c>
      <c r="L3458">
        <v>1242.4535951386199</v>
      </c>
      <c r="M3458">
        <v>25.0313302428074</v>
      </c>
      <c r="N3458">
        <v>50.076536121884402</v>
      </c>
      <c r="O3458">
        <v>49.322396734705201</v>
      </c>
      <c r="P3458">
        <v>-0.114337978450298</v>
      </c>
      <c r="Q3458">
        <v>9.8833752594198104E-2</v>
      </c>
      <c r="R3458">
        <v>0.99721501955065195</v>
      </c>
      <c r="S3458" t="s">
        <v>7290</v>
      </c>
      <c r="T3458" t="s">
        <v>7662</v>
      </c>
      <c r="U3458" t="s">
        <v>7662</v>
      </c>
      <c r="V3458" t="s">
        <v>7662</v>
      </c>
      <c r="W3458">
        <v>13</v>
      </c>
      <c r="X3458" t="s">
        <v>11120</v>
      </c>
      <c r="Y3458">
        <v>0.3962921929042249</v>
      </c>
      <c r="Z3458" t="str">
        <f>HYPERLINK("Melting_Curves/meltCurve_tr_E9PM46_E9PM46_HUMAN_.pdf", "Melting_Curves/meltCurve_tr_E9PM46_E9PM46_HUMAN_.pdf")</f>
        <v>Melting_Curves/meltCurve_tr_E9PM46_E9PM46_HUMAN_.pdf</v>
      </c>
      <c r="AA3458" t="s">
        <v>14900</v>
      </c>
      <c r="AB3458" t="s">
        <v>18537</v>
      </c>
    </row>
    <row r="3459" spans="1:28" x14ac:dyDescent="0.25">
      <c r="A3459" t="s">
        <v>3463</v>
      </c>
      <c r="B3459">
        <v>0.98876768158843997</v>
      </c>
      <c r="C3459">
        <v>1.00013552807406</v>
      </c>
      <c r="D3459">
        <v>0.956542319031354</v>
      </c>
      <c r="E3459">
        <v>0.83279319559170595</v>
      </c>
      <c r="F3459">
        <v>0.908152963649416</v>
      </c>
      <c r="G3459">
        <v>0.65251092301546398</v>
      </c>
      <c r="H3459">
        <v>0.510731563808975</v>
      </c>
      <c r="I3459">
        <v>0.52209288816309896</v>
      </c>
      <c r="J3459">
        <v>0.74057431484018099</v>
      </c>
      <c r="K3459">
        <v>0.717835067841334</v>
      </c>
      <c r="L3459">
        <v>1227.7585876216699</v>
      </c>
      <c r="M3459">
        <v>23.191087294834901</v>
      </c>
      <c r="O3459">
        <v>52.552038921157703</v>
      </c>
      <c r="P3459">
        <v>-4.1987466291004499E-2</v>
      </c>
      <c r="Q3459">
        <v>0.61942500319555405</v>
      </c>
      <c r="R3459">
        <v>0.76822260803811704</v>
      </c>
      <c r="S3459" t="s">
        <v>7291</v>
      </c>
      <c r="T3459" t="s">
        <v>7662</v>
      </c>
      <c r="U3459" t="s">
        <v>7662</v>
      </c>
      <c r="V3459" t="s">
        <v>7662</v>
      </c>
      <c r="W3459">
        <v>3</v>
      </c>
      <c r="X3459" t="s">
        <v>11121</v>
      </c>
      <c r="Y3459">
        <v>0.78761879213770902</v>
      </c>
      <c r="Z3459" t="str">
        <f>HYPERLINK("Melting_Curves/meltCurve_tr_E9PMI6_E9PMI6_HUMAN_.pdf", "Melting_Curves/meltCurve_tr_E9PMI6_E9PMI6_HUMAN_.pdf")</f>
        <v>Melting_Curves/meltCurve_tr_E9PMI6_E9PMI6_HUMAN_.pdf</v>
      </c>
      <c r="AA3459" t="s">
        <v>14901</v>
      </c>
      <c r="AB3459" t="s">
        <v>18690</v>
      </c>
    </row>
    <row r="3460" spans="1:28" x14ac:dyDescent="0.25">
      <c r="A3460" t="s">
        <v>3464</v>
      </c>
      <c r="B3460">
        <v>0.98876768158843997</v>
      </c>
      <c r="C3460">
        <v>0.96349218914406898</v>
      </c>
      <c r="D3460">
        <v>0.813001267011768</v>
      </c>
      <c r="E3460">
        <v>0.57762237848265496</v>
      </c>
      <c r="F3460">
        <v>0.28857860061719498</v>
      </c>
      <c r="G3460">
        <v>0.14407955547128201</v>
      </c>
      <c r="H3460">
        <v>8.9948734586125206E-2</v>
      </c>
      <c r="I3460">
        <v>6.01183804296688E-2</v>
      </c>
      <c r="J3460">
        <v>7.5549934098379207E-2</v>
      </c>
      <c r="K3460">
        <v>8.0741279705949395E-2</v>
      </c>
      <c r="L3460">
        <v>915.64302857391499</v>
      </c>
      <c r="M3460">
        <v>18.270901516698</v>
      </c>
      <c r="N3460">
        <v>50.4524274643003</v>
      </c>
      <c r="O3460">
        <v>49.526063780874203</v>
      </c>
      <c r="P3460">
        <v>-8.6925862540505494E-2</v>
      </c>
      <c r="Q3460">
        <v>5.7540765737959201E-2</v>
      </c>
      <c r="R3460">
        <v>0.99715628779169496</v>
      </c>
      <c r="S3460" t="s">
        <v>7292</v>
      </c>
      <c r="T3460" t="s">
        <v>7662</v>
      </c>
      <c r="U3460" t="s">
        <v>7662</v>
      </c>
      <c r="V3460" t="s">
        <v>7662</v>
      </c>
      <c r="W3460">
        <v>1</v>
      </c>
      <c r="X3460" t="s">
        <v>11122</v>
      </c>
      <c r="Y3460">
        <v>0.39090233237010669</v>
      </c>
      <c r="Z3460" t="str">
        <f>HYPERLINK("Melting_Curves/meltCurve_tr_E9PMJ2_E9PMJ2_HUMAN_.pdf", "Melting_Curves/meltCurve_tr_E9PMJ2_E9PMJ2_HUMAN_.pdf")</f>
        <v>Melting_Curves/meltCurve_tr_E9PMJ2_E9PMJ2_HUMAN_.pdf</v>
      </c>
      <c r="AA3460" t="s">
        <v>14902</v>
      </c>
      <c r="AB3460" t="s">
        <v>18691</v>
      </c>
    </row>
    <row r="3461" spans="1:28" x14ac:dyDescent="0.25">
      <c r="A3461" t="s">
        <v>3465</v>
      </c>
      <c r="B3461">
        <v>0.98876768158843997</v>
      </c>
      <c r="C3461">
        <v>1.0763951949138599</v>
      </c>
      <c r="D3461">
        <v>0.85328031807490401</v>
      </c>
      <c r="E3461">
        <v>0.701851693972808</v>
      </c>
      <c r="F3461">
        <v>0.81513968373041501</v>
      </c>
      <c r="G3461">
        <v>0.57597296981516</v>
      </c>
      <c r="H3461">
        <v>0.44679095388020501</v>
      </c>
      <c r="I3461">
        <v>0.54487742642859505</v>
      </c>
      <c r="J3461">
        <v>0.59620792092375496</v>
      </c>
      <c r="K3461">
        <v>0.76543621675893603</v>
      </c>
      <c r="L3461">
        <v>910.56827678277898</v>
      </c>
      <c r="M3461">
        <v>18.614757914985599</v>
      </c>
      <c r="O3461">
        <v>48.362437820193101</v>
      </c>
      <c r="P3461">
        <v>-3.91062315499612E-2</v>
      </c>
      <c r="Q3461">
        <v>0.59361483156736505</v>
      </c>
      <c r="R3461">
        <v>0.739897364957391</v>
      </c>
      <c r="S3461" t="s">
        <v>7293</v>
      </c>
      <c r="T3461" t="s">
        <v>7662</v>
      </c>
      <c r="U3461" t="s">
        <v>7662</v>
      </c>
      <c r="V3461" t="s">
        <v>7662</v>
      </c>
      <c r="W3461">
        <v>39</v>
      </c>
      <c r="X3461" t="s">
        <v>11123</v>
      </c>
      <c r="Y3461">
        <v>0.72098910018406903</v>
      </c>
      <c r="Z3461" t="str">
        <f>HYPERLINK("Melting_Curves/meltCurve_tr_E9PMS6_E9PMS6_HUMAN_.pdf", "Melting_Curves/meltCurve_tr_E9PMS6_E9PMS6_HUMAN_.pdf")</f>
        <v>Melting_Curves/meltCurve_tr_E9PMS6_E9PMS6_HUMAN_.pdf</v>
      </c>
      <c r="AA3461" t="s">
        <v>13664</v>
      </c>
      <c r="AB3461" t="s">
        <v>18692</v>
      </c>
    </row>
    <row r="3462" spans="1:28" x14ac:dyDescent="0.25">
      <c r="A3462" t="s">
        <v>3466</v>
      </c>
      <c r="B3462">
        <v>0.98876768158843997</v>
      </c>
      <c r="C3462">
        <v>0.93364937027935702</v>
      </c>
      <c r="D3462">
        <v>0.88007924570979601</v>
      </c>
      <c r="E3462">
        <v>0.64027811684689295</v>
      </c>
      <c r="F3462">
        <v>0.61962963660116799</v>
      </c>
      <c r="G3462">
        <v>0.33969233108671398</v>
      </c>
      <c r="H3462">
        <v>0.22047051768228501</v>
      </c>
      <c r="I3462">
        <v>0.201944384311046</v>
      </c>
      <c r="J3462">
        <v>0.19996598746480501</v>
      </c>
      <c r="K3462">
        <v>0.186112150481304</v>
      </c>
      <c r="L3462">
        <v>655.90835273573498</v>
      </c>
      <c r="M3462">
        <v>12.5067520786116</v>
      </c>
      <c r="N3462">
        <v>53.739472527800103</v>
      </c>
      <c r="O3462">
        <v>51.157710140961498</v>
      </c>
      <c r="P3462">
        <v>-5.3177103883269697E-2</v>
      </c>
      <c r="Q3462">
        <v>0.13011462132395399</v>
      </c>
      <c r="R3462">
        <v>0.98682599779692004</v>
      </c>
      <c r="S3462" t="s">
        <v>7294</v>
      </c>
      <c r="T3462" t="s">
        <v>7662</v>
      </c>
      <c r="U3462" t="s">
        <v>7662</v>
      </c>
      <c r="V3462" t="s">
        <v>7662</v>
      </c>
      <c r="W3462">
        <v>1</v>
      </c>
      <c r="X3462" t="s">
        <v>11124</v>
      </c>
      <c r="Y3462">
        <v>0.51548168376971115</v>
      </c>
      <c r="Z3462" t="str">
        <f>HYPERLINK("Melting_Curves/meltCurve_tr_E9PNC7_E9PNC7_HUMAN_.pdf", "Melting_Curves/meltCurve_tr_E9PNC7_E9PNC7_HUMAN_.pdf")</f>
        <v>Melting_Curves/meltCurve_tr_E9PNC7_E9PNC7_HUMAN_.pdf</v>
      </c>
      <c r="AA3462" t="s">
        <v>14903</v>
      </c>
      <c r="AB3462" t="s">
        <v>18693</v>
      </c>
    </row>
    <row r="3463" spans="1:28" x14ac:dyDescent="0.25">
      <c r="A3463" t="s">
        <v>3467</v>
      </c>
      <c r="B3463">
        <v>0.98876768158843997</v>
      </c>
      <c r="C3463">
        <v>0.97104169746869995</v>
      </c>
      <c r="D3463">
        <v>0.906566944167293</v>
      </c>
      <c r="E3463">
        <v>0.61904604937629304</v>
      </c>
      <c r="F3463">
        <v>0.76136121052238304</v>
      </c>
      <c r="G3463">
        <v>0.47647035505101598</v>
      </c>
      <c r="H3463">
        <v>0.427803848618176</v>
      </c>
      <c r="I3463">
        <v>0.480439821427186</v>
      </c>
      <c r="J3463">
        <v>0.65925421945908702</v>
      </c>
      <c r="K3463">
        <v>0.646659667508796</v>
      </c>
      <c r="L3463">
        <v>1040.96479223036</v>
      </c>
      <c r="M3463">
        <v>21.572044135195</v>
      </c>
      <c r="O3463">
        <v>47.846331150241397</v>
      </c>
      <c r="P3463">
        <v>-5.0539826977588E-2</v>
      </c>
      <c r="Q3463">
        <v>0.55162581503438801</v>
      </c>
      <c r="R3463">
        <v>0.79225311648740004</v>
      </c>
      <c r="S3463" t="s">
        <v>7295</v>
      </c>
      <c r="T3463" t="s">
        <v>7662</v>
      </c>
      <c r="U3463" t="s">
        <v>7662</v>
      </c>
      <c r="V3463" t="s">
        <v>7662</v>
      </c>
      <c r="W3463">
        <v>3</v>
      </c>
      <c r="X3463" t="s">
        <v>11125</v>
      </c>
      <c r="Y3463">
        <v>0.68041558777180233</v>
      </c>
      <c r="Z3463" t="str">
        <f>HYPERLINK("Melting_Curves/meltCurve_tr_E9PNK6_E9PNK6_HUMAN_.pdf", "Melting_Curves/meltCurve_tr_E9PNK6_E9PNK6_HUMAN_.pdf")</f>
        <v>Melting_Curves/meltCurve_tr_E9PNK6_E9PNK6_HUMAN_.pdf</v>
      </c>
      <c r="AA3463" t="s">
        <v>14904</v>
      </c>
      <c r="AB3463" t="s">
        <v>18694</v>
      </c>
    </row>
    <row r="3464" spans="1:28" x14ac:dyDescent="0.25">
      <c r="A3464" t="s">
        <v>3468</v>
      </c>
      <c r="B3464">
        <v>0.98876768158843997</v>
      </c>
      <c r="C3464">
        <v>0.85698839743017596</v>
      </c>
      <c r="D3464">
        <v>0.80494688430707495</v>
      </c>
      <c r="E3464">
        <v>0.44460578904589299</v>
      </c>
      <c r="F3464">
        <v>0.30048959740826497</v>
      </c>
      <c r="G3464">
        <v>0.19359035047140699</v>
      </c>
      <c r="H3464">
        <v>0.16472485444878701</v>
      </c>
      <c r="I3464">
        <v>0.202642122938926</v>
      </c>
      <c r="J3464">
        <v>0.258100085686156</v>
      </c>
      <c r="K3464">
        <v>0.25577667053130099</v>
      </c>
      <c r="L3464">
        <v>989.75219503482901</v>
      </c>
      <c r="M3464">
        <v>20.6435728052925</v>
      </c>
      <c r="N3464">
        <v>49.215690648659603</v>
      </c>
      <c r="O3464">
        <v>47.501706484362501</v>
      </c>
      <c r="P3464">
        <v>-8.6202557018645903E-2</v>
      </c>
      <c r="Q3464">
        <v>0.20660033128563199</v>
      </c>
      <c r="R3464">
        <v>0.98096337883701201</v>
      </c>
      <c r="S3464" t="s">
        <v>7296</v>
      </c>
      <c r="T3464" t="s">
        <v>7662</v>
      </c>
      <c r="U3464" t="s">
        <v>7662</v>
      </c>
      <c r="V3464" t="s">
        <v>7662</v>
      </c>
      <c r="W3464">
        <v>4</v>
      </c>
      <c r="X3464" t="s">
        <v>11126</v>
      </c>
      <c r="Y3464">
        <v>0.42726661775806751</v>
      </c>
      <c r="Z3464" t="str">
        <f>HYPERLINK("Melting_Curves/meltCurve_tr_E9PNU4_E9PNU4_HUMAN_.pdf", "Melting_Curves/meltCurve_tr_E9PNU4_E9PNU4_HUMAN_.pdf")</f>
        <v>Melting_Curves/meltCurve_tr_E9PNU4_E9PNU4_HUMAN_.pdf</v>
      </c>
      <c r="AA3464" t="s">
        <v>14905</v>
      </c>
      <c r="AB3464" t="s">
        <v>18695</v>
      </c>
    </row>
    <row r="3465" spans="1:28" x14ac:dyDescent="0.25">
      <c r="A3465" t="s">
        <v>3469</v>
      </c>
      <c r="B3465">
        <v>0.98876768158843997</v>
      </c>
      <c r="C3465">
        <v>0.82417877781983695</v>
      </c>
      <c r="D3465">
        <v>0.924616751316926</v>
      </c>
      <c r="E3465">
        <v>0.83614337042365094</v>
      </c>
      <c r="F3465">
        <v>0.42324457091071699</v>
      </c>
      <c r="G3465">
        <v>0.256972633406717</v>
      </c>
      <c r="H3465">
        <v>0.20026569176810199</v>
      </c>
      <c r="I3465">
        <v>8.3703440958885794E-2</v>
      </c>
      <c r="J3465">
        <v>0.14939791758109999</v>
      </c>
      <c r="K3465">
        <v>0.12416903714482599</v>
      </c>
      <c r="L3465">
        <v>1292.2869276844101</v>
      </c>
      <c r="M3465">
        <v>24.7963357167068</v>
      </c>
      <c r="N3465">
        <v>52.770710796212001</v>
      </c>
      <c r="O3465">
        <v>51.7806075683378</v>
      </c>
      <c r="P3465">
        <v>-0.10386862616615899</v>
      </c>
      <c r="Q3465">
        <v>0.13240273419433701</v>
      </c>
      <c r="R3465">
        <v>0.96340361195413904</v>
      </c>
      <c r="S3465" t="s">
        <v>7297</v>
      </c>
      <c r="T3465" t="s">
        <v>7662</v>
      </c>
      <c r="U3465" t="s">
        <v>7662</v>
      </c>
      <c r="V3465" t="s">
        <v>7662</v>
      </c>
      <c r="W3465">
        <v>9</v>
      </c>
      <c r="X3465" t="s">
        <v>11127</v>
      </c>
      <c r="Y3465">
        <v>0.49085216092992329</v>
      </c>
      <c r="Z3465" t="str">
        <f>HYPERLINK("Melting_Curves/meltCurve_tr_E9PNV3_E9PNV3_HUMAN_.pdf", "Melting_Curves/meltCurve_tr_E9PNV3_E9PNV3_HUMAN_.pdf")</f>
        <v>Melting_Curves/meltCurve_tr_E9PNV3_E9PNV3_HUMAN_.pdf</v>
      </c>
      <c r="AA3465" t="s">
        <v>12386</v>
      </c>
      <c r="AB3465" t="s">
        <v>18696</v>
      </c>
    </row>
    <row r="3466" spans="1:28" x14ac:dyDescent="0.25">
      <c r="A3466" t="s">
        <v>3470</v>
      </c>
      <c r="B3466">
        <v>0.98876768158843997</v>
      </c>
      <c r="C3466">
        <v>1.09083417801107</v>
      </c>
      <c r="D3466">
        <v>1.26059513742748</v>
      </c>
      <c r="E3466">
        <v>0.91740993938273097</v>
      </c>
      <c r="F3466">
        <v>0.60405003175552197</v>
      </c>
      <c r="G3466">
        <v>0.423429436218137</v>
      </c>
      <c r="H3466">
        <v>0.29845071459431199</v>
      </c>
      <c r="I3466">
        <v>0.23642129597606101</v>
      </c>
      <c r="J3466">
        <v>0.30992747933479498</v>
      </c>
      <c r="K3466">
        <v>0.25490334402734499</v>
      </c>
      <c r="L3466">
        <v>1674.39949177471</v>
      </c>
      <c r="M3466">
        <v>31.589480041361998</v>
      </c>
      <c r="N3466">
        <v>54.443140725814303</v>
      </c>
      <c r="O3466">
        <v>52.793913041241098</v>
      </c>
      <c r="P3466">
        <v>-0.107263542290688</v>
      </c>
      <c r="Q3466">
        <v>0.282947097185548</v>
      </c>
      <c r="R3466">
        <v>0.93453105254220703</v>
      </c>
      <c r="S3466" t="s">
        <v>7298</v>
      </c>
      <c r="T3466" t="s">
        <v>7662</v>
      </c>
      <c r="U3466" t="s">
        <v>7662</v>
      </c>
      <c r="V3466" t="s">
        <v>7662</v>
      </c>
      <c r="W3466">
        <v>1</v>
      </c>
      <c r="X3466" t="s">
        <v>11128</v>
      </c>
      <c r="Y3466">
        <v>0.5979903357553541</v>
      </c>
      <c r="Z3466" t="str">
        <f>HYPERLINK("Melting_Curves/meltCurve_tr_E9PNW4_E9PNW4_HUMAN_.pdf", "Melting_Curves/meltCurve_tr_E9PNW4_E9PNW4_HUMAN_.pdf")</f>
        <v>Melting_Curves/meltCurve_tr_E9PNW4_E9PNW4_HUMAN_.pdf</v>
      </c>
      <c r="AA3466" t="s">
        <v>14906</v>
      </c>
      <c r="AB3466" t="s">
        <v>18697</v>
      </c>
    </row>
    <row r="3467" spans="1:28" x14ac:dyDescent="0.25">
      <c r="A3467" t="s">
        <v>3471</v>
      </c>
      <c r="B3467">
        <v>0.98876768158843997</v>
      </c>
      <c r="C3467">
        <v>0.98143428792559395</v>
      </c>
      <c r="D3467">
        <v>0.84068544931581901</v>
      </c>
      <c r="E3467">
        <v>0.79129730002974097</v>
      </c>
      <c r="F3467">
        <v>1.1210981783806</v>
      </c>
      <c r="G3467">
        <v>0.87296528715020905</v>
      </c>
      <c r="H3467">
        <v>0.68668676690433395</v>
      </c>
      <c r="I3467">
        <v>0.79745406238865502</v>
      </c>
      <c r="J3467">
        <v>1.1617740950137401</v>
      </c>
      <c r="K3467">
        <v>1.29204268589059</v>
      </c>
      <c r="L3467">
        <v>10753.329397477301</v>
      </c>
      <c r="M3467">
        <v>250</v>
      </c>
      <c r="O3467">
        <v>43.010568028657801</v>
      </c>
      <c r="P3467">
        <v>-7.9194960160646602E-2</v>
      </c>
      <c r="Q3467">
        <v>0.94550048032415701</v>
      </c>
      <c r="R3467">
        <v>7.3210855546148599E-3</v>
      </c>
      <c r="S3467" t="s">
        <v>7299</v>
      </c>
      <c r="T3467" t="s">
        <v>7662</v>
      </c>
      <c r="U3467" t="s">
        <v>7662</v>
      </c>
      <c r="V3467" t="s">
        <v>7662</v>
      </c>
      <c r="W3467">
        <v>1</v>
      </c>
      <c r="X3467" t="s">
        <v>11129</v>
      </c>
      <c r="Y3467">
        <v>0.95097873974551195</v>
      </c>
      <c r="Z3467" t="str">
        <f>HYPERLINK("Melting_Curves/meltCurve_tr_E9PP36_E9PP36_HUMAN_.pdf", "Melting_Curves/meltCurve_tr_E9PP36_E9PP36_HUMAN_.pdf")</f>
        <v>Melting_Curves/meltCurve_tr_E9PP36_E9PP36_HUMAN_.pdf</v>
      </c>
      <c r="AA3467" t="s">
        <v>14907</v>
      </c>
      <c r="AB3467" t="s">
        <v>18698</v>
      </c>
    </row>
    <row r="3468" spans="1:28" x14ac:dyDescent="0.25">
      <c r="A3468" t="s">
        <v>3472</v>
      </c>
      <c r="B3468">
        <v>0.98876768158843997</v>
      </c>
      <c r="C3468">
        <v>0.82298773662562796</v>
      </c>
      <c r="D3468">
        <v>1.1070798629174401</v>
      </c>
      <c r="E3468">
        <v>1.15858773474634</v>
      </c>
      <c r="F3468">
        <v>0.31869471792237603</v>
      </c>
      <c r="G3468">
        <v>9.7273777336893893E-2</v>
      </c>
      <c r="H3468">
        <v>2.39924437918769E-2</v>
      </c>
      <c r="I3468">
        <v>2.05155284484577E-2</v>
      </c>
      <c r="J3468">
        <v>1.4967084455157801E-2</v>
      </c>
      <c r="K3468">
        <v>2.3233679780498302E-2</v>
      </c>
      <c r="L3468">
        <v>13203.3797628844</v>
      </c>
      <c r="M3468">
        <v>250</v>
      </c>
      <c r="N3468">
        <v>52.8293080550337</v>
      </c>
      <c r="O3468">
        <v>52.810131996249503</v>
      </c>
      <c r="P3468">
        <v>-1.1408836236292801</v>
      </c>
      <c r="Q3468">
        <v>3.5996430746357097E-2</v>
      </c>
      <c r="R3468">
        <v>0.967515007516492</v>
      </c>
      <c r="S3468" t="s">
        <v>7300</v>
      </c>
      <c r="T3468" t="s">
        <v>7662</v>
      </c>
      <c r="U3468" t="s">
        <v>7662</v>
      </c>
      <c r="V3468" t="s">
        <v>7662</v>
      </c>
      <c r="W3468">
        <v>1</v>
      </c>
      <c r="X3468" t="s">
        <v>11130</v>
      </c>
      <c r="Y3468">
        <v>0.44782838459867252</v>
      </c>
      <c r="Z3468" t="str">
        <f>HYPERLINK("Melting_Curves/meltCurve_tr_E9PP68_E9PP68_HUMAN_.pdf", "Melting_Curves/meltCurve_tr_E9PP68_E9PP68_HUMAN_.pdf")</f>
        <v>Melting_Curves/meltCurve_tr_E9PP68_E9PP68_HUMAN_.pdf</v>
      </c>
      <c r="AA3468" t="s">
        <v>14908</v>
      </c>
      <c r="AB3468" t="s">
        <v>18699</v>
      </c>
    </row>
    <row r="3469" spans="1:28" x14ac:dyDescent="0.25">
      <c r="A3469" t="s">
        <v>3473</v>
      </c>
      <c r="B3469">
        <v>0.98876768158843997</v>
      </c>
      <c r="C3469">
        <v>1.20120850596044</v>
      </c>
      <c r="D3469">
        <v>0.88608170972486899</v>
      </c>
      <c r="E3469">
        <v>0.75358496174972001</v>
      </c>
      <c r="F3469">
        <v>0.26787187533978002</v>
      </c>
      <c r="G3469">
        <v>0.12928600760362599</v>
      </c>
      <c r="H3469">
        <v>7.6423091820146699E-2</v>
      </c>
      <c r="I3469">
        <v>6.2460014962523999E-2</v>
      </c>
      <c r="J3469">
        <v>0.125172183628009</v>
      </c>
      <c r="K3469">
        <v>8.7041494770844996E-2</v>
      </c>
      <c r="L3469">
        <v>1962.42913532186</v>
      </c>
      <c r="M3469">
        <v>38.3451103544568</v>
      </c>
      <c r="N3469">
        <v>51.445461602241501</v>
      </c>
      <c r="O3469">
        <v>51.039482580760499</v>
      </c>
      <c r="P3469">
        <v>-0.17085322659594901</v>
      </c>
      <c r="Q3469">
        <v>9.0341524903253798E-2</v>
      </c>
      <c r="R3469">
        <v>0.96976375819116201</v>
      </c>
      <c r="S3469" t="s">
        <v>7301</v>
      </c>
      <c r="T3469" t="s">
        <v>7662</v>
      </c>
      <c r="U3469" t="s">
        <v>7662</v>
      </c>
      <c r="V3469" t="s">
        <v>7662</v>
      </c>
      <c r="W3469">
        <v>1</v>
      </c>
      <c r="X3469" t="s">
        <v>11131</v>
      </c>
      <c r="Y3469">
        <v>0.43278602125691229</v>
      </c>
      <c r="Z3469" t="str">
        <f>HYPERLINK("Melting_Curves/meltCurve_tr_E9PPA0_E9PPA0_HUMAN_.pdf", "Melting_Curves/meltCurve_tr_E9PPA0_E9PPA0_HUMAN_.pdf")</f>
        <v>Melting_Curves/meltCurve_tr_E9PPA0_E9PPA0_HUMAN_.pdf</v>
      </c>
      <c r="AA3469" t="s">
        <v>14909</v>
      </c>
      <c r="AB3469" t="s">
        <v>18700</v>
      </c>
    </row>
    <row r="3470" spans="1:28" x14ac:dyDescent="0.25">
      <c r="A3470" t="s">
        <v>3474</v>
      </c>
      <c r="B3470">
        <v>0.98876768158843997</v>
      </c>
      <c r="C3470">
        <v>1.22096471029485</v>
      </c>
      <c r="D3470">
        <v>1.03293388479834</v>
      </c>
      <c r="E3470">
        <v>0.96496392787807095</v>
      </c>
      <c r="F3470">
        <v>0.85436704528621898</v>
      </c>
      <c r="G3470">
        <v>0.65177195051844905</v>
      </c>
      <c r="H3470">
        <v>0.53855232565178202</v>
      </c>
      <c r="I3470">
        <v>0.64623506319637403</v>
      </c>
      <c r="J3470">
        <v>0.61955184910002004</v>
      </c>
      <c r="K3470">
        <v>0.52788761873102097</v>
      </c>
      <c r="L3470">
        <v>1804.4967895386401</v>
      </c>
      <c r="M3470">
        <v>33.420542648153003</v>
      </c>
      <c r="O3470">
        <v>53.801428016157402</v>
      </c>
      <c r="P3470">
        <v>-6.4913968267706804E-2</v>
      </c>
      <c r="Q3470">
        <v>0.58199971423844699</v>
      </c>
      <c r="R3470">
        <v>0.88181623879251403</v>
      </c>
      <c r="S3470" t="s">
        <v>7302</v>
      </c>
      <c r="T3470" t="s">
        <v>7662</v>
      </c>
      <c r="U3470" t="s">
        <v>7662</v>
      </c>
      <c r="V3470" t="s">
        <v>7662</v>
      </c>
      <c r="W3470">
        <v>4</v>
      </c>
      <c r="X3470" t="s">
        <v>11132</v>
      </c>
      <c r="Y3470">
        <v>0.77920237643875301</v>
      </c>
      <c r="Z3470" t="str">
        <f>HYPERLINK("Melting_Curves/meltCurve_tr_E9PQ61_E9PQ61_HUMAN_.pdf", "Melting_Curves/meltCurve_tr_E9PQ61_E9PQ61_HUMAN_.pdf")</f>
        <v>Melting_Curves/meltCurve_tr_E9PQ61_E9PQ61_HUMAN_.pdf</v>
      </c>
      <c r="AA3470" t="s">
        <v>14910</v>
      </c>
      <c r="AB3470" t="s">
        <v>18701</v>
      </c>
    </row>
    <row r="3471" spans="1:28" x14ac:dyDescent="0.25">
      <c r="A3471" t="s">
        <v>3475</v>
      </c>
      <c r="B3471">
        <v>0.98876768158843997</v>
      </c>
      <c r="C3471">
        <v>0.97625261397069896</v>
      </c>
      <c r="D3471">
        <v>0.92571766988380599</v>
      </c>
      <c r="E3471">
        <v>0.627205490689416</v>
      </c>
      <c r="F3471">
        <v>0.507930351003271</v>
      </c>
      <c r="G3471">
        <v>0.32564841451997001</v>
      </c>
      <c r="H3471">
        <v>0.223933828635969</v>
      </c>
      <c r="I3471">
        <v>0.17932981745387</v>
      </c>
      <c r="J3471">
        <v>0.32302940360040799</v>
      </c>
      <c r="K3471">
        <v>0.29521513764853902</v>
      </c>
      <c r="L3471">
        <v>997.25472309014197</v>
      </c>
      <c r="M3471">
        <v>19.733924032094802</v>
      </c>
      <c r="N3471">
        <v>52.372093490798001</v>
      </c>
      <c r="O3471">
        <v>50.024689554983503</v>
      </c>
      <c r="P3471">
        <v>-7.3991499527095994E-2</v>
      </c>
      <c r="Q3471">
        <v>0.24976407052042099</v>
      </c>
      <c r="R3471">
        <v>0.97920187284038895</v>
      </c>
      <c r="S3471" t="s">
        <v>7303</v>
      </c>
      <c r="T3471" t="s">
        <v>7662</v>
      </c>
      <c r="U3471" t="s">
        <v>7662</v>
      </c>
      <c r="V3471" t="s">
        <v>7662</v>
      </c>
      <c r="W3471">
        <v>2</v>
      </c>
      <c r="X3471" t="s">
        <v>11133</v>
      </c>
      <c r="Y3471">
        <v>0.52391905184322085</v>
      </c>
      <c r="Z3471" t="str">
        <f>HYPERLINK("Melting_Curves/meltCurve_tr_E9PQG4_E9PQG4_HUMAN_.pdf", "Melting_Curves/meltCurve_tr_E9PQG4_E9PQG4_HUMAN_.pdf")</f>
        <v>Melting_Curves/meltCurve_tr_E9PQG4_E9PQG4_HUMAN_.pdf</v>
      </c>
      <c r="AA3471" t="s">
        <v>14911</v>
      </c>
      <c r="AB3471" t="s">
        <v>18702</v>
      </c>
    </row>
    <row r="3472" spans="1:28" x14ac:dyDescent="0.25">
      <c r="A3472" t="s">
        <v>3476</v>
      </c>
      <c r="B3472">
        <v>0.98876768158843997</v>
      </c>
      <c r="C3472">
        <v>1.0333032875393</v>
      </c>
      <c r="D3472">
        <v>0.93388615212567205</v>
      </c>
      <c r="E3472">
        <v>0.83437362405019599</v>
      </c>
      <c r="F3472">
        <v>0.86662575019450905</v>
      </c>
      <c r="G3472">
        <v>0.54037521173067804</v>
      </c>
      <c r="H3472">
        <v>0.40935781534627902</v>
      </c>
      <c r="I3472">
        <v>0.41672033458152802</v>
      </c>
      <c r="J3472">
        <v>0.58216876220491298</v>
      </c>
      <c r="K3472">
        <v>0.567110177114452</v>
      </c>
      <c r="L3472">
        <v>1506.7346582712501</v>
      </c>
      <c r="M3472">
        <v>28.0702129180819</v>
      </c>
      <c r="N3472">
        <v>61.682435573106702</v>
      </c>
      <c r="O3472">
        <v>53.407144970984497</v>
      </c>
      <c r="P3472">
        <v>-6.7418924403698094E-2</v>
      </c>
      <c r="Q3472">
        <v>0.48691215672951499</v>
      </c>
      <c r="R3472">
        <v>0.89623376594316395</v>
      </c>
      <c r="S3472" t="s">
        <v>7304</v>
      </c>
      <c r="T3472" t="s">
        <v>7662</v>
      </c>
      <c r="U3472" t="s">
        <v>7662</v>
      </c>
      <c r="V3472" t="s">
        <v>7662</v>
      </c>
      <c r="W3472">
        <v>4</v>
      </c>
      <c r="X3472" t="s">
        <v>11134</v>
      </c>
      <c r="Y3472">
        <v>0.7246506946409087</v>
      </c>
      <c r="Z3472" t="str">
        <f>HYPERLINK("Melting_Curves/meltCurve_tr_E9PQP7_E9PQP7_HUMAN_.pdf", "Melting_Curves/meltCurve_tr_E9PQP7_E9PQP7_HUMAN_.pdf")</f>
        <v>Melting_Curves/meltCurve_tr_E9PQP7_E9PQP7_HUMAN_.pdf</v>
      </c>
      <c r="AA3472" t="s">
        <v>14912</v>
      </c>
      <c r="AB3472" t="s">
        <v>18703</v>
      </c>
    </row>
    <row r="3473" spans="1:28" x14ac:dyDescent="0.25">
      <c r="A3473" t="s">
        <v>3477</v>
      </c>
      <c r="B3473">
        <v>0.98876768158843997</v>
      </c>
      <c r="C3473">
        <v>0.92729432742187401</v>
      </c>
      <c r="D3473">
        <v>0.69726616955792298</v>
      </c>
      <c r="E3473">
        <v>0.36082657176769301</v>
      </c>
      <c r="F3473">
        <v>0.19407610378437801</v>
      </c>
      <c r="G3473">
        <v>0.120227683316436</v>
      </c>
      <c r="H3473">
        <v>8.1435410515958595E-2</v>
      </c>
      <c r="I3473">
        <v>7.1151408814714906E-2</v>
      </c>
      <c r="J3473">
        <v>5.8745210989728597E-2</v>
      </c>
      <c r="K3473">
        <v>4.8404409071939103E-2</v>
      </c>
      <c r="L3473">
        <v>904.00871413445498</v>
      </c>
      <c r="M3473">
        <v>18.8425520786347</v>
      </c>
      <c r="N3473">
        <v>48.305131906429601</v>
      </c>
      <c r="O3473">
        <v>47.446391215035597</v>
      </c>
      <c r="P3473">
        <v>-9.3322588195057801E-2</v>
      </c>
      <c r="Q3473">
        <v>6.0076869452143897E-2</v>
      </c>
      <c r="R3473">
        <v>0.99911871439435396</v>
      </c>
      <c r="S3473" t="s">
        <v>7305</v>
      </c>
      <c r="T3473" t="s">
        <v>7662</v>
      </c>
      <c r="U3473" t="s">
        <v>7662</v>
      </c>
      <c r="V3473" t="s">
        <v>7662</v>
      </c>
      <c r="W3473">
        <v>3</v>
      </c>
      <c r="X3473" t="s">
        <v>11135</v>
      </c>
      <c r="Y3473">
        <v>0.32516201998609928</v>
      </c>
      <c r="Z3473" t="str">
        <f>HYPERLINK("Melting_Curves/meltCurve_tr_E9PQW4_E9PQW4_HUMAN_.pdf", "Melting_Curves/meltCurve_tr_E9PQW4_E9PQW4_HUMAN_.pdf")</f>
        <v>Melting_Curves/meltCurve_tr_E9PQW4_E9PQW4_HUMAN_.pdf</v>
      </c>
      <c r="AA3473" t="s">
        <v>14913</v>
      </c>
      <c r="AB3473" t="s">
        <v>18704</v>
      </c>
    </row>
    <row r="3474" spans="1:28" x14ac:dyDescent="0.25">
      <c r="A3474" t="s">
        <v>3478</v>
      </c>
      <c r="B3474">
        <v>0.98876768158843997</v>
      </c>
      <c r="C3474">
        <v>0.97820337623973097</v>
      </c>
      <c r="D3474">
        <v>0.97670364651367003</v>
      </c>
      <c r="E3474">
        <v>0.83890250805701905</v>
      </c>
      <c r="F3474">
        <v>0.50218845936686995</v>
      </c>
      <c r="G3474">
        <v>0.16667739045355301</v>
      </c>
      <c r="H3474">
        <v>7.2298209854684603E-2</v>
      </c>
      <c r="I3474">
        <v>6.8194551430695402E-2</v>
      </c>
      <c r="J3474">
        <v>5.5396759459809999E-2</v>
      </c>
      <c r="K3474">
        <v>4.4487884081827099E-2</v>
      </c>
      <c r="L3474">
        <v>1444.19964465211</v>
      </c>
      <c r="M3474">
        <v>27.334740187968499</v>
      </c>
      <c r="N3474">
        <v>53.0441123959694</v>
      </c>
      <c r="O3474">
        <v>52.553509937972798</v>
      </c>
      <c r="P3474">
        <v>-0.12335768177017201</v>
      </c>
      <c r="Q3474">
        <v>5.1343752977650099E-2</v>
      </c>
      <c r="R3474">
        <v>0.99954203468689196</v>
      </c>
      <c r="S3474" t="s">
        <v>7306</v>
      </c>
      <c r="T3474" t="s">
        <v>7662</v>
      </c>
      <c r="U3474" t="s">
        <v>7662</v>
      </c>
      <c r="V3474" t="s">
        <v>7662</v>
      </c>
      <c r="W3474">
        <v>6</v>
      </c>
      <c r="X3474" t="s">
        <v>11136</v>
      </c>
      <c r="Y3474">
        <v>0.46453109133297871</v>
      </c>
      <c r="Z3474" t="str">
        <f>HYPERLINK("Melting_Curves/meltCurve_tr_E9PQY3_E9PQY3_HUMAN_.pdf", "Melting_Curves/meltCurve_tr_E9PQY3_E9PQY3_HUMAN_.pdf")</f>
        <v>Melting_Curves/meltCurve_tr_E9PQY3_E9PQY3_HUMAN_.pdf</v>
      </c>
      <c r="AA3474" t="s">
        <v>14914</v>
      </c>
      <c r="AB3474" t="s">
        <v>18705</v>
      </c>
    </row>
    <row r="3475" spans="1:28" x14ac:dyDescent="0.25">
      <c r="A3475" t="s">
        <v>3479</v>
      </c>
      <c r="B3475">
        <v>0.98876768158843997</v>
      </c>
      <c r="C3475">
        <v>0.86414239706791496</v>
      </c>
      <c r="D3475">
        <v>0.97335101102055799</v>
      </c>
      <c r="E3475">
        <v>0.96551446137447805</v>
      </c>
      <c r="F3475">
        <v>3.59014954803094</v>
      </c>
      <c r="G3475">
        <v>2.1275208902150302</v>
      </c>
      <c r="H3475">
        <v>0.56309983773099104</v>
      </c>
      <c r="I3475">
        <v>0.53622986503262304</v>
      </c>
      <c r="J3475">
        <v>0.662582775288027</v>
      </c>
      <c r="K3475">
        <v>0.47887031553093701</v>
      </c>
      <c r="L3475">
        <v>4352.1663527821502</v>
      </c>
      <c r="M3475">
        <v>72.309136716421406</v>
      </c>
      <c r="O3475">
        <v>60.142346635963499</v>
      </c>
      <c r="P3475">
        <v>-0.138565340498292</v>
      </c>
      <c r="Q3475">
        <v>0.53899917199373604</v>
      </c>
      <c r="R3475">
        <v>5.1544774241850298E-2</v>
      </c>
      <c r="S3475" t="s">
        <v>7307</v>
      </c>
      <c r="T3475" t="s">
        <v>7662</v>
      </c>
      <c r="U3475" t="s">
        <v>7662</v>
      </c>
      <c r="V3475" t="s">
        <v>7662</v>
      </c>
      <c r="W3475">
        <v>3</v>
      </c>
      <c r="X3475" t="s">
        <v>11137</v>
      </c>
      <c r="Y3475">
        <v>0.8498098899083425</v>
      </c>
      <c r="Z3475" t="str">
        <f>HYPERLINK("Melting_Curves/meltCurve_tr_E9PR54_E9PR54_HUMAN_.pdf", "Melting_Curves/meltCurve_tr_E9PR54_E9PR54_HUMAN_.pdf")</f>
        <v>Melting_Curves/meltCurve_tr_E9PR54_E9PR54_HUMAN_.pdf</v>
      </c>
      <c r="AA3475" t="s">
        <v>11995</v>
      </c>
      <c r="AB3475" t="s">
        <v>18706</v>
      </c>
    </row>
    <row r="3476" spans="1:28" x14ac:dyDescent="0.25">
      <c r="A3476" t="s">
        <v>3480</v>
      </c>
      <c r="B3476">
        <v>0.98876768158843997</v>
      </c>
      <c r="C3476">
        <v>0.94370288571782002</v>
      </c>
      <c r="D3476">
        <v>0.82512929524090695</v>
      </c>
      <c r="E3476">
        <v>0.46359501825326099</v>
      </c>
      <c r="F3476">
        <v>0.22248959721769601</v>
      </c>
      <c r="G3476">
        <v>0.12152747710306699</v>
      </c>
      <c r="H3476">
        <v>9.4296101007893707E-2</v>
      </c>
      <c r="I3476">
        <v>7.8550927749781604E-2</v>
      </c>
      <c r="J3476">
        <v>7.0312337708033995E-2</v>
      </c>
      <c r="K3476">
        <v>6.9374986793804203E-2</v>
      </c>
      <c r="L3476">
        <v>1032.93021193802</v>
      </c>
      <c r="M3476">
        <v>21.0081633322839</v>
      </c>
      <c r="N3476">
        <v>49.5234856974051</v>
      </c>
      <c r="O3476">
        <v>48.729028413022</v>
      </c>
      <c r="P3476">
        <v>-0.10024046897403301</v>
      </c>
      <c r="Q3476">
        <v>6.9982414071695503E-2</v>
      </c>
      <c r="R3476">
        <v>0.99952644434759697</v>
      </c>
      <c r="S3476" t="s">
        <v>7308</v>
      </c>
      <c r="T3476" t="s">
        <v>7662</v>
      </c>
      <c r="U3476" t="s">
        <v>7662</v>
      </c>
      <c r="V3476" t="s">
        <v>7662</v>
      </c>
      <c r="W3476">
        <v>7</v>
      </c>
      <c r="X3476" t="s">
        <v>11138</v>
      </c>
      <c r="Y3476">
        <v>0.36597211199548801</v>
      </c>
      <c r="Z3476" t="str">
        <f>HYPERLINK("Melting_Curves/meltCurve_tr_E9PRI4_E9PRI4_HUMAN_.pdf", "Melting_Curves/meltCurve_tr_E9PRI4_E9PRI4_HUMAN_.pdf")</f>
        <v>Melting_Curves/meltCurve_tr_E9PRI4_E9PRI4_HUMAN_.pdf</v>
      </c>
      <c r="AA3476" t="s">
        <v>14915</v>
      </c>
      <c r="AB3476" t="s">
        <v>18707</v>
      </c>
    </row>
    <row r="3477" spans="1:28" x14ac:dyDescent="0.25">
      <c r="A3477" t="s">
        <v>3481</v>
      </c>
      <c r="B3477">
        <v>0.98876768158843997</v>
      </c>
      <c r="C3477">
        <v>1.1722688849793601</v>
      </c>
      <c r="D3477">
        <v>0.88261560670014705</v>
      </c>
      <c r="E3477">
        <v>0.89933204276131096</v>
      </c>
      <c r="F3477">
        <v>1.25708898162159</v>
      </c>
      <c r="G3477">
        <v>0.84481038267997699</v>
      </c>
      <c r="H3477">
        <v>0.69587818886142006</v>
      </c>
      <c r="I3477">
        <v>0.80973075406789796</v>
      </c>
      <c r="J3477">
        <v>0.88708472873338495</v>
      </c>
      <c r="K3477">
        <v>1.2788315143276701</v>
      </c>
      <c r="L3477">
        <v>15000</v>
      </c>
      <c r="M3477">
        <v>214.51707871420601</v>
      </c>
      <c r="O3477">
        <v>69.918425267237197</v>
      </c>
      <c r="P3477">
        <v>0.38351314120159502</v>
      </c>
      <c r="Q3477">
        <v>1.5</v>
      </c>
      <c r="R3477">
        <v>0.19630085618558599</v>
      </c>
      <c r="S3477" t="s">
        <v>7309</v>
      </c>
      <c r="T3477" t="s">
        <v>7662</v>
      </c>
      <c r="U3477" t="s">
        <v>7662</v>
      </c>
      <c r="V3477" t="s">
        <v>7662</v>
      </c>
      <c r="W3477">
        <v>3</v>
      </c>
      <c r="X3477" t="s">
        <v>11139</v>
      </c>
      <c r="Y3477">
        <v>1.0043901020665329</v>
      </c>
      <c r="Z3477" t="str">
        <f>HYPERLINK("Melting_Curves/meltCurve_tr_E9PRZ9_E9PRZ9_HUMAN_.pdf", "Melting_Curves/meltCurve_tr_E9PRZ9_E9PRZ9_HUMAN_.pdf")</f>
        <v>Melting_Curves/meltCurve_tr_E9PRZ9_E9PRZ9_HUMAN_.pdf</v>
      </c>
      <c r="AA3477" t="s">
        <v>14916</v>
      </c>
      <c r="AB3477" t="s">
        <v>18708</v>
      </c>
    </row>
    <row r="3478" spans="1:28" x14ac:dyDescent="0.25">
      <c r="A3478" t="s">
        <v>3482</v>
      </c>
      <c r="B3478">
        <v>0.98876768158843997</v>
      </c>
      <c r="C3478">
        <v>0.76253320423336202</v>
      </c>
      <c r="D3478">
        <v>0.57739621385670903</v>
      </c>
      <c r="E3478">
        <v>0.410608003273017</v>
      </c>
      <c r="F3478">
        <v>0.268595741277317</v>
      </c>
      <c r="G3478">
        <v>0.177244924329508</v>
      </c>
      <c r="H3478">
        <v>0.16108506953879101</v>
      </c>
      <c r="I3478">
        <v>0.10050772962731901</v>
      </c>
      <c r="J3478">
        <v>0.22937911298535199</v>
      </c>
      <c r="K3478">
        <v>0.18072750118939801</v>
      </c>
      <c r="L3478">
        <v>688.49584481766396</v>
      </c>
      <c r="M3478">
        <v>14.8764836828332</v>
      </c>
      <c r="N3478">
        <v>47.466734760582803</v>
      </c>
      <c r="O3478">
        <v>45.468684453537598</v>
      </c>
      <c r="P3478">
        <v>-6.9106886474754103E-2</v>
      </c>
      <c r="Q3478">
        <v>0.155211298118832</v>
      </c>
      <c r="R3478">
        <v>0.97715379021543303</v>
      </c>
      <c r="S3478" t="s">
        <v>7310</v>
      </c>
      <c r="T3478" t="s">
        <v>7662</v>
      </c>
      <c r="U3478" t="s">
        <v>7662</v>
      </c>
      <c r="V3478" t="s">
        <v>7662</v>
      </c>
      <c r="W3478">
        <v>2</v>
      </c>
      <c r="X3478" t="s">
        <v>11140</v>
      </c>
      <c r="Y3478">
        <v>0.35662311007933251</v>
      </c>
      <c r="Z3478" t="str">
        <f>HYPERLINK("Melting_Curves/meltCurve_tr_F2Z2B9_F2Z2B9_HUMAN_.pdf", "Melting_Curves/meltCurve_tr_F2Z2B9_F2Z2B9_HUMAN_.pdf")</f>
        <v>Melting_Curves/meltCurve_tr_F2Z2B9_F2Z2B9_HUMAN_.pdf</v>
      </c>
      <c r="AA3478" t="s">
        <v>14917</v>
      </c>
      <c r="AB3478" t="s">
        <v>18709</v>
      </c>
    </row>
    <row r="3479" spans="1:28" x14ac:dyDescent="0.25">
      <c r="A3479" t="s">
        <v>3483</v>
      </c>
      <c r="B3479">
        <v>0.98876768158843997</v>
      </c>
      <c r="C3479">
        <v>1.0061961642936501</v>
      </c>
      <c r="D3479">
        <v>0.83348104505171805</v>
      </c>
      <c r="E3479">
        <v>0.55904496195826703</v>
      </c>
      <c r="F3479">
        <v>0.12969437333143999</v>
      </c>
      <c r="G3479">
        <v>7.0509131906605696E-2</v>
      </c>
      <c r="H3479">
        <v>3.7034916541736497E-2</v>
      </c>
      <c r="I3479">
        <v>3.1330032785590503E-2</v>
      </c>
      <c r="J3479">
        <v>3.3049810696098997E-2</v>
      </c>
      <c r="K3479">
        <v>3.4085302206813897E-2</v>
      </c>
      <c r="L3479">
        <v>1306.5193541544099</v>
      </c>
      <c r="M3479">
        <v>26.193108109938098</v>
      </c>
      <c r="N3479">
        <v>49.979472518003497</v>
      </c>
      <c r="O3479">
        <v>49.592254815102699</v>
      </c>
      <c r="P3479">
        <v>-0.12869911707273299</v>
      </c>
      <c r="Q3479">
        <v>2.5330203085480101E-2</v>
      </c>
      <c r="R3479">
        <v>0.99146566992321095</v>
      </c>
      <c r="S3479" t="s">
        <v>7311</v>
      </c>
      <c r="T3479" t="s">
        <v>7662</v>
      </c>
      <c r="U3479" t="s">
        <v>7662</v>
      </c>
      <c r="V3479" t="s">
        <v>7662</v>
      </c>
      <c r="W3479">
        <v>9</v>
      </c>
      <c r="X3479" t="s">
        <v>11141</v>
      </c>
      <c r="Y3479">
        <v>0.35424963799544529</v>
      </c>
      <c r="Z3479" t="str">
        <f>HYPERLINK("Melting_Curves/meltCurve_tr_F2Z2V0_F2Z2V0_HUMAN_.pdf", "Melting_Curves/meltCurve_tr_F2Z2V0_F2Z2V0_HUMAN_.pdf")</f>
        <v>Melting_Curves/meltCurve_tr_F2Z2V0_F2Z2V0_HUMAN_.pdf</v>
      </c>
      <c r="AA3479" t="s">
        <v>14918</v>
      </c>
      <c r="AB3479" t="s">
        <v>18710</v>
      </c>
    </row>
    <row r="3480" spans="1:28" x14ac:dyDescent="0.25">
      <c r="A3480" t="s">
        <v>3484</v>
      </c>
      <c r="B3480">
        <v>0.98876768158843997</v>
      </c>
      <c r="C3480">
        <v>0.91735980892286495</v>
      </c>
      <c r="D3480">
        <v>0.96893569266693402</v>
      </c>
      <c r="E3480">
        <v>0.91519716340838497</v>
      </c>
      <c r="F3480">
        <v>0.43738309463218</v>
      </c>
      <c r="G3480">
        <v>0.12777497884699399</v>
      </c>
      <c r="H3480">
        <v>7.7236792360407605E-2</v>
      </c>
      <c r="I3480">
        <v>7.7687316135704301E-2</v>
      </c>
      <c r="J3480">
        <v>8.5722999260671895E-2</v>
      </c>
      <c r="K3480">
        <v>5.8970382004615803E-2</v>
      </c>
      <c r="L3480">
        <v>2290.5684622891699</v>
      </c>
      <c r="M3480">
        <v>43.641168901763997</v>
      </c>
      <c r="N3480">
        <v>52.693095291480802</v>
      </c>
      <c r="O3480">
        <v>52.376565273259999</v>
      </c>
      <c r="P3480">
        <v>-0.19191774833901801</v>
      </c>
      <c r="Q3480">
        <v>7.8670171124433502E-2</v>
      </c>
      <c r="R3480">
        <v>0.99468955463048803</v>
      </c>
      <c r="S3480" t="s">
        <v>7312</v>
      </c>
      <c r="T3480" t="s">
        <v>7662</v>
      </c>
      <c r="U3480" t="s">
        <v>7662</v>
      </c>
      <c r="V3480" t="s">
        <v>7662</v>
      </c>
      <c r="W3480">
        <v>7</v>
      </c>
      <c r="X3480" t="s">
        <v>11142</v>
      </c>
      <c r="Y3480">
        <v>0.46494402686932501</v>
      </c>
      <c r="Z3480" t="str">
        <f>HYPERLINK("Melting_Curves/meltCurve_tr_F2Z2X4_F2Z2X4_HUMAN_.pdf", "Melting_Curves/meltCurve_tr_F2Z2X4_F2Z2X4_HUMAN_.pdf")</f>
        <v>Melting_Curves/meltCurve_tr_F2Z2X4_F2Z2X4_HUMAN_.pdf</v>
      </c>
      <c r="AA3480" t="s">
        <v>14919</v>
      </c>
      <c r="AB3480" t="s">
        <v>18711</v>
      </c>
    </row>
    <row r="3481" spans="1:28" x14ac:dyDescent="0.25">
      <c r="A3481" t="s">
        <v>3485</v>
      </c>
      <c r="B3481">
        <v>0.98876768158843997</v>
      </c>
      <c r="C3481">
        <v>1.0194208824905799</v>
      </c>
      <c r="D3481">
        <v>0.80174105877469304</v>
      </c>
      <c r="E3481">
        <v>0.692777937243785</v>
      </c>
      <c r="F3481">
        <v>0.49649230247028803</v>
      </c>
      <c r="G3481">
        <v>0.253944701131121</v>
      </c>
      <c r="H3481">
        <v>0.16347441258967099</v>
      </c>
      <c r="I3481">
        <v>0.12091181554201801</v>
      </c>
      <c r="J3481">
        <v>9.7484353562194107E-2</v>
      </c>
      <c r="K3481">
        <v>0.10668705675024701</v>
      </c>
      <c r="L3481">
        <v>739.27032347585498</v>
      </c>
      <c r="M3481">
        <v>14.1846950881684</v>
      </c>
      <c r="N3481">
        <v>52.618713774393299</v>
      </c>
      <c r="O3481">
        <v>51.114430151360096</v>
      </c>
      <c r="P3481">
        <v>-6.5000934790721804E-2</v>
      </c>
      <c r="Q3481">
        <v>6.3196479285461696E-2</v>
      </c>
      <c r="R3481">
        <v>0.99095384186653601</v>
      </c>
      <c r="S3481" t="s">
        <v>7313</v>
      </c>
      <c r="T3481" t="s">
        <v>7662</v>
      </c>
      <c r="U3481" t="s">
        <v>7662</v>
      </c>
      <c r="V3481" t="s">
        <v>7662</v>
      </c>
      <c r="W3481">
        <v>3</v>
      </c>
      <c r="X3481" t="s">
        <v>11143</v>
      </c>
      <c r="Y3481">
        <v>0.46424498805491232</v>
      </c>
      <c r="Z3481" t="str">
        <f>HYPERLINK("Melting_Curves/meltCurve_tr_F2Z3K9_F2Z3K9_HUMAN_.pdf", "Melting_Curves/meltCurve_tr_F2Z3K9_F2Z3K9_HUMAN_.pdf")</f>
        <v>Melting_Curves/meltCurve_tr_F2Z3K9_F2Z3K9_HUMAN_.pdf</v>
      </c>
      <c r="AA3481" t="s">
        <v>14920</v>
      </c>
      <c r="AB3481" t="s">
        <v>18712</v>
      </c>
    </row>
    <row r="3482" spans="1:28" x14ac:dyDescent="0.25">
      <c r="A3482" t="s">
        <v>3486</v>
      </c>
      <c r="B3482">
        <v>0.98876768158843997</v>
      </c>
      <c r="C3482">
        <v>1.08945548082344</v>
      </c>
      <c r="D3482">
        <v>0.90613525596220201</v>
      </c>
      <c r="E3482">
        <v>0.730643990913589</v>
      </c>
      <c r="F3482">
        <v>0.94926023209161203</v>
      </c>
      <c r="G3482">
        <v>0.68443308384121804</v>
      </c>
      <c r="H3482">
        <v>0.47521426910747699</v>
      </c>
      <c r="I3482">
        <v>0.26336227762021602</v>
      </c>
      <c r="J3482">
        <v>0.235669992633778</v>
      </c>
      <c r="K3482">
        <v>0.26858470045265898</v>
      </c>
      <c r="L3482">
        <v>736.91305683572398</v>
      </c>
      <c r="M3482">
        <v>12.4584005555659</v>
      </c>
      <c r="N3482">
        <v>60.122293723470897</v>
      </c>
      <c r="O3482">
        <v>57.687948360454797</v>
      </c>
      <c r="P3482">
        <v>-4.90742253366096E-2</v>
      </c>
      <c r="Q3482">
        <v>9.1247654640851703E-2</v>
      </c>
      <c r="R3482">
        <v>0.92109016340362104</v>
      </c>
      <c r="S3482" t="s">
        <v>7314</v>
      </c>
      <c r="T3482" t="s">
        <v>7662</v>
      </c>
      <c r="U3482" t="s">
        <v>7662</v>
      </c>
      <c r="V3482" t="s">
        <v>7662</v>
      </c>
      <c r="W3482">
        <v>1</v>
      </c>
      <c r="X3482" t="s">
        <v>11144</v>
      </c>
      <c r="Y3482">
        <v>0.67845369100860897</v>
      </c>
      <c r="Z3482" t="str">
        <f>HYPERLINK("Melting_Curves/meltCurve_tr_F2Z3M0_F2Z3M0_HUMAN_.pdf", "Melting_Curves/meltCurve_tr_F2Z3M0_F2Z3M0_HUMAN_.pdf")</f>
        <v>Melting_Curves/meltCurve_tr_F2Z3M0_F2Z3M0_HUMAN_.pdf</v>
      </c>
      <c r="AA3482" t="s">
        <v>14921</v>
      </c>
      <c r="AB3482" t="s">
        <v>18713</v>
      </c>
    </row>
    <row r="3483" spans="1:28" x14ac:dyDescent="0.25">
      <c r="A3483" t="s">
        <v>3487</v>
      </c>
      <c r="B3483">
        <v>0.98876768158843997</v>
      </c>
      <c r="C3483">
        <v>0.99733925237031096</v>
      </c>
      <c r="D3483">
        <v>0.91817558792788001</v>
      </c>
      <c r="E3483">
        <v>0.79785106350429502</v>
      </c>
      <c r="F3483">
        <v>0.61150301727572998</v>
      </c>
      <c r="G3483">
        <v>0.41843861921529202</v>
      </c>
      <c r="H3483">
        <v>0.30560498467675601</v>
      </c>
      <c r="I3483">
        <v>0.26027644309405001</v>
      </c>
      <c r="J3483">
        <v>0.232501956034495</v>
      </c>
      <c r="K3483">
        <v>0.165109805266099</v>
      </c>
      <c r="L3483">
        <v>747.12806208618201</v>
      </c>
      <c r="M3483">
        <v>13.8907602093976</v>
      </c>
      <c r="N3483">
        <v>55.360915989450397</v>
      </c>
      <c r="O3483">
        <v>52.708009210323098</v>
      </c>
      <c r="P3483">
        <v>-5.5139246499683901E-2</v>
      </c>
      <c r="Q3483">
        <v>0.16321812194200799</v>
      </c>
      <c r="R3483">
        <v>0.99748453985611996</v>
      </c>
      <c r="S3483" t="s">
        <v>7315</v>
      </c>
      <c r="T3483" t="s">
        <v>7662</v>
      </c>
      <c r="U3483" t="s">
        <v>7662</v>
      </c>
      <c r="V3483" t="s">
        <v>7662</v>
      </c>
      <c r="W3483">
        <v>3</v>
      </c>
      <c r="X3483" t="s">
        <v>11145</v>
      </c>
      <c r="Y3483">
        <v>0.56681711946406532</v>
      </c>
      <c r="Z3483" t="str">
        <f>HYPERLINK("Melting_Curves/meltCurve_tr_F5GWI4_F5GWI4_HUMAN_.pdf", "Melting_Curves/meltCurve_tr_F5GWI4_F5GWI4_HUMAN_.pdf")</f>
        <v>Melting_Curves/meltCurve_tr_F5GWI4_F5GWI4_HUMAN_.pdf</v>
      </c>
      <c r="AA3483" t="s">
        <v>14922</v>
      </c>
      <c r="AB3483" t="s">
        <v>18714</v>
      </c>
    </row>
    <row r="3484" spans="1:28" x14ac:dyDescent="0.25">
      <c r="A3484" t="s">
        <v>3488</v>
      </c>
      <c r="B3484">
        <v>0.98876768158843997</v>
      </c>
      <c r="C3484">
        <v>1.02716141593391</v>
      </c>
      <c r="D3484">
        <v>0.95458315576240704</v>
      </c>
      <c r="E3484">
        <v>0.65564528611534001</v>
      </c>
      <c r="F3484">
        <v>0.61203983846368104</v>
      </c>
      <c r="G3484">
        <v>0.41701668275839798</v>
      </c>
      <c r="H3484">
        <v>0.35477156572649199</v>
      </c>
      <c r="I3484">
        <v>0.38695093491943899</v>
      </c>
      <c r="J3484">
        <v>0.49778101069178998</v>
      </c>
      <c r="K3484">
        <v>0.37369119472213702</v>
      </c>
      <c r="L3484">
        <v>1107.55067477844</v>
      </c>
      <c r="M3484">
        <v>22.0778791338101</v>
      </c>
      <c r="N3484">
        <v>54.131628920781303</v>
      </c>
      <c r="O3484">
        <v>49.759498715220303</v>
      </c>
      <c r="P3484">
        <v>-6.6465553562220198E-2</v>
      </c>
      <c r="Q3484">
        <v>0.40080841387211402</v>
      </c>
      <c r="R3484">
        <v>0.96264563014798998</v>
      </c>
      <c r="S3484" t="s">
        <v>7316</v>
      </c>
      <c r="T3484" t="s">
        <v>7662</v>
      </c>
      <c r="U3484" t="s">
        <v>7662</v>
      </c>
      <c r="V3484" t="s">
        <v>7662</v>
      </c>
      <c r="W3484">
        <v>3</v>
      </c>
      <c r="X3484" t="s">
        <v>11146</v>
      </c>
      <c r="Y3484">
        <v>0.6107173640436907</v>
      </c>
      <c r="Z3484" t="str">
        <f>HYPERLINK("Melting_Curves/meltCurve_tr_F5GWI9_F5GWI9_HUMAN_.pdf", "Melting_Curves/meltCurve_tr_F5GWI9_F5GWI9_HUMAN_.pdf")</f>
        <v>Melting_Curves/meltCurve_tr_F5GWI9_F5GWI9_HUMAN_.pdf</v>
      </c>
      <c r="AA3484" t="s">
        <v>14923</v>
      </c>
      <c r="AB3484" t="s">
        <v>18715</v>
      </c>
    </row>
    <row r="3485" spans="1:28" x14ac:dyDescent="0.25">
      <c r="A3485" t="s">
        <v>3489</v>
      </c>
      <c r="B3485">
        <v>0.98876768158843997</v>
      </c>
      <c r="C3485">
        <v>1.0380603588245301</v>
      </c>
      <c r="D3485">
        <v>0.90279776694861402</v>
      </c>
      <c r="E3485">
        <v>0.72502704489846903</v>
      </c>
      <c r="F3485">
        <v>0.49086102136700399</v>
      </c>
      <c r="G3485">
        <v>0.27279439854936099</v>
      </c>
      <c r="H3485">
        <v>0.17562795765337499</v>
      </c>
      <c r="I3485">
        <v>0.17876261896853199</v>
      </c>
      <c r="J3485">
        <v>0.211494357181612</v>
      </c>
      <c r="K3485">
        <v>0.23084243707038199</v>
      </c>
      <c r="L3485">
        <v>1106.7192631037601</v>
      </c>
      <c r="M3485">
        <v>21.480736916625698</v>
      </c>
      <c r="N3485">
        <v>52.678527416890702</v>
      </c>
      <c r="O3485">
        <v>51.081193464841803</v>
      </c>
      <c r="P3485">
        <v>-8.5361160464009503E-2</v>
      </c>
      <c r="Q3485">
        <v>0.18806458803783399</v>
      </c>
      <c r="R3485">
        <v>0.992766470429708</v>
      </c>
      <c r="S3485" t="s">
        <v>7317</v>
      </c>
      <c r="T3485" t="s">
        <v>7662</v>
      </c>
      <c r="U3485" t="s">
        <v>7662</v>
      </c>
      <c r="V3485" t="s">
        <v>7662</v>
      </c>
      <c r="W3485">
        <v>14</v>
      </c>
      <c r="X3485" t="s">
        <v>11147</v>
      </c>
      <c r="Y3485">
        <v>0.50974748404029646</v>
      </c>
      <c r="Z3485" t="str">
        <f>HYPERLINK("Melting_Curves/meltCurve_tr_F5GWT4_F5GWT4_HUMAN_.pdf", "Melting_Curves/meltCurve_tr_F5GWT4_F5GWT4_HUMAN_.pdf")</f>
        <v>Melting_Curves/meltCurve_tr_F5GWT4_F5GWT4_HUMAN_.pdf</v>
      </c>
      <c r="AA3485" t="s">
        <v>14924</v>
      </c>
      <c r="AB3485" t="s">
        <v>18716</v>
      </c>
    </row>
    <row r="3486" spans="1:28" x14ac:dyDescent="0.25">
      <c r="A3486" t="s">
        <v>3490</v>
      </c>
      <c r="B3486">
        <v>0.98876768158843997</v>
      </c>
      <c r="C3486">
        <v>0.94155658855631197</v>
      </c>
      <c r="D3486">
        <v>1.0471310594332299</v>
      </c>
      <c r="E3486">
        <v>0.74100377711810395</v>
      </c>
      <c r="F3486">
        <v>0.37615105564780199</v>
      </c>
      <c r="G3486">
        <v>0.33387147182987598</v>
      </c>
      <c r="H3486">
        <v>0.13896574177523299</v>
      </c>
      <c r="I3486">
        <v>8.3702650686299701E-2</v>
      </c>
      <c r="J3486">
        <v>8.8858498489553295E-2</v>
      </c>
      <c r="K3486">
        <v>0.192840578540285</v>
      </c>
      <c r="L3486">
        <v>1305.5020768915999</v>
      </c>
      <c r="M3486">
        <v>25.292020549098499</v>
      </c>
      <c r="N3486">
        <v>52.292584364548802</v>
      </c>
      <c r="O3486">
        <v>51.297714525654399</v>
      </c>
      <c r="P3486">
        <v>-0.106086711113124</v>
      </c>
      <c r="Q3486">
        <v>0.139343487511706</v>
      </c>
      <c r="R3486">
        <v>0.97287994804073497</v>
      </c>
      <c r="S3486" t="s">
        <v>7318</v>
      </c>
      <c r="T3486" t="s">
        <v>7662</v>
      </c>
      <c r="U3486" t="s">
        <v>7662</v>
      </c>
      <c r="V3486" t="s">
        <v>7662</v>
      </c>
      <c r="W3486">
        <v>1</v>
      </c>
      <c r="X3486" t="s">
        <v>11148</v>
      </c>
      <c r="Y3486">
        <v>0.48027472357694612</v>
      </c>
      <c r="Z3486" t="str">
        <f>HYPERLINK("Melting_Curves/meltCurve_tr_F5GWU7_F5GWU7_HUMAN_.pdf", "Melting_Curves/meltCurve_tr_F5GWU7_F5GWU7_HUMAN_.pdf")</f>
        <v>Melting_Curves/meltCurve_tr_F5GWU7_F5GWU7_HUMAN_.pdf</v>
      </c>
      <c r="AA3486" t="s">
        <v>14925</v>
      </c>
      <c r="AB3486" t="s">
        <v>18717</v>
      </c>
    </row>
    <row r="3487" spans="1:28" x14ac:dyDescent="0.25">
      <c r="A3487" t="s">
        <v>3491</v>
      </c>
      <c r="B3487">
        <v>0.98876768158843997</v>
      </c>
      <c r="C3487">
        <v>0.91069294016534597</v>
      </c>
      <c r="D3487">
        <v>0.94478663521981798</v>
      </c>
      <c r="E3487">
        <v>0.57512552262944505</v>
      </c>
      <c r="F3487">
        <v>0.26687348000832301</v>
      </c>
      <c r="G3487">
        <v>0.15303637311974799</v>
      </c>
      <c r="H3487">
        <v>0.113706731475505</v>
      </c>
      <c r="I3487">
        <v>8.4498997279742499E-2</v>
      </c>
      <c r="J3487">
        <v>0.10902322174659899</v>
      </c>
      <c r="K3487">
        <v>9.4431114653261594E-2</v>
      </c>
      <c r="L3487">
        <v>1324.8268486209899</v>
      </c>
      <c r="M3487">
        <v>26.393079541957999</v>
      </c>
      <c r="N3487">
        <v>50.620851993132803</v>
      </c>
      <c r="O3487">
        <v>49.910484394532602</v>
      </c>
      <c r="P3487">
        <v>-0.119069626578357</v>
      </c>
      <c r="Q3487">
        <v>9.9345958161247694E-2</v>
      </c>
      <c r="R3487">
        <v>0.99442363700487402</v>
      </c>
      <c r="S3487" t="s">
        <v>7319</v>
      </c>
      <c r="T3487" t="s">
        <v>7662</v>
      </c>
      <c r="U3487" t="s">
        <v>7662</v>
      </c>
      <c r="V3487" t="s">
        <v>7662</v>
      </c>
      <c r="W3487">
        <v>7</v>
      </c>
      <c r="X3487" t="s">
        <v>11149</v>
      </c>
      <c r="Y3487">
        <v>0.41268270392618672</v>
      </c>
      <c r="Z3487" t="str">
        <f>HYPERLINK("Melting_Curves/meltCurve_tr_F5GWX5_F5GWX5_HUMAN_.pdf", "Melting_Curves/meltCurve_tr_F5GWX5_F5GWX5_HUMAN_.pdf")</f>
        <v>Melting_Curves/meltCurve_tr_F5GWX5_F5GWX5_HUMAN_.pdf</v>
      </c>
      <c r="AA3487" t="s">
        <v>14926</v>
      </c>
      <c r="AB3487" t="s">
        <v>18718</v>
      </c>
    </row>
    <row r="3488" spans="1:28" x14ac:dyDescent="0.25">
      <c r="A3488" t="s">
        <v>3492</v>
      </c>
      <c r="B3488">
        <v>0.98876768158843997</v>
      </c>
      <c r="C3488">
        <v>1.06669466651408</v>
      </c>
      <c r="D3488">
        <v>0.86385060443428996</v>
      </c>
      <c r="E3488">
        <v>0.78032785711653396</v>
      </c>
      <c r="F3488">
        <v>0.69857306792810003</v>
      </c>
      <c r="G3488">
        <v>0.33800185324542198</v>
      </c>
      <c r="H3488">
        <v>0.22211172474427399</v>
      </c>
      <c r="I3488">
        <v>0.18416651151077501</v>
      </c>
      <c r="J3488">
        <v>0.189097496943744</v>
      </c>
      <c r="K3488">
        <v>0.15857129195213501</v>
      </c>
      <c r="L3488">
        <v>887.64359896567703</v>
      </c>
      <c r="M3488">
        <v>16.486316956210899</v>
      </c>
      <c r="N3488">
        <v>54.861557957999999</v>
      </c>
      <c r="O3488">
        <v>53.0677644393053</v>
      </c>
      <c r="P3488">
        <v>-6.7416492609399498E-2</v>
      </c>
      <c r="Q3488">
        <v>0.132033414210559</v>
      </c>
      <c r="R3488">
        <v>0.98051690172693295</v>
      </c>
      <c r="S3488" t="s">
        <v>7320</v>
      </c>
      <c r="T3488" t="s">
        <v>7662</v>
      </c>
      <c r="U3488" t="s">
        <v>7662</v>
      </c>
      <c r="V3488" t="s">
        <v>7662</v>
      </c>
      <c r="W3488">
        <v>2</v>
      </c>
      <c r="X3488" t="s">
        <v>11150</v>
      </c>
      <c r="Y3488">
        <v>0.54833026226757065</v>
      </c>
      <c r="Z3488" t="str">
        <f>HYPERLINK("Melting_Curves/meltCurve_tr_F5GX77_F5GX77_HUMAN_.pdf", "Melting_Curves/meltCurve_tr_F5GX77_F5GX77_HUMAN_.pdf")</f>
        <v>Melting_Curves/meltCurve_tr_F5GX77_F5GX77_HUMAN_.pdf</v>
      </c>
      <c r="AA3488" t="s">
        <v>14927</v>
      </c>
      <c r="AB3488" t="s">
        <v>18719</v>
      </c>
    </row>
    <row r="3489" spans="1:28" x14ac:dyDescent="0.25">
      <c r="A3489" t="s">
        <v>3493</v>
      </c>
      <c r="B3489">
        <v>0.98876768158843997</v>
      </c>
      <c r="C3489">
        <v>0.94095295044822302</v>
      </c>
      <c r="D3489">
        <v>0.82881551437982204</v>
      </c>
      <c r="E3489">
        <v>0.381680187815432</v>
      </c>
      <c r="F3489">
        <v>8.9519677567616404E-2</v>
      </c>
      <c r="G3489">
        <v>4.9619594835171102E-2</v>
      </c>
      <c r="H3489">
        <v>2.7517384860437699E-2</v>
      </c>
      <c r="I3489">
        <v>2.79218254896746E-2</v>
      </c>
      <c r="J3489">
        <v>2.9497547364340598E-2</v>
      </c>
      <c r="K3489">
        <v>3.3895583034291903E-2</v>
      </c>
      <c r="L3489">
        <v>1283.6699572667701</v>
      </c>
      <c r="M3489">
        <v>26.324481692225099</v>
      </c>
      <c r="N3489">
        <v>48.852486024327298</v>
      </c>
      <c r="O3489">
        <v>48.484564379726997</v>
      </c>
      <c r="P3489">
        <v>-0.13255517015669699</v>
      </c>
      <c r="Q3489">
        <v>2.34476638496352E-2</v>
      </c>
      <c r="R3489">
        <v>0.99775009426906203</v>
      </c>
      <c r="S3489" t="s">
        <v>7321</v>
      </c>
      <c r="T3489" t="s">
        <v>7662</v>
      </c>
      <c r="U3489" t="s">
        <v>7662</v>
      </c>
      <c r="V3489" t="s">
        <v>7662</v>
      </c>
      <c r="W3489">
        <v>16</v>
      </c>
      <c r="X3489" t="s">
        <v>11151</v>
      </c>
      <c r="Y3489">
        <v>0.31647510748183338</v>
      </c>
      <c r="Z3489" t="str">
        <f>HYPERLINK("Melting_Curves/meltCurve_tr_F5GXC8_F5GXC8_HUMAN_.pdf", "Melting_Curves/meltCurve_tr_F5GXC8_F5GXC8_HUMAN_.pdf")</f>
        <v>Melting_Curves/meltCurve_tr_F5GXC8_F5GXC8_HUMAN_.pdf</v>
      </c>
      <c r="AA3489" t="s">
        <v>14928</v>
      </c>
      <c r="AB3489" t="s">
        <v>18720</v>
      </c>
    </row>
    <row r="3490" spans="1:28" x14ac:dyDescent="0.25">
      <c r="A3490" t="s">
        <v>3494</v>
      </c>
      <c r="B3490">
        <v>0.98876768158843997</v>
      </c>
      <c r="C3490">
        <v>0.909392669491906</v>
      </c>
      <c r="D3490">
        <v>0.82764324614279505</v>
      </c>
      <c r="E3490">
        <v>0.48929886269441603</v>
      </c>
      <c r="F3490">
        <v>0.32413624232896399</v>
      </c>
      <c r="G3490">
        <v>0.18807348414220301</v>
      </c>
      <c r="H3490">
        <v>0.11766780957593501</v>
      </c>
      <c r="I3490">
        <v>0.11914299698103401</v>
      </c>
      <c r="J3490">
        <v>7.9530169102888099E-2</v>
      </c>
      <c r="K3490">
        <v>0.119004472174379</v>
      </c>
      <c r="L3490">
        <v>836.70137401641</v>
      </c>
      <c r="M3490">
        <v>16.9084274002809</v>
      </c>
      <c r="N3490">
        <v>50.091531292726501</v>
      </c>
      <c r="O3490">
        <v>48.8076617771586</v>
      </c>
      <c r="P3490">
        <v>-7.8586740170484004E-2</v>
      </c>
      <c r="Q3490">
        <v>9.2667148628824303E-2</v>
      </c>
      <c r="R3490">
        <v>0.99748328293840205</v>
      </c>
      <c r="S3490" t="s">
        <v>7322</v>
      </c>
      <c r="T3490" t="s">
        <v>7662</v>
      </c>
      <c r="U3490" t="s">
        <v>7662</v>
      </c>
      <c r="V3490" t="s">
        <v>7662</v>
      </c>
      <c r="W3490">
        <v>3</v>
      </c>
      <c r="X3490" t="s">
        <v>11152</v>
      </c>
      <c r="Y3490">
        <v>0.39710161266720623</v>
      </c>
      <c r="Z3490" t="str">
        <f>HYPERLINK("Melting_Curves/meltCurve_tr_F5GY80_F5GY80_HUMAN_.pdf", "Melting_Curves/meltCurve_tr_F5GY80_F5GY80_HUMAN_.pdf")</f>
        <v>Melting_Curves/meltCurve_tr_F5GY80_F5GY80_HUMAN_.pdf</v>
      </c>
      <c r="AA3490" t="s">
        <v>14929</v>
      </c>
      <c r="AB3490" t="s">
        <v>18721</v>
      </c>
    </row>
    <row r="3491" spans="1:28" x14ac:dyDescent="0.25">
      <c r="A3491" t="s">
        <v>3495</v>
      </c>
      <c r="B3491">
        <v>0.98876768158843997</v>
      </c>
      <c r="C3491">
        <v>0.99357140505559105</v>
      </c>
      <c r="D3491">
        <v>0.77314430006393198</v>
      </c>
      <c r="E3491">
        <v>0.48158593747546302</v>
      </c>
      <c r="F3491">
        <v>0.238869432287759</v>
      </c>
      <c r="G3491">
        <v>0.105749134977923</v>
      </c>
      <c r="H3491">
        <v>6.4265082269654106E-2</v>
      </c>
      <c r="I3491">
        <v>6.3914223084620997E-2</v>
      </c>
      <c r="J3491">
        <v>6.7457827303324294E-2</v>
      </c>
      <c r="K3491">
        <v>6.3595513037479401E-2</v>
      </c>
      <c r="L3491">
        <v>958.62523303018997</v>
      </c>
      <c r="M3491">
        <v>19.458261352283898</v>
      </c>
      <c r="N3491">
        <v>49.550854817989702</v>
      </c>
      <c r="O3491">
        <v>48.7542542731479</v>
      </c>
      <c r="P3491">
        <v>-9.4496043250017203E-2</v>
      </c>
      <c r="Q3491">
        <v>5.2964787397722597E-2</v>
      </c>
      <c r="R3491">
        <v>0.99705484229321195</v>
      </c>
      <c r="S3491" t="s">
        <v>7323</v>
      </c>
      <c r="T3491" t="s">
        <v>7662</v>
      </c>
      <c r="U3491" t="s">
        <v>7662</v>
      </c>
      <c r="V3491" t="s">
        <v>7662</v>
      </c>
      <c r="W3491">
        <v>13</v>
      </c>
      <c r="X3491" t="s">
        <v>11153</v>
      </c>
      <c r="Y3491">
        <v>0.35944959008242577</v>
      </c>
      <c r="Z3491" t="str">
        <f>HYPERLINK("Melting_Curves/meltCurve_tr_F5GYC4_F5GYC4_HUMAN_.pdf", "Melting_Curves/meltCurve_tr_F5GYC4_F5GYC4_HUMAN_.pdf")</f>
        <v>Melting_Curves/meltCurve_tr_F5GYC4_F5GYC4_HUMAN_.pdf</v>
      </c>
      <c r="AA3491" t="s">
        <v>14930</v>
      </c>
      <c r="AB3491" t="s">
        <v>18722</v>
      </c>
    </row>
    <row r="3492" spans="1:28" x14ac:dyDescent="0.25">
      <c r="A3492" t="s">
        <v>3496</v>
      </c>
      <c r="B3492">
        <v>0.98876768158843997</v>
      </c>
      <c r="C3492">
        <v>1.0361432946612099</v>
      </c>
      <c r="D3492">
        <v>0.90683193660463701</v>
      </c>
      <c r="E3492">
        <v>0.86550764105404598</v>
      </c>
      <c r="F3492">
        <v>0.81100729764354096</v>
      </c>
      <c r="G3492">
        <v>0.560002080147181</v>
      </c>
      <c r="H3492">
        <v>0.38125923962647901</v>
      </c>
      <c r="I3492">
        <v>0.40819923562174398</v>
      </c>
      <c r="J3492">
        <v>0.47092443964517799</v>
      </c>
      <c r="K3492">
        <v>0.494823567599179</v>
      </c>
      <c r="L3492">
        <v>1212.3867805540799</v>
      </c>
      <c r="M3492">
        <v>22.540646103446601</v>
      </c>
      <c r="N3492">
        <v>58.878755218403903</v>
      </c>
      <c r="O3492">
        <v>53.368716286136703</v>
      </c>
      <c r="P3492">
        <v>-6.0311631444615599E-2</v>
      </c>
      <c r="Q3492">
        <v>0.42882045129494201</v>
      </c>
      <c r="R3492">
        <v>0.95435537567541995</v>
      </c>
      <c r="S3492" t="s">
        <v>7324</v>
      </c>
      <c r="T3492" t="s">
        <v>7662</v>
      </c>
      <c r="U3492" t="s">
        <v>7662</v>
      </c>
      <c r="V3492" t="s">
        <v>7662</v>
      </c>
      <c r="W3492">
        <v>4</v>
      </c>
      <c r="X3492" t="s">
        <v>11154</v>
      </c>
      <c r="Y3492">
        <v>0.69766978367427923</v>
      </c>
      <c r="Z3492" t="str">
        <f>HYPERLINK("Melting_Curves/meltCurve_tr_F5GYJ5_F5GYJ5_HUMAN_.pdf", "Melting_Curves/meltCurve_tr_F5GYJ5_F5GYJ5_HUMAN_.pdf")</f>
        <v>Melting_Curves/meltCurve_tr_F5GYJ5_F5GYJ5_HUMAN_.pdf</v>
      </c>
      <c r="AB3492" t="s">
        <v>18723</v>
      </c>
    </row>
    <row r="3493" spans="1:28" x14ac:dyDescent="0.25">
      <c r="A3493" t="s">
        <v>3497</v>
      </c>
      <c r="B3493">
        <v>0.98876768158843997</v>
      </c>
      <c r="C3493">
        <v>0.75799291547749204</v>
      </c>
      <c r="D3493">
        <v>1.33562030907484</v>
      </c>
      <c r="E3493">
        <v>1.29154623914148</v>
      </c>
      <c r="F3493">
        <v>0.23314227630586801</v>
      </c>
      <c r="G3493">
        <v>0.13047634456069701</v>
      </c>
      <c r="H3493">
        <v>6.46277507169844E-2</v>
      </c>
      <c r="I3493">
        <v>5.6446279247584601E-2</v>
      </c>
      <c r="J3493">
        <v>8.2209701783699102E-2</v>
      </c>
      <c r="K3493">
        <v>6.6172581876015699E-2</v>
      </c>
      <c r="L3493">
        <v>13164.6269089139</v>
      </c>
      <c r="M3493">
        <v>250</v>
      </c>
      <c r="N3493">
        <v>52.695270712278699</v>
      </c>
      <c r="O3493">
        <v>52.655137574665297</v>
      </c>
      <c r="P3493">
        <v>-1.09202781194309</v>
      </c>
      <c r="Q3493">
        <v>7.9986001662614797E-2</v>
      </c>
      <c r="R3493">
        <v>0.89955020114601103</v>
      </c>
      <c r="S3493" t="s">
        <v>7325</v>
      </c>
      <c r="T3493" t="s">
        <v>7662</v>
      </c>
      <c r="U3493" t="s">
        <v>7662</v>
      </c>
      <c r="V3493" t="s">
        <v>7662</v>
      </c>
      <c r="W3493">
        <v>5</v>
      </c>
      <c r="X3493" t="s">
        <v>11155</v>
      </c>
      <c r="Y3493">
        <v>0.46827116539084179</v>
      </c>
      <c r="Z3493" t="str">
        <f>HYPERLINK("Melting_Curves/meltCurve_tr_F5GYK2_F5GYK2_HUMAN_.pdf", "Melting_Curves/meltCurve_tr_F5GYK2_F5GYK2_HUMAN_.pdf")</f>
        <v>Melting_Curves/meltCurve_tr_F5GYK2_F5GYK2_HUMAN_.pdf</v>
      </c>
      <c r="AA3493" t="s">
        <v>14931</v>
      </c>
      <c r="AB3493" t="s">
        <v>18724</v>
      </c>
    </row>
    <row r="3494" spans="1:28" x14ac:dyDescent="0.25">
      <c r="A3494" t="s">
        <v>3498</v>
      </c>
      <c r="B3494">
        <v>0.98876768158843997</v>
      </c>
      <c r="C3494">
        <v>1.1470301641963701</v>
      </c>
      <c r="D3494">
        <v>0.80178000736838995</v>
      </c>
      <c r="E3494">
        <v>0.76294033895312396</v>
      </c>
      <c r="F3494">
        <v>0.57156523720344099</v>
      </c>
      <c r="G3494">
        <v>0.12257371339046599</v>
      </c>
      <c r="H3494">
        <v>7.5161885549888896E-2</v>
      </c>
      <c r="I3494">
        <v>5.8958417505150698E-2</v>
      </c>
      <c r="J3494">
        <v>6.5826435077550094E-2</v>
      </c>
      <c r="K3494">
        <v>5.8336978000975898E-2</v>
      </c>
      <c r="L3494">
        <v>1107.37544649868</v>
      </c>
      <c r="M3494">
        <v>20.971947605139601</v>
      </c>
      <c r="N3494">
        <v>52.9702391500064</v>
      </c>
      <c r="O3494">
        <v>52.329656954841603</v>
      </c>
      <c r="P3494">
        <v>-9.6978917242631801E-2</v>
      </c>
      <c r="Q3494">
        <v>3.2090950416546103E-2</v>
      </c>
      <c r="R3494">
        <v>0.96403500607367498</v>
      </c>
      <c r="S3494" t="s">
        <v>7326</v>
      </c>
      <c r="T3494" t="s">
        <v>7662</v>
      </c>
      <c r="U3494" t="s">
        <v>7662</v>
      </c>
      <c r="V3494" t="s">
        <v>7662</v>
      </c>
      <c r="W3494">
        <v>11</v>
      </c>
      <c r="X3494" t="s">
        <v>11156</v>
      </c>
      <c r="Y3494">
        <v>0.45742649945855918</v>
      </c>
      <c r="Z3494" t="str">
        <f>HYPERLINK("Melting_Curves/meltCurve_tr_F5GYN4_F5GYN4_HUMAN_.pdf", "Melting_Curves/meltCurve_tr_F5GYN4_F5GYN4_HUMAN_.pdf")</f>
        <v>Melting_Curves/meltCurve_tr_F5GYN4_F5GYN4_HUMAN_.pdf</v>
      </c>
      <c r="AA3494" t="s">
        <v>14932</v>
      </c>
      <c r="AB3494" t="s">
        <v>18725</v>
      </c>
    </row>
    <row r="3495" spans="1:28" x14ac:dyDescent="0.25">
      <c r="A3495" t="s">
        <v>3499</v>
      </c>
      <c r="B3495">
        <v>0.98876768158843997</v>
      </c>
      <c r="C3495">
        <v>0.71778495455301605</v>
      </c>
      <c r="D3495">
        <v>0.96941673288362995</v>
      </c>
      <c r="E3495">
        <v>0.82949223837066399</v>
      </c>
      <c r="F3495">
        <v>0.48277278092675502</v>
      </c>
      <c r="G3495">
        <v>0.46492795677541399</v>
      </c>
      <c r="H3495">
        <v>0.32482100440759099</v>
      </c>
      <c r="I3495">
        <v>0.31646894828720501</v>
      </c>
      <c r="J3495">
        <v>0.33058303152797103</v>
      </c>
      <c r="K3495">
        <v>0.108571520224512</v>
      </c>
      <c r="L3495">
        <v>426.43008366970002</v>
      </c>
      <c r="M3495">
        <v>7.6261395922729802</v>
      </c>
      <c r="N3495">
        <v>56.111158788599901</v>
      </c>
      <c r="O3495">
        <v>52.460858570465497</v>
      </c>
      <c r="P3495">
        <v>-3.5917060964748199E-2</v>
      </c>
      <c r="Q3495">
        <v>1.30282499335477E-2</v>
      </c>
      <c r="R3495">
        <v>0.877424169079973</v>
      </c>
      <c r="S3495" t="s">
        <v>7327</v>
      </c>
      <c r="T3495" t="s">
        <v>7662</v>
      </c>
      <c r="U3495" t="s">
        <v>7662</v>
      </c>
      <c r="V3495" t="s">
        <v>7662</v>
      </c>
      <c r="W3495">
        <v>3</v>
      </c>
      <c r="X3495" t="s">
        <v>11157</v>
      </c>
      <c r="Y3495">
        <v>0.55633124199974426</v>
      </c>
      <c r="Z3495" t="str">
        <f>HYPERLINK("Melting_Curves/meltCurve_tr_F5GZ54_F5GZ54_HUMAN_.pdf", "Melting_Curves/meltCurve_tr_F5GZ54_F5GZ54_HUMAN_.pdf")</f>
        <v>Melting_Curves/meltCurve_tr_F5GZ54_F5GZ54_HUMAN_.pdf</v>
      </c>
      <c r="AA3495" t="s">
        <v>13876</v>
      </c>
      <c r="AB3495" t="s">
        <v>18726</v>
      </c>
    </row>
    <row r="3496" spans="1:28" x14ac:dyDescent="0.25">
      <c r="A3496" t="s">
        <v>3500</v>
      </c>
      <c r="B3496">
        <v>0.98876768158843997</v>
      </c>
      <c r="C3496">
        <v>0.99613438240793395</v>
      </c>
      <c r="D3496">
        <v>0.884011768891661</v>
      </c>
      <c r="E3496">
        <v>0.60437643242958305</v>
      </c>
      <c r="F3496">
        <v>0.66704962218638697</v>
      </c>
      <c r="G3496">
        <v>0.49806866868201899</v>
      </c>
      <c r="H3496">
        <v>0.394747750444571</v>
      </c>
      <c r="I3496">
        <v>0.49879967505339101</v>
      </c>
      <c r="J3496">
        <v>0.55589973850222896</v>
      </c>
      <c r="K3496">
        <v>0.75832404464953196</v>
      </c>
      <c r="L3496">
        <v>1456.3456788082301</v>
      </c>
      <c r="M3496">
        <v>30.659856488540498</v>
      </c>
      <c r="O3496">
        <v>47.299380951024801</v>
      </c>
      <c r="P3496">
        <v>-7.2222012310393199E-2</v>
      </c>
      <c r="Q3496">
        <v>0.55433110804222696</v>
      </c>
      <c r="R3496">
        <v>0.79599135793796505</v>
      </c>
      <c r="S3496" t="s">
        <v>7328</v>
      </c>
      <c r="T3496" t="s">
        <v>7662</v>
      </c>
      <c r="U3496" t="s">
        <v>7662</v>
      </c>
      <c r="V3496" t="s">
        <v>7662</v>
      </c>
      <c r="W3496">
        <v>9</v>
      </c>
      <c r="X3496" t="s">
        <v>11158</v>
      </c>
      <c r="Y3496">
        <v>0.66830307323772697</v>
      </c>
      <c r="Z3496" t="str">
        <f>HYPERLINK("Melting_Curves/meltCurve_tr_F5GZ78_F5GZ78_HUMAN_.pdf", "Melting_Curves/meltCurve_tr_F5GZ78_F5GZ78_HUMAN_.pdf")</f>
        <v>Melting_Curves/meltCurve_tr_F5GZ78_F5GZ78_HUMAN_.pdf</v>
      </c>
      <c r="AA3496" t="s">
        <v>14933</v>
      </c>
      <c r="AB3496" t="s">
        <v>18727</v>
      </c>
    </row>
    <row r="3497" spans="1:28" x14ac:dyDescent="0.25">
      <c r="A3497" t="s">
        <v>3501</v>
      </c>
      <c r="B3497">
        <v>0.98876768158843997</v>
      </c>
      <c r="C3497">
        <v>1.11536790210201</v>
      </c>
      <c r="D3497">
        <v>0.57618574217727203</v>
      </c>
      <c r="E3497">
        <v>0.57337431556725904</v>
      </c>
      <c r="F3497">
        <v>0.57322782291247798</v>
      </c>
      <c r="G3497">
        <v>0.71572228723046105</v>
      </c>
      <c r="H3497">
        <v>0.37451618291588501</v>
      </c>
      <c r="I3497">
        <v>0.50713050245813696</v>
      </c>
      <c r="J3497">
        <v>0.69131242537873905</v>
      </c>
      <c r="K3497">
        <v>0.84791626232506501</v>
      </c>
      <c r="L3497">
        <v>11129.483290279701</v>
      </c>
      <c r="M3497">
        <v>250</v>
      </c>
      <c r="O3497">
        <v>44.515060498352099</v>
      </c>
      <c r="P3497">
        <v>-0.55120357866999203</v>
      </c>
      <c r="Q3497">
        <v>0.60741001829185104</v>
      </c>
      <c r="R3497">
        <v>0.66351618370089904</v>
      </c>
      <c r="S3497" t="s">
        <v>7329</v>
      </c>
      <c r="T3497" t="s">
        <v>7662</v>
      </c>
      <c r="U3497" t="s">
        <v>7662</v>
      </c>
      <c r="V3497" t="s">
        <v>7662</v>
      </c>
      <c r="W3497">
        <v>2</v>
      </c>
      <c r="X3497" t="s">
        <v>11159</v>
      </c>
      <c r="Y3497">
        <v>0.66656386724121675</v>
      </c>
      <c r="Z3497" t="str">
        <f>HYPERLINK("Melting_Curves/meltCurve_tr_F5GZU5_F5GZU5_HUMAN_.pdf", "Melting_Curves/meltCurve_tr_F5GZU5_F5GZU5_HUMAN_.pdf")</f>
        <v>Melting_Curves/meltCurve_tr_F5GZU5_F5GZU5_HUMAN_.pdf</v>
      </c>
      <c r="AA3497" t="s">
        <v>14934</v>
      </c>
      <c r="AB3497" t="s">
        <v>18728</v>
      </c>
    </row>
    <row r="3498" spans="1:28" x14ac:dyDescent="0.25">
      <c r="A3498" t="s">
        <v>3502</v>
      </c>
      <c r="B3498">
        <v>0.98876768158843997</v>
      </c>
      <c r="C3498">
        <v>0.94214968428774803</v>
      </c>
      <c r="D3498">
        <v>0.95641745077434503</v>
      </c>
      <c r="E3498">
        <v>0.81983689551280303</v>
      </c>
      <c r="F3498">
        <v>0.63841226556614195</v>
      </c>
      <c r="G3498">
        <v>0.46785880045978501</v>
      </c>
      <c r="H3498">
        <v>0.38964515845173098</v>
      </c>
      <c r="I3498">
        <v>0.45178581869942702</v>
      </c>
      <c r="J3498">
        <v>0.50308282727510401</v>
      </c>
      <c r="K3498">
        <v>0.52945345725243897</v>
      </c>
      <c r="L3498">
        <v>1409.64660449441</v>
      </c>
      <c r="M3498">
        <v>27.490635761527798</v>
      </c>
      <c r="N3498">
        <v>56.633690645087903</v>
      </c>
      <c r="O3498">
        <v>51.008303929547999</v>
      </c>
      <c r="P3498">
        <v>-7.2372231435270398E-2</v>
      </c>
      <c r="Q3498">
        <v>0.46286426364878502</v>
      </c>
      <c r="R3498">
        <v>0.96518902664969497</v>
      </c>
      <c r="S3498" t="s">
        <v>7330</v>
      </c>
      <c r="T3498" t="s">
        <v>7662</v>
      </c>
      <c r="U3498" t="s">
        <v>7662</v>
      </c>
      <c r="V3498" t="s">
        <v>7662</v>
      </c>
      <c r="W3498">
        <v>11</v>
      </c>
      <c r="X3498" t="s">
        <v>11160</v>
      </c>
      <c r="Y3498">
        <v>0.66881634922716304</v>
      </c>
      <c r="Z3498" t="str">
        <f>HYPERLINK("Melting_Curves/meltCurve_tr_F5GZZ9_F5GZZ9_HUMAN_.pdf", "Melting_Curves/meltCurve_tr_F5GZZ9_F5GZZ9_HUMAN_.pdf")</f>
        <v>Melting_Curves/meltCurve_tr_F5GZZ9_F5GZZ9_HUMAN_.pdf</v>
      </c>
      <c r="AA3498" t="s">
        <v>14935</v>
      </c>
      <c r="AB3498" t="s">
        <v>18729</v>
      </c>
    </row>
    <row r="3499" spans="1:28" x14ac:dyDescent="0.25">
      <c r="A3499" t="s">
        <v>3503</v>
      </c>
      <c r="B3499">
        <v>0.98876768158843997</v>
      </c>
      <c r="C3499">
        <v>1.01735596575114</v>
      </c>
      <c r="D3499">
        <v>0.84258506290512603</v>
      </c>
      <c r="E3499">
        <v>0.235986429416739</v>
      </c>
      <c r="F3499">
        <v>0.114201819615714</v>
      </c>
      <c r="G3499">
        <v>7.8513561087235798E-2</v>
      </c>
      <c r="H3499">
        <v>5.1117928057623503E-2</v>
      </c>
      <c r="I3499">
        <v>5.2717055329107601E-2</v>
      </c>
      <c r="J3499">
        <v>0.101880912837453</v>
      </c>
      <c r="K3499">
        <v>7.3811560256513198E-2</v>
      </c>
      <c r="L3499">
        <v>1802.45704584384</v>
      </c>
      <c r="M3499">
        <v>37.578451172577502</v>
      </c>
      <c r="N3499">
        <v>48.169206817990897</v>
      </c>
      <c r="O3499">
        <v>47.829949262225</v>
      </c>
      <c r="P3499">
        <v>-0.18196629734880401</v>
      </c>
      <c r="Q3499">
        <v>7.3573775876529801E-2</v>
      </c>
      <c r="R3499">
        <v>0.99812197251286505</v>
      </c>
      <c r="S3499" t="s">
        <v>7331</v>
      </c>
      <c r="T3499" t="s">
        <v>7662</v>
      </c>
      <c r="U3499" t="s">
        <v>7662</v>
      </c>
      <c r="V3499" t="s">
        <v>7662</v>
      </c>
      <c r="W3499">
        <v>5</v>
      </c>
      <c r="X3499" t="s">
        <v>11161</v>
      </c>
      <c r="Y3499">
        <v>0.32304481617674641</v>
      </c>
      <c r="Z3499" t="str">
        <f>HYPERLINK("Melting_Curves/meltCurve_tr_F5H012_F5H012_HUMAN_.pdf", "Melting_Curves/meltCurve_tr_F5H012_F5H012_HUMAN_.pdf")</f>
        <v>Melting_Curves/meltCurve_tr_F5H012_F5H012_HUMAN_.pdf</v>
      </c>
      <c r="AA3499" t="s">
        <v>14936</v>
      </c>
      <c r="AB3499" t="s">
        <v>18730</v>
      </c>
    </row>
    <row r="3500" spans="1:28" x14ac:dyDescent="0.25">
      <c r="A3500" t="s">
        <v>3504</v>
      </c>
      <c r="B3500">
        <v>0.98876768158843997</v>
      </c>
      <c r="C3500">
        <v>1.1077172572512399</v>
      </c>
      <c r="D3500">
        <v>0.91958164929501796</v>
      </c>
      <c r="E3500">
        <v>0.71228179869237496</v>
      </c>
      <c r="F3500">
        <v>0.85914700926151699</v>
      </c>
      <c r="G3500">
        <v>0.58012671822591499</v>
      </c>
      <c r="H3500">
        <v>0.46648980186334599</v>
      </c>
      <c r="I3500">
        <v>0.55565277407107405</v>
      </c>
      <c r="J3500">
        <v>0.56402868514144</v>
      </c>
      <c r="K3500">
        <v>0.77191149721048802</v>
      </c>
      <c r="L3500">
        <v>961.94899063007097</v>
      </c>
      <c r="M3500">
        <v>19.1212568874444</v>
      </c>
      <c r="O3500">
        <v>49.767282252538998</v>
      </c>
      <c r="P3500">
        <v>-3.9338630431750697E-2</v>
      </c>
      <c r="Q3500">
        <v>0.59046612581573399</v>
      </c>
      <c r="R3500">
        <v>0.74273568119122801</v>
      </c>
      <c r="S3500" t="s">
        <v>7332</v>
      </c>
      <c r="T3500" t="s">
        <v>7662</v>
      </c>
      <c r="U3500" t="s">
        <v>7662</v>
      </c>
      <c r="V3500" t="s">
        <v>7662</v>
      </c>
      <c r="W3500">
        <v>11</v>
      </c>
      <c r="X3500" t="s">
        <v>11162</v>
      </c>
      <c r="Y3500">
        <v>0.73738679528850104</v>
      </c>
      <c r="Z3500" t="str">
        <f>HYPERLINK("Melting_Curves/meltCurve_tr_F5H0B0_F5H0B0_HUMAN_.pdf", "Melting_Curves/meltCurve_tr_F5H0B0_F5H0B0_HUMAN_.pdf")</f>
        <v>Melting_Curves/meltCurve_tr_F5H0B0_F5H0B0_HUMAN_.pdf</v>
      </c>
      <c r="AA3500" t="s">
        <v>14937</v>
      </c>
      <c r="AB3500" t="s">
        <v>18731</v>
      </c>
    </row>
    <row r="3501" spans="1:28" x14ac:dyDescent="0.25">
      <c r="A3501" t="s">
        <v>3505</v>
      </c>
      <c r="B3501">
        <v>0.98876768158843997</v>
      </c>
      <c r="C3501">
        <v>0.95855247637643803</v>
      </c>
      <c r="D3501">
        <v>0.93807197163596301</v>
      </c>
      <c r="E3501">
        <v>0.58137627980954598</v>
      </c>
      <c r="F3501">
        <v>0.26961151835702701</v>
      </c>
      <c r="G3501">
        <v>0.14663587250045901</v>
      </c>
      <c r="H3501">
        <v>9.42737950644678E-2</v>
      </c>
      <c r="I3501">
        <v>8.01551342736187E-2</v>
      </c>
      <c r="J3501">
        <v>0.11041815798520201</v>
      </c>
      <c r="K3501">
        <v>8.8220799527723603E-2</v>
      </c>
      <c r="L3501">
        <v>1339.4394716558199</v>
      </c>
      <c r="M3501">
        <v>26.640558074495299</v>
      </c>
      <c r="N3501">
        <v>50.668462285500297</v>
      </c>
      <c r="O3501">
        <v>49.997474862547499</v>
      </c>
      <c r="P3501">
        <v>-0.120855317329089</v>
      </c>
      <c r="Q3501">
        <v>9.2752192320987095E-2</v>
      </c>
      <c r="R3501">
        <v>0.99851874206791402</v>
      </c>
      <c r="S3501" t="s">
        <v>7333</v>
      </c>
      <c r="T3501" t="s">
        <v>7662</v>
      </c>
      <c r="U3501" t="s">
        <v>7662</v>
      </c>
      <c r="V3501" t="s">
        <v>7662</v>
      </c>
      <c r="W3501">
        <v>14</v>
      </c>
      <c r="X3501" t="s">
        <v>11163</v>
      </c>
      <c r="Y3501">
        <v>0.41074135592235472</v>
      </c>
      <c r="Z3501" t="str">
        <f>HYPERLINK("Melting_Curves/meltCurve_tr_F5H0L8_F5H0L8_HUMAN_.pdf", "Melting_Curves/meltCurve_tr_F5H0L8_F5H0L8_HUMAN_.pdf")</f>
        <v>Melting_Curves/meltCurve_tr_F5H0L8_F5H0L8_HUMAN_.pdf</v>
      </c>
      <c r="AA3501" t="s">
        <v>14938</v>
      </c>
      <c r="AB3501" t="s">
        <v>18732</v>
      </c>
    </row>
    <row r="3502" spans="1:28" x14ac:dyDescent="0.25">
      <c r="A3502" t="s">
        <v>3506</v>
      </c>
      <c r="B3502">
        <v>0.98876768158843997</v>
      </c>
      <c r="C3502">
        <v>1.0543377592772201</v>
      </c>
      <c r="D3502">
        <v>0.919445487760436</v>
      </c>
      <c r="E3502">
        <v>0.65509774463757398</v>
      </c>
      <c r="F3502">
        <v>0.52596830029054797</v>
      </c>
      <c r="G3502">
        <v>0.19383498449206499</v>
      </c>
      <c r="H3502">
        <v>0.12133893876773</v>
      </c>
      <c r="I3502">
        <v>0.10377342840939401</v>
      </c>
      <c r="J3502">
        <v>0.14912469748125101</v>
      </c>
      <c r="K3502">
        <v>8.4947262645980598E-2</v>
      </c>
      <c r="L3502">
        <v>977.75435719515303</v>
      </c>
      <c r="M3502">
        <v>18.821702368209401</v>
      </c>
      <c r="N3502">
        <v>52.489292149555901</v>
      </c>
      <c r="O3502">
        <v>51.372488980994703</v>
      </c>
      <c r="P3502">
        <v>-8.3521434244857001E-2</v>
      </c>
      <c r="Q3502">
        <v>8.8174679726668995E-2</v>
      </c>
      <c r="R3502">
        <v>0.98858237933500204</v>
      </c>
      <c r="S3502" t="s">
        <v>7334</v>
      </c>
      <c r="T3502" t="s">
        <v>7662</v>
      </c>
      <c r="U3502" t="s">
        <v>7662</v>
      </c>
      <c r="V3502" t="s">
        <v>7662</v>
      </c>
      <c r="W3502">
        <v>3</v>
      </c>
      <c r="X3502" t="s">
        <v>11164</v>
      </c>
      <c r="Y3502">
        <v>0.46538748058875351</v>
      </c>
      <c r="Z3502" t="str">
        <f>HYPERLINK("Melting_Curves/meltCurve_tr_F5H0U5_F5H0U5_HUMAN_.pdf", "Melting_Curves/meltCurve_tr_F5H0U5_F5H0U5_HUMAN_.pdf")</f>
        <v>Melting_Curves/meltCurve_tr_F5H0U5_F5H0U5_HUMAN_.pdf</v>
      </c>
      <c r="AA3502" t="s">
        <v>14939</v>
      </c>
      <c r="AB3502" t="s">
        <v>18733</v>
      </c>
    </row>
    <row r="3503" spans="1:28" x14ac:dyDescent="0.25">
      <c r="A3503" t="s">
        <v>3507</v>
      </c>
      <c r="B3503">
        <v>0.98876768158843997</v>
      </c>
      <c r="C3503">
        <v>1.09424744442292</v>
      </c>
      <c r="D3503">
        <v>0.88208292107998898</v>
      </c>
      <c r="E3503">
        <v>0.61368677986328901</v>
      </c>
      <c r="F3503">
        <v>0.37694466284906403</v>
      </c>
      <c r="G3503">
        <v>0.220275074092561</v>
      </c>
      <c r="H3503">
        <v>0.16678959635596399</v>
      </c>
      <c r="I3503">
        <v>0.14854662378050401</v>
      </c>
      <c r="J3503">
        <v>0.15442360518546699</v>
      </c>
      <c r="K3503">
        <v>0.195563074226245</v>
      </c>
      <c r="L3503">
        <v>1148.0229468822999</v>
      </c>
      <c r="M3503">
        <v>22.7886565470804</v>
      </c>
      <c r="N3503">
        <v>51.256192196127003</v>
      </c>
      <c r="O3503">
        <v>49.993836254727697</v>
      </c>
      <c r="P3503">
        <v>-9.5523037940735703E-2</v>
      </c>
      <c r="Q3503">
        <v>0.16178115806377699</v>
      </c>
      <c r="R3503">
        <v>0.98842081511542901</v>
      </c>
      <c r="S3503" t="s">
        <v>7335</v>
      </c>
      <c r="T3503" t="s">
        <v>7662</v>
      </c>
      <c r="U3503" t="s">
        <v>7662</v>
      </c>
      <c r="V3503" t="s">
        <v>7662</v>
      </c>
      <c r="W3503">
        <v>3</v>
      </c>
      <c r="X3503" t="s">
        <v>11165</v>
      </c>
      <c r="Y3503">
        <v>0.4607575551972537</v>
      </c>
      <c r="Z3503" t="str">
        <f>HYPERLINK("Melting_Curves/meltCurve_tr_F5H157_F5H157_HUMAN_.pdf", "Melting_Curves/meltCurve_tr_F5H157_F5H157_HUMAN_.pdf")</f>
        <v>Melting_Curves/meltCurve_tr_F5H157_F5H157_HUMAN_.pdf</v>
      </c>
      <c r="AA3503" t="s">
        <v>14940</v>
      </c>
      <c r="AB3503" t="s">
        <v>18734</v>
      </c>
    </row>
    <row r="3504" spans="1:28" x14ac:dyDescent="0.25">
      <c r="A3504" t="s">
        <v>3508</v>
      </c>
      <c r="B3504">
        <v>0.98876768158843997</v>
      </c>
      <c r="C3504">
        <v>0.92629953228180395</v>
      </c>
      <c r="D3504">
        <v>0.95198651633120801</v>
      </c>
      <c r="E3504">
        <v>0.96897424681577504</v>
      </c>
      <c r="F3504">
        <v>0.81835895168909201</v>
      </c>
      <c r="G3504">
        <v>0.61837022100258199</v>
      </c>
      <c r="H3504">
        <v>0.40665209699932198</v>
      </c>
      <c r="I3504">
        <v>0.14756049530107501</v>
      </c>
      <c r="J3504">
        <v>6.1429958214228399E-2</v>
      </c>
      <c r="K3504">
        <v>6.6872191558685998E-2</v>
      </c>
      <c r="L3504">
        <v>993.93286848742503</v>
      </c>
      <c r="M3504">
        <v>16.959516602024699</v>
      </c>
      <c r="N3504">
        <v>58.606203486053197</v>
      </c>
      <c r="O3504">
        <v>57.8095678322168</v>
      </c>
      <c r="P3504">
        <v>-7.3346745307682995E-2</v>
      </c>
      <c r="Q3504">
        <v>0</v>
      </c>
      <c r="R3504">
        <v>0.98742670518452902</v>
      </c>
      <c r="S3504" t="s">
        <v>7336</v>
      </c>
      <c r="T3504" t="s">
        <v>7662</v>
      </c>
      <c r="U3504" t="s">
        <v>7662</v>
      </c>
      <c r="V3504" t="s">
        <v>7662</v>
      </c>
      <c r="W3504">
        <v>21</v>
      </c>
      <c r="X3504" t="s">
        <v>11166</v>
      </c>
      <c r="Y3504">
        <v>0.63182016003289931</v>
      </c>
      <c r="Z3504" t="str">
        <f>HYPERLINK("Melting_Curves/meltCurve_tr_F5H1L4_F5H1L4_HUMAN_.pdf", "Melting_Curves/meltCurve_tr_F5H1L4_F5H1L4_HUMAN_.pdf")</f>
        <v>Melting_Curves/meltCurve_tr_F5H1L4_F5H1L4_HUMAN_.pdf</v>
      </c>
      <c r="AA3504" t="s">
        <v>14941</v>
      </c>
      <c r="AB3504" t="s">
        <v>18735</v>
      </c>
    </row>
    <row r="3505" spans="1:28" x14ac:dyDescent="0.25">
      <c r="A3505" t="s">
        <v>3509</v>
      </c>
      <c r="B3505">
        <v>0.98876768158843997</v>
      </c>
      <c r="C3505">
        <v>0.88360176996425399</v>
      </c>
      <c r="D3505">
        <v>1.0606776818143799</v>
      </c>
      <c r="E3505">
        <v>0.73521500793682104</v>
      </c>
      <c r="F3505">
        <v>0.23797340009794599</v>
      </c>
      <c r="G3505">
        <v>0.12529553711833299</v>
      </c>
      <c r="H3505">
        <v>8.1666715917911997E-2</v>
      </c>
      <c r="I3505">
        <v>7.7877543286847803E-2</v>
      </c>
      <c r="J3505">
        <v>9.3085693763088298E-2</v>
      </c>
      <c r="K3505">
        <v>7.7688181042412194E-2</v>
      </c>
      <c r="L3505">
        <v>2262.5154479314701</v>
      </c>
      <c r="M3505">
        <v>44.3339587278642</v>
      </c>
      <c r="N3505">
        <v>51.260779945879101</v>
      </c>
      <c r="O3505">
        <v>50.929955610144198</v>
      </c>
      <c r="P3505">
        <v>-0.19820145535615299</v>
      </c>
      <c r="Q3505">
        <v>8.9241950869291195E-2</v>
      </c>
      <c r="R3505">
        <v>0.98807358597202799</v>
      </c>
      <c r="S3505" t="s">
        <v>7337</v>
      </c>
      <c r="T3505" t="s">
        <v>7662</v>
      </c>
      <c r="U3505" t="s">
        <v>7662</v>
      </c>
      <c r="V3505" t="s">
        <v>7662</v>
      </c>
      <c r="W3505">
        <v>34</v>
      </c>
      <c r="X3505" t="s">
        <v>11167</v>
      </c>
      <c r="Y3505">
        <v>0.42681390373029521</v>
      </c>
      <c r="Z3505" t="str">
        <f>HYPERLINK("Melting_Curves/meltCurve_tr_F5H1X8_F5H1X8_HUMAN_.pdf", "Melting_Curves/meltCurve_tr_F5H1X8_F5H1X8_HUMAN_.pdf")</f>
        <v>Melting_Curves/meltCurve_tr_F5H1X8_F5H1X8_HUMAN_.pdf</v>
      </c>
      <c r="AA3505" t="s">
        <v>14942</v>
      </c>
      <c r="AB3505" t="s">
        <v>18736</v>
      </c>
    </row>
    <row r="3506" spans="1:28" x14ac:dyDescent="0.25">
      <c r="A3506" t="s">
        <v>3510</v>
      </c>
      <c r="B3506">
        <v>0.98876768158843997</v>
      </c>
      <c r="C3506">
        <v>1.0451967435827201</v>
      </c>
      <c r="D3506">
        <v>0.86544851940814005</v>
      </c>
      <c r="E3506">
        <v>0.738297281927905</v>
      </c>
      <c r="F3506">
        <v>0.82807786969799801</v>
      </c>
      <c r="G3506">
        <v>0.50745718765811099</v>
      </c>
      <c r="H3506">
        <v>0.30000598340226597</v>
      </c>
      <c r="I3506">
        <v>0.179305792008354</v>
      </c>
      <c r="J3506">
        <v>7.7325747506977904E-2</v>
      </c>
      <c r="K3506">
        <v>7.3358115805711804E-2</v>
      </c>
      <c r="L3506">
        <v>735.32012860979899</v>
      </c>
      <c r="M3506">
        <v>12.9216659680684</v>
      </c>
      <c r="N3506">
        <v>56.905978351158701</v>
      </c>
      <c r="O3506">
        <v>55.594744419203501</v>
      </c>
      <c r="P3506">
        <v>-5.8116998687717601E-2</v>
      </c>
      <c r="Q3506">
        <v>0</v>
      </c>
      <c r="R3506">
        <v>0.96952346528292599</v>
      </c>
      <c r="S3506" t="s">
        <v>7338</v>
      </c>
      <c r="T3506" t="s">
        <v>7662</v>
      </c>
      <c r="U3506" t="s">
        <v>7662</v>
      </c>
      <c r="V3506" t="s">
        <v>7662</v>
      </c>
      <c r="W3506">
        <v>11</v>
      </c>
      <c r="X3506" t="s">
        <v>11168</v>
      </c>
      <c r="Y3506">
        <v>0.5805730295648176</v>
      </c>
      <c r="Z3506" t="str">
        <f>HYPERLINK("Melting_Curves/meltCurve_tr_F5H1Z6_F5H1Z6_HUMAN_.pdf", "Melting_Curves/meltCurve_tr_F5H1Z6_F5H1Z6_HUMAN_.pdf")</f>
        <v>Melting_Curves/meltCurve_tr_F5H1Z6_F5H1Z6_HUMAN_.pdf</v>
      </c>
      <c r="AA3506" t="s">
        <v>14943</v>
      </c>
      <c r="AB3506" t="s">
        <v>18737</v>
      </c>
    </row>
    <row r="3507" spans="1:28" x14ac:dyDescent="0.25">
      <c r="A3507" t="s">
        <v>3511</v>
      </c>
      <c r="B3507">
        <v>0.98876768158843997</v>
      </c>
      <c r="C3507">
        <v>0.81940102077537103</v>
      </c>
      <c r="D3507">
        <v>0.76734942951964302</v>
      </c>
      <c r="E3507">
        <v>0.22386044849969799</v>
      </c>
      <c r="F3507">
        <v>0.12140677300836999</v>
      </c>
      <c r="G3507">
        <v>6.9057943092311697E-2</v>
      </c>
      <c r="H3507">
        <v>4.0380860061257302E-2</v>
      </c>
      <c r="I3507">
        <v>3.40806794046669E-2</v>
      </c>
      <c r="J3507">
        <v>4.4515972979191999E-2</v>
      </c>
      <c r="K3507">
        <v>3.06956002507572E-2</v>
      </c>
      <c r="L3507">
        <v>1108.1664815767799</v>
      </c>
      <c r="M3507">
        <v>23.3043214744743</v>
      </c>
      <c r="N3507">
        <v>47.699763613488102</v>
      </c>
      <c r="O3507">
        <v>47.2059893655385</v>
      </c>
      <c r="P3507">
        <v>-0.119121920007853</v>
      </c>
      <c r="Q3507">
        <v>3.4828418186507303E-2</v>
      </c>
      <c r="R3507">
        <v>0.98562343522551299</v>
      </c>
      <c r="S3507" t="s">
        <v>7339</v>
      </c>
      <c r="T3507" t="s">
        <v>7662</v>
      </c>
      <c r="U3507" t="s">
        <v>7662</v>
      </c>
      <c r="V3507" t="s">
        <v>7662</v>
      </c>
      <c r="W3507">
        <v>4</v>
      </c>
      <c r="X3507" t="s">
        <v>11169</v>
      </c>
      <c r="Y3507">
        <v>0.28774798419499081</v>
      </c>
      <c r="Z3507" t="str">
        <f>HYPERLINK("Melting_Curves/meltCurve_tr_F5H261_F5H261_HUMAN_.pdf", "Melting_Curves/meltCurve_tr_F5H261_F5H261_HUMAN_.pdf")</f>
        <v>Melting_Curves/meltCurve_tr_F5H261_F5H261_HUMAN_.pdf</v>
      </c>
      <c r="AA3507" t="s">
        <v>14944</v>
      </c>
      <c r="AB3507" t="s">
        <v>18738</v>
      </c>
    </row>
    <row r="3508" spans="1:28" x14ac:dyDescent="0.25">
      <c r="A3508" t="s">
        <v>3512</v>
      </c>
      <c r="B3508">
        <v>0.98876768158843997</v>
      </c>
      <c r="C3508">
        <v>0.79572747942233202</v>
      </c>
      <c r="D3508">
        <v>0.84693017039405905</v>
      </c>
      <c r="E3508">
        <v>0.57844975467438098</v>
      </c>
      <c r="F3508">
        <v>0.44600825854484899</v>
      </c>
      <c r="G3508">
        <v>0.30679311829630801</v>
      </c>
      <c r="H3508">
        <v>0.231177690078017</v>
      </c>
      <c r="I3508">
        <v>0.25989953428533702</v>
      </c>
      <c r="J3508">
        <v>0.42667214876051102</v>
      </c>
      <c r="K3508">
        <v>0.41026482233456302</v>
      </c>
      <c r="L3508">
        <v>786.32689769661295</v>
      </c>
      <c r="M3508">
        <v>16.318930513046698</v>
      </c>
      <c r="N3508">
        <v>51.290920678875999</v>
      </c>
      <c r="O3508">
        <v>47.478814723950201</v>
      </c>
      <c r="P3508">
        <v>-5.8960951180987903E-2</v>
      </c>
      <c r="Q3508">
        <v>0.31387833932874099</v>
      </c>
      <c r="R3508">
        <v>0.907545460291872</v>
      </c>
      <c r="S3508" t="s">
        <v>7340</v>
      </c>
      <c r="T3508" t="s">
        <v>7662</v>
      </c>
      <c r="U3508" t="s">
        <v>7662</v>
      </c>
      <c r="V3508" t="s">
        <v>7662</v>
      </c>
      <c r="W3508">
        <v>3</v>
      </c>
      <c r="X3508" t="s">
        <v>11170</v>
      </c>
      <c r="Y3508">
        <v>0.51587453716477372</v>
      </c>
      <c r="Z3508" t="str">
        <f>HYPERLINK("Melting_Curves/meltCurve_tr_F5H2B9_F5H2B9_HUMAN_.pdf", "Melting_Curves/meltCurve_tr_F5H2B9_F5H2B9_HUMAN_.pdf")</f>
        <v>Melting_Curves/meltCurve_tr_F5H2B9_F5H2B9_HUMAN_.pdf</v>
      </c>
      <c r="AA3508" t="s">
        <v>14945</v>
      </c>
      <c r="AB3508" t="s">
        <v>18739</v>
      </c>
    </row>
    <row r="3509" spans="1:28" x14ac:dyDescent="0.25">
      <c r="A3509" t="s">
        <v>3513</v>
      </c>
      <c r="B3509">
        <v>0.98876768158843997</v>
      </c>
      <c r="C3509">
        <v>1.05784933641711</v>
      </c>
      <c r="D3509">
        <v>0.85674826086732403</v>
      </c>
      <c r="E3509">
        <v>0.65145706347299703</v>
      </c>
      <c r="F3509">
        <v>0.62506041059083495</v>
      </c>
      <c r="G3509">
        <v>0.39638946189045399</v>
      </c>
      <c r="H3509">
        <v>0.33906668797166201</v>
      </c>
      <c r="I3509">
        <v>0.36100156538938999</v>
      </c>
      <c r="J3509">
        <v>0.46055363927984699</v>
      </c>
      <c r="K3509">
        <v>0.47643118305084498</v>
      </c>
      <c r="L3509">
        <v>968.22397361605204</v>
      </c>
      <c r="M3509">
        <v>19.495556551492399</v>
      </c>
      <c r="N3509">
        <v>54.215688587885602</v>
      </c>
      <c r="O3509">
        <v>49.150132402332503</v>
      </c>
      <c r="P3509">
        <v>-5.9232300399773799E-2</v>
      </c>
      <c r="Q3509">
        <v>0.40270056680303901</v>
      </c>
      <c r="R3509">
        <v>0.94176909541918796</v>
      </c>
      <c r="S3509" t="s">
        <v>7341</v>
      </c>
      <c r="T3509" t="s">
        <v>7662</v>
      </c>
      <c r="U3509" t="s">
        <v>7662</v>
      </c>
      <c r="V3509" t="s">
        <v>7662</v>
      </c>
      <c r="W3509">
        <v>2</v>
      </c>
      <c r="X3509" t="s">
        <v>11171</v>
      </c>
      <c r="Y3509">
        <v>0.60386535120626117</v>
      </c>
      <c r="Z3509" t="str">
        <f>HYPERLINK("Melting_Curves/meltCurve_tr_F5H2Q7_F5H2Q7_HUMAN_.pdf", "Melting_Curves/meltCurve_tr_F5H2Q7_F5H2Q7_HUMAN_.pdf")</f>
        <v>Melting_Curves/meltCurve_tr_F5H2Q7_F5H2Q7_HUMAN_.pdf</v>
      </c>
      <c r="AA3509" t="s">
        <v>14946</v>
      </c>
      <c r="AB3509" t="s">
        <v>18740</v>
      </c>
    </row>
    <row r="3510" spans="1:28" x14ac:dyDescent="0.25">
      <c r="A3510" t="s">
        <v>3514</v>
      </c>
      <c r="B3510">
        <v>0.98876768158843997</v>
      </c>
      <c r="C3510">
        <v>1.07702642999872</v>
      </c>
      <c r="D3510">
        <v>0.83879642810291799</v>
      </c>
      <c r="E3510">
        <v>0.65901469908310695</v>
      </c>
      <c r="F3510">
        <v>0.60114165925545804</v>
      </c>
      <c r="G3510">
        <v>0.35127111238083902</v>
      </c>
      <c r="H3510">
        <v>0.22968267244038201</v>
      </c>
      <c r="I3510">
        <v>0.27324613034946499</v>
      </c>
      <c r="J3510">
        <v>0.36457697811972201</v>
      </c>
      <c r="K3510">
        <v>0.30814764530459599</v>
      </c>
      <c r="L3510">
        <v>873.20131823864097</v>
      </c>
      <c r="M3510">
        <v>17.171476318413902</v>
      </c>
      <c r="N3510">
        <v>53.392711648699098</v>
      </c>
      <c r="O3510">
        <v>50.177228183517997</v>
      </c>
      <c r="P3510">
        <v>-6.1674733958735899E-2</v>
      </c>
      <c r="Q3510">
        <v>0.27915761409666601</v>
      </c>
      <c r="R3510">
        <v>0.95681194832906002</v>
      </c>
      <c r="S3510" t="s">
        <v>7342</v>
      </c>
      <c r="T3510" t="s">
        <v>7662</v>
      </c>
      <c r="U3510" t="s">
        <v>7662</v>
      </c>
      <c r="V3510" t="s">
        <v>7662</v>
      </c>
      <c r="W3510">
        <v>2</v>
      </c>
      <c r="X3510" t="s">
        <v>11172</v>
      </c>
      <c r="Y3510">
        <v>0.55315104505947843</v>
      </c>
      <c r="Z3510" t="str">
        <f>HYPERLINK("Melting_Curves/meltCurve_tr_F5H2X0_F5H2X0_HUMAN_.pdf", "Melting_Curves/meltCurve_tr_F5H2X0_F5H2X0_HUMAN_.pdf")</f>
        <v>Melting_Curves/meltCurve_tr_F5H2X0_F5H2X0_HUMAN_.pdf</v>
      </c>
      <c r="AA3510" t="s">
        <v>14947</v>
      </c>
      <c r="AB3510" t="s">
        <v>18741</v>
      </c>
    </row>
    <row r="3511" spans="1:28" x14ac:dyDescent="0.25">
      <c r="A3511" t="s">
        <v>3515</v>
      </c>
      <c r="B3511">
        <v>0.98876768158843997</v>
      </c>
      <c r="C3511">
        <v>1.2121050435057701</v>
      </c>
      <c r="D3511">
        <v>1.0639734034607</v>
      </c>
      <c r="E3511">
        <v>1.1040732192632601</v>
      </c>
      <c r="F3511">
        <v>0.54446378478167101</v>
      </c>
      <c r="G3511">
        <v>0.23280908925413099</v>
      </c>
      <c r="H3511">
        <v>7.2114462993724607E-2</v>
      </c>
      <c r="I3511">
        <v>5.1876476963097599E-2</v>
      </c>
      <c r="J3511">
        <v>4.2340849519174703E-2</v>
      </c>
      <c r="K3511">
        <v>3.0760915040286701E-2</v>
      </c>
      <c r="L3511">
        <v>13250.3418289727</v>
      </c>
      <c r="M3511">
        <v>250</v>
      </c>
      <c r="N3511">
        <v>53.041401946273801</v>
      </c>
      <c r="O3511">
        <v>52.9979754774836</v>
      </c>
      <c r="P3511">
        <v>-1.0778945415408501</v>
      </c>
      <c r="Q3511">
        <v>8.5980343626095301E-2</v>
      </c>
      <c r="R3511">
        <v>0.96184757997433401</v>
      </c>
      <c r="S3511" t="s">
        <v>7343</v>
      </c>
      <c r="T3511" t="s">
        <v>7662</v>
      </c>
      <c r="U3511" t="s">
        <v>7662</v>
      </c>
      <c r="V3511" t="s">
        <v>7662</v>
      </c>
      <c r="W3511">
        <v>1</v>
      </c>
      <c r="X3511" t="s">
        <v>11173</v>
      </c>
      <c r="Y3511">
        <v>0.48218220548583812</v>
      </c>
      <c r="Z3511" t="str">
        <f>HYPERLINK("Melting_Curves/meltCurve_tr_F5H315_F5H315_HUMAN_.pdf", "Melting_Curves/meltCurve_tr_F5H315_F5H315_HUMAN_.pdf")</f>
        <v>Melting_Curves/meltCurve_tr_F5H315_F5H315_HUMAN_.pdf</v>
      </c>
      <c r="AA3511" t="s">
        <v>14948</v>
      </c>
      <c r="AB3511" t="s">
        <v>18742</v>
      </c>
    </row>
    <row r="3512" spans="1:28" x14ac:dyDescent="0.25">
      <c r="A3512" t="s">
        <v>3516</v>
      </c>
      <c r="B3512">
        <v>0.98876768158843997</v>
      </c>
      <c r="C3512">
        <v>1.05267916771034</v>
      </c>
      <c r="D3512">
        <v>0.91221824064227597</v>
      </c>
      <c r="E3512">
        <v>0.82618433246978695</v>
      </c>
      <c r="F3512">
        <v>0.892042594513064</v>
      </c>
      <c r="G3512">
        <v>0.672808126534156</v>
      </c>
      <c r="H3512">
        <v>0.52335831085801499</v>
      </c>
      <c r="I3512">
        <v>0.563473029915188</v>
      </c>
      <c r="J3512">
        <v>0.68360845130744896</v>
      </c>
      <c r="K3512">
        <v>0.71844610029969302</v>
      </c>
      <c r="L3512">
        <v>952.21204926618805</v>
      </c>
      <c r="M3512">
        <v>18.1994314022133</v>
      </c>
      <c r="O3512">
        <v>51.701548744166402</v>
      </c>
      <c r="P3512">
        <v>-3.3617558083737398E-2</v>
      </c>
      <c r="Q3512">
        <v>0.61801054561660795</v>
      </c>
      <c r="R3512">
        <v>0.81209674661408504</v>
      </c>
      <c r="S3512" t="s">
        <v>7344</v>
      </c>
      <c r="T3512" t="s">
        <v>7662</v>
      </c>
      <c r="U3512" t="s">
        <v>7662</v>
      </c>
      <c r="V3512" t="s">
        <v>7662</v>
      </c>
      <c r="W3512">
        <v>9</v>
      </c>
      <c r="X3512" t="s">
        <v>11174</v>
      </c>
      <c r="Y3512">
        <v>0.78110465685478203</v>
      </c>
      <c r="Z3512" t="str">
        <f>HYPERLINK("Melting_Curves/meltCurve_tr_F5H345_F5H345_HUMAN_.pdf", "Melting_Curves/meltCurve_tr_F5H345_F5H345_HUMAN_.pdf")</f>
        <v>Melting_Curves/meltCurve_tr_F5H345_F5H345_HUMAN_.pdf</v>
      </c>
      <c r="AA3512" t="s">
        <v>14949</v>
      </c>
      <c r="AB3512" t="s">
        <v>18743</v>
      </c>
    </row>
    <row r="3513" spans="1:28" x14ac:dyDescent="0.25">
      <c r="A3513" t="s">
        <v>3517</v>
      </c>
      <c r="B3513">
        <v>0.98876768158843997</v>
      </c>
      <c r="C3513">
        <v>0.85631512654289199</v>
      </c>
      <c r="D3513">
        <v>0.95030706793821196</v>
      </c>
      <c r="E3513">
        <v>0.65706294032225099</v>
      </c>
      <c r="F3513">
        <v>0.14684016009024101</v>
      </c>
      <c r="G3513">
        <v>7.5382334291445599E-2</v>
      </c>
      <c r="H3513">
        <v>4.49352271218703E-2</v>
      </c>
      <c r="I3513">
        <v>3.4969719199190903E-2</v>
      </c>
      <c r="J3513">
        <v>4.9991029765287798E-2</v>
      </c>
      <c r="K3513">
        <v>3.3816854276646199E-2</v>
      </c>
      <c r="L3513">
        <v>2261.37907045065</v>
      </c>
      <c r="M3513">
        <v>44.676532488310599</v>
      </c>
      <c r="N3513">
        <v>50.7233593031239</v>
      </c>
      <c r="O3513">
        <v>50.515613219157999</v>
      </c>
      <c r="P3513">
        <v>-0.21119098923289301</v>
      </c>
      <c r="Q3513">
        <v>4.4829405565265698E-2</v>
      </c>
      <c r="R3513">
        <v>0.98556105105209402</v>
      </c>
      <c r="S3513" t="s">
        <v>7345</v>
      </c>
      <c r="T3513" t="s">
        <v>7662</v>
      </c>
      <c r="U3513" t="s">
        <v>7662</v>
      </c>
      <c r="V3513" t="s">
        <v>7662</v>
      </c>
      <c r="W3513">
        <v>18</v>
      </c>
      <c r="X3513" t="s">
        <v>11175</v>
      </c>
      <c r="Y3513">
        <v>0.38552983457529427</v>
      </c>
      <c r="Z3513" t="str">
        <f>HYPERLINK("Melting_Curves/meltCurve_tr_F5H365_F5H365_HUMAN_.pdf", "Melting_Curves/meltCurve_tr_F5H365_F5H365_HUMAN_.pdf")</f>
        <v>Melting_Curves/meltCurve_tr_F5H365_F5H365_HUMAN_.pdf</v>
      </c>
      <c r="AA3513" t="s">
        <v>14950</v>
      </c>
      <c r="AB3513" t="s">
        <v>18744</v>
      </c>
    </row>
    <row r="3514" spans="1:28" x14ac:dyDescent="0.25">
      <c r="A3514" t="s">
        <v>3518</v>
      </c>
      <c r="B3514">
        <v>0.98876768158843997</v>
      </c>
      <c r="C3514">
        <v>0.97204235093650304</v>
      </c>
      <c r="D3514">
        <v>0.99451302661432295</v>
      </c>
      <c r="E3514">
        <v>0.71501880165394904</v>
      </c>
      <c r="F3514">
        <v>0.31340430297501998</v>
      </c>
      <c r="G3514">
        <v>0.17056027802909701</v>
      </c>
      <c r="H3514">
        <v>0.102016043912613</v>
      </c>
      <c r="I3514">
        <v>8.6070486996165596E-2</v>
      </c>
      <c r="J3514">
        <v>6.8989994131986698E-2</v>
      </c>
      <c r="K3514">
        <v>6.5171412356066605E-2</v>
      </c>
      <c r="L3514">
        <v>1567.60528737444</v>
      </c>
      <c r="M3514">
        <v>30.582981351356299</v>
      </c>
      <c r="N3514">
        <v>51.575768843113302</v>
      </c>
      <c r="O3514">
        <v>51.039780049688403</v>
      </c>
      <c r="P3514">
        <v>-0.13691661139157099</v>
      </c>
      <c r="Q3514">
        <v>8.6007808895727095E-2</v>
      </c>
      <c r="R3514">
        <v>0.99721501704925497</v>
      </c>
      <c r="S3514" t="s">
        <v>7346</v>
      </c>
      <c r="T3514" t="s">
        <v>7662</v>
      </c>
      <c r="U3514" t="s">
        <v>7662</v>
      </c>
      <c r="V3514" t="s">
        <v>7662</v>
      </c>
      <c r="W3514">
        <v>1</v>
      </c>
      <c r="X3514" t="s">
        <v>11176</v>
      </c>
      <c r="Y3514">
        <v>0.43453459289969187</v>
      </c>
      <c r="Z3514" t="str">
        <f>HYPERLINK("Melting_Curves/meltCurve_tr_F5H442_F5H442_HUMAN_.pdf", "Melting_Curves/meltCurve_tr_F5H442_F5H442_HUMAN_.pdf")</f>
        <v>Melting_Curves/meltCurve_tr_F5H442_F5H442_HUMAN_.pdf</v>
      </c>
      <c r="AA3514" t="s">
        <v>14951</v>
      </c>
      <c r="AB3514" t="s">
        <v>18745</v>
      </c>
    </row>
    <row r="3515" spans="1:28" x14ac:dyDescent="0.25">
      <c r="A3515" t="s">
        <v>3519</v>
      </c>
      <c r="B3515">
        <v>0.98876768158843997</v>
      </c>
      <c r="C3515">
        <v>1.1038101288190001</v>
      </c>
      <c r="D3515">
        <v>1.1500200721248599</v>
      </c>
      <c r="E3515">
        <v>0.72321990805318703</v>
      </c>
      <c r="F3515">
        <v>0.26660194042962898</v>
      </c>
      <c r="G3515">
        <v>0.16950779621029299</v>
      </c>
      <c r="H3515">
        <v>0.102918498856521</v>
      </c>
      <c r="I3515">
        <v>9.4273632981960995E-2</v>
      </c>
      <c r="J3515">
        <v>0.116562771171874</v>
      </c>
      <c r="K3515">
        <v>5.7339089969314902E-2</v>
      </c>
      <c r="L3515">
        <v>2174.8917276340899</v>
      </c>
      <c r="M3515">
        <v>42.615428996990303</v>
      </c>
      <c r="N3515">
        <v>51.323487903808299</v>
      </c>
      <c r="O3515">
        <v>50.923315303369698</v>
      </c>
      <c r="P3515">
        <v>-0.186952219484636</v>
      </c>
      <c r="Q3515">
        <v>0.10640707183956399</v>
      </c>
      <c r="R3515">
        <v>0.97799357482353499</v>
      </c>
      <c r="S3515" t="s">
        <v>7347</v>
      </c>
      <c r="T3515" t="s">
        <v>7662</v>
      </c>
      <c r="U3515" t="s">
        <v>7662</v>
      </c>
      <c r="V3515" t="s">
        <v>7662</v>
      </c>
      <c r="W3515">
        <v>6</v>
      </c>
      <c r="X3515" t="s">
        <v>11177</v>
      </c>
      <c r="Y3515">
        <v>0.43788424357733841</v>
      </c>
      <c r="Z3515" t="str">
        <f>HYPERLINK("Melting_Curves/meltCurve_tr_F5H4G7_F5H4G7_HUMAN_.pdf", "Melting_Curves/meltCurve_tr_F5H4G7_F5H4G7_HUMAN_.pdf")</f>
        <v>Melting_Curves/meltCurve_tr_F5H4G7_F5H4G7_HUMAN_.pdf</v>
      </c>
      <c r="AA3515" t="s">
        <v>14952</v>
      </c>
      <c r="AB3515" t="s">
        <v>18746</v>
      </c>
    </row>
    <row r="3516" spans="1:28" x14ac:dyDescent="0.25">
      <c r="A3516" t="s">
        <v>3520</v>
      </c>
      <c r="B3516">
        <v>0.98876768158843997</v>
      </c>
      <c r="C3516">
        <v>1.22200479484021</v>
      </c>
      <c r="D3516">
        <v>0.86656253067825695</v>
      </c>
      <c r="E3516">
        <v>0.76394575613360205</v>
      </c>
      <c r="F3516">
        <v>1.14796791796243</v>
      </c>
      <c r="G3516">
        <v>0.78565972614669699</v>
      </c>
      <c r="H3516">
        <v>0.63821724839641503</v>
      </c>
      <c r="I3516">
        <v>0.73203030381415002</v>
      </c>
      <c r="J3516">
        <v>1.09552050556911</v>
      </c>
      <c r="K3516">
        <v>1.1059516307243999</v>
      </c>
      <c r="L3516">
        <v>11148.543910398401</v>
      </c>
      <c r="M3516">
        <v>250</v>
      </c>
      <c r="O3516">
        <v>44.591321932147203</v>
      </c>
      <c r="P3516">
        <v>-0.15140498511220399</v>
      </c>
      <c r="Q3516">
        <v>0.89197842524760496</v>
      </c>
      <c r="R3516">
        <v>0.136471048361616</v>
      </c>
      <c r="S3516" t="s">
        <v>7348</v>
      </c>
      <c r="T3516" t="s">
        <v>7662</v>
      </c>
      <c r="U3516" t="s">
        <v>7662</v>
      </c>
      <c r="V3516" t="s">
        <v>7662</v>
      </c>
      <c r="W3516">
        <v>2</v>
      </c>
      <c r="X3516" t="s">
        <v>11178</v>
      </c>
      <c r="Y3516">
        <v>0.90852921549098631</v>
      </c>
      <c r="Z3516" t="str">
        <f>HYPERLINK("Melting_Curves/meltCurve_tr_F5H4J2_F5H4J2_HUMAN_.pdf", "Melting_Curves/meltCurve_tr_F5H4J2_F5H4J2_HUMAN_.pdf")</f>
        <v>Melting_Curves/meltCurve_tr_F5H4J2_F5H4J2_HUMAN_.pdf</v>
      </c>
      <c r="AA3516" t="s">
        <v>14953</v>
      </c>
      <c r="AB3516" t="s">
        <v>18747</v>
      </c>
    </row>
    <row r="3517" spans="1:28" x14ac:dyDescent="0.25">
      <c r="A3517" t="s">
        <v>3521</v>
      </c>
      <c r="B3517">
        <v>0.98876768158843997</v>
      </c>
      <c r="C3517">
        <v>0.99016913841640497</v>
      </c>
      <c r="D3517">
        <v>0.93665029114765697</v>
      </c>
      <c r="E3517">
        <v>0.52438923733866205</v>
      </c>
      <c r="F3517">
        <v>0.25633584838020201</v>
      </c>
      <c r="G3517">
        <v>0.16171256493528199</v>
      </c>
      <c r="H3517">
        <v>8.6916149327118594E-2</v>
      </c>
      <c r="I3517">
        <v>6.4494350920940705E-2</v>
      </c>
      <c r="J3517">
        <v>6.6762117022960393E-2</v>
      </c>
      <c r="K3517">
        <v>3.5707851322248803E-2</v>
      </c>
      <c r="L3517">
        <v>1237.1013970551501</v>
      </c>
      <c r="M3517">
        <v>24.704265431188201</v>
      </c>
      <c r="N3517">
        <v>50.377735744044799</v>
      </c>
      <c r="O3517">
        <v>49.751761003549802</v>
      </c>
      <c r="P3517">
        <v>-0.11561367467784001</v>
      </c>
      <c r="Q3517">
        <v>6.8678579148698599E-2</v>
      </c>
      <c r="R3517">
        <v>0.99668677407959605</v>
      </c>
      <c r="S3517" t="s">
        <v>7349</v>
      </c>
      <c r="T3517" t="s">
        <v>7662</v>
      </c>
      <c r="U3517" t="s">
        <v>7662</v>
      </c>
      <c r="V3517" t="s">
        <v>7662</v>
      </c>
      <c r="W3517">
        <v>2</v>
      </c>
      <c r="X3517" t="s">
        <v>11179</v>
      </c>
      <c r="Y3517">
        <v>0.39002342113389532</v>
      </c>
      <c r="Z3517" t="str">
        <f>HYPERLINK("Melting_Curves/meltCurve_tr_F5H4S0_F5H4S0_HUMAN_.pdf", "Melting_Curves/meltCurve_tr_F5H4S0_F5H4S0_HUMAN_.pdf")</f>
        <v>Melting_Curves/meltCurve_tr_F5H4S0_F5H4S0_HUMAN_.pdf</v>
      </c>
      <c r="AA3517" t="s">
        <v>14954</v>
      </c>
      <c r="AB3517" t="s">
        <v>18748</v>
      </c>
    </row>
    <row r="3518" spans="1:28" x14ac:dyDescent="0.25">
      <c r="A3518" t="s">
        <v>3522</v>
      </c>
      <c r="B3518">
        <v>0.98876768158843997</v>
      </c>
      <c r="C3518">
        <v>1.09397361772432</v>
      </c>
      <c r="D3518">
        <v>0.94507236613000101</v>
      </c>
      <c r="E3518">
        <v>0.64683311038715297</v>
      </c>
      <c r="F3518">
        <v>0.58410801339979301</v>
      </c>
      <c r="G3518">
        <v>0.42832180896196598</v>
      </c>
      <c r="H3518">
        <v>0.303473328668945</v>
      </c>
      <c r="I3518">
        <v>0.29655144669829903</v>
      </c>
      <c r="J3518">
        <v>0.316601107439962</v>
      </c>
      <c r="K3518">
        <v>0.37328435623539402</v>
      </c>
      <c r="L3518">
        <v>996.44045645699896</v>
      </c>
      <c r="M3518">
        <v>19.595329349178499</v>
      </c>
      <c r="N3518">
        <v>53.6765995581762</v>
      </c>
      <c r="O3518">
        <v>50.330215446914202</v>
      </c>
      <c r="P3518">
        <v>-6.6016742189510397E-2</v>
      </c>
      <c r="Q3518">
        <v>0.321773297806563</v>
      </c>
      <c r="R3518">
        <v>0.96815098071081895</v>
      </c>
      <c r="S3518" t="s">
        <v>7350</v>
      </c>
      <c r="T3518" t="s">
        <v>7662</v>
      </c>
      <c r="U3518" t="s">
        <v>7662</v>
      </c>
      <c r="V3518" t="s">
        <v>7662</v>
      </c>
      <c r="W3518">
        <v>1</v>
      </c>
      <c r="X3518" t="s">
        <v>11180</v>
      </c>
      <c r="Y3518">
        <v>0.57687282771568149</v>
      </c>
      <c r="Z3518" t="str">
        <f>HYPERLINK("Melting_Curves/meltCurve_tr_F5H5W4_F5H5W4_HUMAN_.pdf", "Melting_Curves/meltCurve_tr_F5H5W4_F5H5W4_HUMAN_.pdf")</f>
        <v>Melting_Curves/meltCurve_tr_F5H5W4_F5H5W4_HUMAN_.pdf</v>
      </c>
      <c r="AA3518" t="s">
        <v>14955</v>
      </c>
      <c r="AB3518" t="s">
        <v>18749</v>
      </c>
    </row>
    <row r="3519" spans="1:28" x14ac:dyDescent="0.25">
      <c r="A3519" t="s">
        <v>3523</v>
      </c>
      <c r="B3519">
        <v>0.98876768158843997</v>
      </c>
      <c r="C3519">
        <v>1.0168215269459899</v>
      </c>
      <c r="D3519">
        <v>0.88264876222232302</v>
      </c>
      <c r="E3519">
        <v>0.65330334527274303</v>
      </c>
      <c r="F3519">
        <v>0.50485905732820102</v>
      </c>
      <c r="G3519">
        <v>0.199049487777607</v>
      </c>
      <c r="H3519">
        <v>0.123828856541952</v>
      </c>
      <c r="I3519">
        <v>0.142939327577706</v>
      </c>
      <c r="J3519">
        <v>0.17556364783060699</v>
      </c>
      <c r="K3519">
        <v>0.18718585250292999</v>
      </c>
      <c r="L3519">
        <v>989.37519463367096</v>
      </c>
      <c r="M3519">
        <v>19.280827978548299</v>
      </c>
      <c r="N3519">
        <v>52.182547941559697</v>
      </c>
      <c r="O3519">
        <v>50.771504223837098</v>
      </c>
      <c r="P3519">
        <v>-8.1910269035725597E-2</v>
      </c>
      <c r="Q3519">
        <v>0.13726709016212901</v>
      </c>
      <c r="R3519">
        <v>0.98772643470563104</v>
      </c>
      <c r="S3519" t="s">
        <v>7351</v>
      </c>
      <c r="T3519" t="s">
        <v>7662</v>
      </c>
      <c r="U3519" t="s">
        <v>7662</v>
      </c>
      <c r="V3519" t="s">
        <v>7662</v>
      </c>
      <c r="W3519">
        <v>3</v>
      </c>
      <c r="X3519" t="s">
        <v>11181</v>
      </c>
      <c r="Y3519">
        <v>0.47542898569001008</v>
      </c>
      <c r="Z3519" t="str">
        <f>HYPERLINK("Melting_Curves/meltCurve_tr_F5H604_F5H604_HUMAN_.pdf", "Melting_Curves/meltCurve_tr_F5H604_F5H604_HUMAN_.pdf")</f>
        <v>Melting_Curves/meltCurve_tr_F5H604_F5H604_HUMAN_.pdf</v>
      </c>
      <c r="AA3519" t="s">
        <v>14956</v>
      </c>
      <c r="AB3519" t="s">
        <v>18750</v>
      </c>
    </row>
    <row r="3520" spans="1:28" x14ac:dyDescent="0.25">
      <c r="A3520" t="s">
        <v>3524</v>
      </c>
      <c r="B3520">
        <v>0.98876768158843997</v>
      </c>
      <c r="C3520">
        <v>0.69245423303987796</v>
      </c>
      <c r="D3520">
        <v>0.44830080046910298</v>
      </c>
      <c r="E3520">
        <v>0.145308138169121</v>
      </c>
      <c r="F3520">
        <v>0.13144996318371699</v>
      </c>
      <c r="G3520">
        <v>6.1567289682065297E-2</v>
      </c>
      <c r="H3520">
        <v>5.8518980987930097E-2</v>
      </c>
      <c r="I3520">
        <v>2.5891992676313199E-2</v>
      </c>
      <c r="J3520">
        <v>5.6521088794165897E-2</v>
      </c>
      <c r="K3520">
        <v>3.8593065259346797E-2</v>
      </c>
      <c r="L3520">
        <v>881.39555653711398</v>
      </c>
      <c r="M3520">
        <v>19.573553865124801</v>
      </c>
      <c r="N3520">
        <v>45.259617734615397</v>
      </c>
      <c r="O3520">
        <v>44.567806635258201</v>
      </c>
      <c r="P3520">
        <v>-0.104608707356399</v>
      </c>
      <c r="Q3520">
        <v>4.7282814266841902E-2</v>
      </c>
      <c r="R3520">
        <v>0.99089080689451003</v>
      </c>
      <c r="S3520" t="s">
        <v>7352</v>
      </c>
      <c r="T3520" t="s">
        <v>7662</v>
      </c>
      <c r="U3520" t="s">
        <v>7662</v>
      </c>
      <c r="V3520" t="s">
        <v>7662</v>
      </c>
      <c r="W3520">
        <v>7</v>
      </c>
      <c r="X3520" t="s">
        <v>11182</v>
      </c>
      <c r="Y3520">
        <v>0.22391933124678889</v>
      </c>
      <c r="Z3520" t="str">
        <f>HYPERLINK("Melting_Curves/meltCurve_tr_F5H698_F5H698_HUMAN_.pdf", "Melting_Curves/meltCurve_tr_F5H698_F5H698_HUMAN_.pdf")</f>
        <v>Melting_Curves/meltCurve_tr_F5H698_F5H698_HUMAN_.pdf</v>
      </c>
      <c r="AA3520" t="s">
        <v>14957</v>
      </c>
      <c r="AB3520" t="s">
        <v>18751</v>
      </c>
    </row>
    <row r="3521" spans="1:28" x14ac:dyDescent="0.25">
      <c r="A3521" t="s">
        <v>3525</v>
      </c>
      <c r="B3521">
        <v>0.98876768158843997</v>
      </c>
      <c r="C3521">
        <v>1.0885142135529</v>
      </c>
      <c r="D3521">
        <v>0.85438124661187598</v>
      </c>
      <c r="E3521">
        <v>0.44334785077648597</v>
      </c>
      <c r="F3521">
        <v>0.27190388893142498</v>
      </c>
      <c r="G3521">
        <v>0.17136386271050599</v>
      </c>
      <c r="H3521">
        <v>0.158921849749637</v>
      </c>
      <c r="I3521">
        <v>9.8487200199989994E-2</v>
      </c>
      <c r="J3521">
        <v>0.101301567910311</v>
      </c>
      <c r="K3521">
        <v>0.10756312381583299</v>
      </c>
      <c r="L3521">
        <v>1244.7376965665301</v>
      </c>
      <c r="M3521">
        <v>25.3387591010116</v>
      </c>
      <c r="N3521">
        <v>49.676746805863701</v>
      </c>
      <c r="O3521">
        <v>48.820959340521902</v>
      </c>
      <c r="P3521">
        <v>-0.113812655100648</v>
      </c>
      <c r="Q3521">
        <v>0.122865937239616</v>
      </c>
      <c r="R3521">
        <v>0.988213063322124</v>
      </c>
      <c r="S3521" t="s">
        <v>7353</v>
      </c>
      <c r="T3521" t="s">
        <v>7662</v>
      </c>
      <c r="U3521" t="s">
        <v>7662</v>
      </c>
      <c r="V3521" t="s">
        <v>7662</v>
      </c>
      <c r="W3521">
        <v>1</v>
      </c>
      <c r="X3521" t="s">
        <v>11183</v>
      </c>
      <c r="Y3521">
        <v>0.3971946447796964</v>
      </c>
      <c r="Z3521" t="str">
        <f>HYPERLINK("Melting_Curves/meltCurve_tr_F5H6Y1_F5H6Y1_HUMAN_.pdf", "Melting_Curves/meltCurve_tr_F5H6Y1_F5H6Y1_HUMAN_.pdf")</f>
        <v>Melting_Curves/meltCurve_tr_F5H6Y1_F5H6Y1_HUMAN_.pdf</v>
      </c>
      <c r="AA3521" t="s">
        <v>14958</v>
      </c>
      <c r="AB3521" t="s">
        <v>18752</v>
      </c>
    </row>
    <row r="3522" spans="1:28" x14ac:dyDescent="0.25">
      <c r="A3522" t="s">
        <v>3526</v>
      </c>
      <c r="B3522">
        <v>0.98876768158843997</v>
      </c>
      <c r="C3522">
        <v>1.0236004933954499</v>
      </c>
      <c r="D3522">
        <v>0.81724323809355504</v>
      </c>
      <c r="E3522">
        <v>0.74345822623387303</v>
      </c>
      <c r="F3522">
        <v>0.635585203405166</v>
      </c>
      <c r="G3522">
        <v>0.28388880869139499</v>
      </c>
      <c r="H3522">
        <v>8.2862947684383098E-2</v>
      </c>
      <c r="I3522">
        <v>8.1761533325082E-2</v>
      </c>
      <c r="J3522">
        <v>8.1896122949609407E-2</v>
      </c>
      <c r="K3522">
        <v>8.4055736434441294E-2</v>
      </c>
      <c r="L3522">
        <v>813.11407308853495</v>
      </c>
      <c r="M3522">
        <v>15.152445626018499</v>
      </c>
      <c r="N3522">
        <v>53.776150552445401</v>
      </c>
      <c r="O3522">
        <v>52.753616873119597</v>
      </c>
      <c r="P3522">
        <v>-7.0680368316752507E-2</v>
      </c>
      <c r="Q3522">
        <v>1.5793907687620699E-2</v>
      </c>
      <c r="R3522">
        <v>0.98023459329617002</v>
      </c>
      <c r="S3522" t="s">
        <v>7354</v>
      </c>
      <c r="T3522" t="s">
        <v>7662</v>
      </c>
      <c r="U3522" t="s">
        <v>7662</v>
      </c>
      <c r="V3522" t="s">
        <v>7662</v>
      </c>
      <c r="W3522">
        <v>5</v>
      </c>
      <c r="X3522" t="s">
        <v>11184</v>
      </c>
      <c r="Y3522">
        <v>0.4842892770530815</v>
      </c>
      <c r="Z3522" t="str">
        <f>HYPERLINK("Melting_Curves/meltCurve_tr_F5H715_F5H715_HUMAN_.pdf", "Melting_Curves/meltCurve_tr_F5H715_F5H715_HUMAN_.pdf")</f>
        <v>Melting_Curves/meltCurve_tr_F5H715_F5H715_HUMAN_.pdf</v>
      </c>
      <c r="AA3522" t="s">
        <v>14959</v>
      </c>
      <c r="AB3522" t="s">
        <v>18753</v>
      </c>
    </row>
    <row r="3523" spans="1:28" x14ac:dyDescent="0.25">
      <c r="A3523" t="s">
        <v>3527</v>
      </c>
      <c r="B3523">
        <v>0.98876768158843997</v>
      </c>
      <c r="C3523">
        <v>1.1158872977418199</v>
      </c>
      <c r="D3523">
        <v>0.84640952077972897</v>
      </c>
      <c r="E3523">
        <v>0.67753233509710098</v>
      </c>
      <c r="F3523">
        <v>0.90274313143111595</v>
      </c>
      <c r="G3523">
        <v>0.60929256409208299</v>
      </c>
      <c r="H3523">
        <v>0.46884503971955899</v>
      </c>
      <c r="I3523">
        <v>0.59656047549621005</v>
      </c>
      <c r="J3523">
        <v>0.60531617086631295</v>
      </c>
      <c r="K3523">
        <v>0.84919077300302703</v>
      </c>
      <c r="L3523">
        <v>955.65317002208997</v>
      </c>
      <c r="M3523">
        <v>19.786882351327701</v>
      </c>
      <c r="O3523">
        <v>47.812119185002103</v>
      </c>
      <c r="P3523">
        <v>-3.6811296798991699E-2</v>
      </c>
      <c r="Q3523">
        <v>0.64421555373567996</v>
      </c>
      <c r="R3523">
        <v>0.59116495037747596</v>
      </c>
      <c r="S3523" t="s">
        <v>7355</v>
      </c>
      <c r="T3523" t="s">
        <v>7662</v>
      </c>
      <c r="U3523" t="s">
        <v>7662</v>
      </c>
      <c r="V3523" t="s">
        <v>7662</v>
      </c>
      <c r="W3523">
        <v>11</v>
      </c>
      <c r="X3523" t="s">
        <v>11185</v>
      </c>
      <c r="Y3523">
        <v>0.74775968576924612</v>
      </c>
      <c r="Z3523" t="str">
        <f>HYPERLINK("Melting_Curves/meltCurve_tr_F5H721_F5H721_HUMAN_.pdf", "Melting_Curves/meltCurve_tr_F5H721_F5H721_HUMAN_.pdf")</f>
        <v>Melting_Curves/meltCurve_tr_F5H721_F5H721_HUMAN_.pdf</v>
      </c>
      <c r="AA3523" t="s">
        <v>14960</v>
      </c>
      <c r="AB3523" t="s">
        <v>18754</v>
      </c>
    </row>
    <row r="3524" spans="1:28" x14ac:dyDescent="0.25">
      <c r="A3524" t="s">
        <v>3528</v>
      </c>
      <c r="B3524">
        <v>0.98876768158843997</v>
      </c>
      <c r="C3524">
        <v>0.70452106058521502</v>
      </c>
      <c r="D3524">
        <v>0.91629861924028999</v>
      </c>
      <c r="E3524">
        <v>0.34510351685597301</v>
      </c>
      <c r="F3524">
        <v>0.21838090614179501</v>
      </c>
      <c r="G3524">
        <v>0.137185370666942</v>
      </c>
      <c r="H3524">
        <v>0.102276864473745</v>
      </c>
      <c r="I3524">
        <v>7.8571589665746205E-2</v>
      </c>
      <c r="J3524">
        <v>7.9275943667439397E-2</v>
      </c>
      <c r="K3524">
        <v>8.4182704212168502E-2</v>
      </c>
      <c r="L3524">
        <v>933.67330102783205</v>
      </c>
      <c r="M3524">
        <v>19.252220948955799</v>
      </c>
      <c r="N3524">
        <v>48.910597307390503</v>
      </c>
      <c r="O3524">
        <v>47.982761951588898</v>
      </c>
      <c r="P3524">
        <v>-9.2774973391752905E-2</v>
      </c>
      <c r="Q3524">
        <v>7.5134017700390507E-2</v>
      </c>
      <c r="R3524">
        <v>0.93297258898253099</v>
      </c>
      <c r="S3524" t="s">
        <v>7356</v>
      </c>
      <c r="T3524" t="s">
        <v>7662</v>
      </c>
      <c r="U3524" t="s">
        <v>7662</v>
      </c>
      <c r="V3524" t="s">
        <v>7662</v>
      </c>
      <c r="W3524">
        <v>2</v>
      </c>
      <c r="X3524" t="s">
        <v>11186</v>
      </c>
      <c r="Y3524">
        <v>0.35118579227634911</v>
      </c>
      <c r="Z3524" t="str">
        <f>HYPERLINK("Melting_Curves/meltCurve_tr_F5H7F6_F5H7F6_HUMAN_.pdf", "Melting_Curves/meltCurve_tr_F5H7F6_F5H7F6_HUMAN_.pdf")</f>
        <v>Melting_Curves/meltCurve_tr_F5H7F6_F5H7F6_HUMAN_.pdf</v>
      </c>
      <c r="AA3524" t="s">
        <v>14961</v>
      </c>
      <c r="AB3524" t="s">
        <v>18755</v>
      </c>
    </row>
    <row r="3525" spans="1:28" x14ac:dyDescent="0.25">
      <c r="A3525" t="s">
        <v>3529</v>
      </c>
      <c r="B3525">
        <v>0.98876768158843997</v>
      </c>
      <c r="C3525">
        <v>0.96974762521067104</v>
      </c>
      <c r="D3525">
        <v>0.668091412098482</v>
      </c>
      <c r="E3525">
        <v>0.23661167309147499</v>
      </c>
      <c r="F3525">
        <v>0.144981763337653</v>
      </c>
      <c r="G3525">
        <v>8.2563786511821696E-2</v>
      </c>
      <c r="H3525">
        <v>5.9684597269264797E-2</v>
      </c>
      <c r="I3525">
        <v>7.3836493568317701E-2</v>
      </c>
      <c r="J3525">
        <v>6.1027285845660799E-2</v>
      </c>
      <c r="K3525">
        <v>4.0251686370264897E-2</v>
      </c>
      <c r="L3525">
        <v>1224.6905410018701</v>
      </c>
      <c r="M3525">
        <v>25.958397786941401</v>
      </c>
      <c r="N3525">
        <v>47.432900165769396</v>
      </c>
      <c r="O3525">
        <v>46.901629097931</v>
      </c>
      <c r="P3525">
        <v>-0.12939165768049499</v>
      </c>
      <c r="Q3525">
        <v>6.4871079135145795E-2</v>
      </c>
      <c r="R3525">
        <v>0.99770894819736899</v>
      </c>
      <c r="S3525" t="s">
        <v>7357</v>
      </c>
      <c r="T3525" t="s">
        <v>7662</v>
      </c>
      <c r="U3525" t="s">
        <v>7662</v>
      </c>
      <c r="V3525" t="s">
        <v>7662</v>
      </c>
      <c r="W3525">
        <v>18</v>
      </c>
      <c r="X3525" t="s">
        <v>11187</v>
      </c>
      <c r="Y3525">
        <v>0.29631238231824081</v>
      </c>
      <c r="Z3525" t="str">
        <f>HYPERLINK("Melting_Curves/meltCurve_tr_F5H801_F5H801_HUMAN_.pdf", "Melting_Curves/meltCurve_tr_F5H801_F5H801_HUMAN_.pdf")</f>
        <v>Melting_Curves/meltCurve_tr_F5H801_F5H801_HUMAN_.pdf</v>
      </c>
      <c r="AA3525" t="s">
        <v>14962</v>
      </c>
      <c r="AB3525" t="s">
        <v>18756</v>
      </c>
    </row>
    <row r="3526" spans="1:28" x14ac:dyDescent="0.25">
      <c r="A3526" t="s">
        <v>3530</v>
      </c>
      <c r="B3526">
        <v>0.98876768158843997</v>
      </c>
      <c r="C3526">
        <v>1.0017387905136299</v>
      </c>
      <c r="D3526">
        <v>0.90188156324716395</v>
      </c>
      <c r="E3526">
        <v>0.68746057397680205</v>
      </c>
      <c r="F3526">
        <v>0.50153393899520304</v>
      </c>
      <c r="G3526">
        <v>0.10831948796528899</v>
      </c>
      <c r="H3526">
        <v>5.4124085389349402E-2</v>
      </c>
      <c r="I3526">
        <v>5.0907728499786899E-2</v>
      </c>
      <c r="J3526">
        <v>5.9973791566222602E-2</v>
      </c>
      <c r="K3526">
        <v>5.0678829398366002E-2</v>
      </c>
      <c r="L3526">
        <v>1057.9494994384499</v>
      </c>
      <c r="M3526">
        <v>20.2845994979069</v>
      </c>
      <c r="N3526">
        <v>52.291323957236798</v>
      </c>
      <c r="O3526">
        <v>51.656348936697199</v>
      </c>
      <c r="P3526">
        <v>-9.5651289436244E-2</v>
      </c>
      <c r="Q3526">
        <v>2.5695446570419399E-2</v>
      </c>
      <c r="R3526">
        <v>0.99227545260041505</v>
      </c>
      <c r="S3526" t="s">
        <v>7358</v>
      </c>
      <c r="T3526" t="s">
        <v>7662</v>
      </c>
      <c r="U3526" t="s">
        <v>7662</v>
      </c>
      <c r="V3526" t="s">
        <v>7662</v>
      </c>
      <c r="W3526">
        <v>29</v>
      </c>
      <c r="X3526" t="s">
        <v>11188</v>
      </c>
      <c r="Y3526">
        <v>0.43359946212293471</v>
      </c>
      <c r="Z3526" t="str">
        <f>HYPERLINK("Melting_Curves/meltCurve_tr_F5H897_F5H897_HUMAN_.pdf", "Melting_Curves/meltCurve_tr_F5H897_F5H897_HUMAN_.pdf")</f>
        <v>Melting_Curves/meltCurve_tr_F5H897_F5H897_HUMAN_.pdf</v>
      </c>
      <c r="AA3526" t="s">
        <v>14963</v>
      </c>
      <c r="AB3526" t="s">
        <v>18757</v>
      </c>
    </row>
    <row r="3527" spans="1:28" x14ac:dyDescent="0.25">
      <c r="A3527" t="s">
        <v>3531</v>
      </c>
      <c r="B3527">
        <v>0.98876768158843997</v>
      </c>
      <c r="C3527">
        <v>1.04432377842568</v>
      </c>
      <c r="D3527">
        <v>0.85131701693916395</v>
      </c>
      <c r="E3527">
        <v>0.60757162890384298</v>
      </c>
      <c r="F3527">
        <v>0.53578190158059003</v>
      </c>
      <c r="G3527">
        <v>0.21071267938452501</v>
      </c>
      <c r="H3527">
        <v>0.16510955883380499</v>
      </c>
      <c r="I3527">
        <v>0.14947917154188001</v>
      </c>
      <c r="J3527">
        <v>0.18643681453717301</v>
      </c>
      <c r="K3527">
        <v>0.17174482722374301</v>
      </c>
      <c r="L3527">
        <v>867.262278177697</v>
      </c>
      <c r="M3527">
        <v>16.959617032393599</v>
      </c>
      <c r="N3527">
        <v>52.147302347263398</v>
      </c>
      <c r="O3527">
        <v>50.441806595835502</v>
      </c>
      <c r="P3527">
        <v>-7.2289051386703301E-2</v>
      </c>
      <c r="Q3527">
        <v>0.14003651826798399</v>
      </c>
      <c r="R3527">
        <v>0.98069624664383304</v>
      </c>
      <c r="S3527" t="s">
        <v>7359</v>
      </c>
      <c r="T3527" t="s">
        <v>7662</v>
      </c>
      <c r="U3527" t="s">
        <v>7662</v>
      </c>
      <c r="V3527" t="s">
        <v>7662</v>
      </c>
      <c r="W3527">
        <v>4</v>
      </c>
      <c r="X3527" t="s">
        <v>11189</v>
      </c>
      <c r="Y3527">
        <v>0.47535304305604648</v>
      </c>
      <c r="Z3527" t="str">
        <f>HYPERLINK("Melting_Curves/meltCurve_tr_F5H8D7_F5H8D7_HUMAN_.pdf", "Melting_Curves/meltCurve_tr_F5H8D7_F5H8D7_HUMAN_.pdf")</f>
        <v>Melting_Curves/meltCurve_tr_F5H8D7_F5H8D7_HUMAN_.pdf</v>
      </c>
      <c r="AA3527" t="s">
        <v>14964</v>
      </c>
      <c r="AB3527" t="s">
        <v>18758</v>
      </c>
    </row>
    <row r="3528" spans="1:28" x14ac:dyDescent="0.25">
      <c r="A3528" t="s">
        <v>3532</v>
      </c>
      <c r="B3528">
        <v>0.98876768158843997</v>
      </c>
      <c r="C3528">
        <v>0.95423453986523499</v>
      </c>
      <c r="D3528">
        <v>0.88693330771865897</v>
      </c>
      <c r="E3528">
        <v>0.740391449639073</v>
      </c>
      <c r="F3528">
        <v>0.48285249390637802</v>
      </c>
      <c r="G3528">
        <v>0.166656124003142</v>
      </c>
      <c r="H3528">
        <v>6.6575335943957495E-2</v>
      </c>
      <c r="I3528">
        <v>5.3857572339326899E-2</v>
      </c>
      <c r="J3528">
        <v>4.3136814273988203E-2</v>
      </c>
      <c r="K3528">
        <v>3.8014016217854503E-2</v>
      </c>
      <c r="L3528">
        <v>990.88425951582303</v>
      </c>
      <c r="M3528">
        <v>18.882135041133601</v>
      </c>
      <c r="N3528">
        <v>52.573398496463902</v>
      </c>
      <c r="O3528">
        <v>51.899370717035097</v>
      </c>
      <c r="P3528">
        <v>-8.9417008143476695E-2</v>
      </c>
      <c r="Q3528">
        <v>1.6955050750893701E-2</v>
      </c>
      <c r="R3528">
        <v>0.99638182353465099</v>
      </c>
      <c r="S3528" t="s">
        <v>7360</v>
      </c>
      <c r="T3528" t="s">
        <v>7662</v>
      </c>
      <c r="U3528" t="s">
        <v>7662</v>
      </c>
      <c r="V3528" t="s">
        <v>7662</v>
      </c>
      <c r="W3528">
        <v>16</v>
      </c>
      <c r="X3528" t="s">
        <v>11190</v>
      </c>
      <c r="Y3528">
        <v>0.44080397329279231</v>
      </c>
      <c r="Z3528" t="str">
        <f>HYPERLINK("Melting_Curves/meltCurve_tr_F5H8H2_F5H8H2_HUMAN_.pdf", "Melting_Curves/meltCurve_tr_F5H8H2_F5H8H2_HUMAN_.pdf")</f>
        <v>Melting_Curves/meltCurve_tr_F5H8H2_F5H8H2_HUMAN_.pdf</v>
      </c>
      <c r="AA3528" t="s">
        <v>14965</v>
      </c>
      <c r="AB3528" t="s">
        <v>18759</v>
      </c>
    </row>
    <row r="3529" spans="1:28" x14ac:dyDescent="0.25">
      <c r="A3529" t="s">
        <v>3533</v>
      </c>
      <c r="B3529">
        <v>0.98876768158843997</v>
      </c>
      <c r="C3529">
        <v>1.0139880463734201</v>
      </c>
      <c r="D3529">
        <v>0.96508714682456498</v>
      </c>
      <c r="E3529">
        <v>0.756637611859313</v>
      </c>
      <c r="F3529">
        <v>0.55689091952888103</v>
      </c>
      <c r="G3529">
        <v>0.44465337370038499</v>
      </c>
      <c r="H3529">
        <v>0.28846502286259001</v>
      </c>
      <c r="I3529">
        <v>0.260304311677448</v>
      </c>
      <c r="J3529">
        <v>0.25097427795245902</v>
      </c>
      <c r="K3529">
        <v>0.21688973050303001</v>
      </c>
      <c r="L3529">
        <v>849.82009534442398</v>
      </c>
      <c r="M3529">
        <v>16.133673057089201</v>
      </c>
      <c r="N3529">
        <v>54.633798369953197</v>
      </c>
      <c r="O3529">
        <v>51.884384555193698</v>
      </c>
      <c r="P3529">
        <v>-6.0662197561181803E-2</v>
      </c>
      <c r="Q3529">
        <v>0.21972341371210799</v>
      </c>
      <c r="R3529">
        <v>0.99363101431683798</v>
      </c>
      <c r="S3529" t="s">
        <v>7361</v>
      </c>
      <c r="T3529" t="s">
        <v>7662</v>
      </c>
      <c r="U3529" t="s">
        <v>7662</v>
      </c>
      <c r="V3529" t="s">
        <v>7662</v>
      </c>
      <c r="W3529">
        <v>2</v>
      </c>
      <c r="X3529" t="s">
        <v>11191</v>
      </c>
      <c r="Y3529">
        <v>0.56463288114350207</v>
      </c>
      <c r="Z3529" t="str">
        <f>HYPERLINK("Melting_Curves/meltCurve_tr_F6PQP6_F6PQP6_HUMAN_.pdf", "Melting_Curves/meltCurve_tr_F6PQP6_F6PQP6_HUMAN_.pdf")</f>
        <v>Melting_Curves/meltCurve_tr_F6PQP6_F6PQP6_HUMAN_.pdf</v>
      </c>
      <c r="AA3529" t="s">
        <v>14966</v>
      </c>
      <c r="AB3529" t="s">
        <v>18760</v>
      </c>
    </row>
    <row r="3530" spans="1:28" x14ac:dyDescent="0.25">
      <c r="A3530" t="s">
        <v>3534</v>
      </c>
      <c r="B3530">
        <v>0.98876768158843997</v>
      </c>
      <c r="C3530">
        <v>1.19170318102447</v>
      </c>
      <c r="D3530">
        <v>0.88704486707646202</v>
      </c>
      <c r="E3530">
        <v>0.81860594000299602</v>
      </c>
      <c r="F3530">
        <v>0.75201418631306804</v>
      </c>
      <c r="G3530">
        <v>0.61318350416917899</v>
      </c>
      <c r="H3530">
        <v>0.52771584478584099</v>
      </c>
      <c r="I3530">
        <v>0.62280907948991304</v>
      </c>
      <c r="J3530">
        <v>0.83430474743734395</v>
      </c>
      <c r="K3530">
        <v>0.742721722424172</v>
      </c>
      <c r="L3530">
        <v>1320.9811277966201</v>
      </c>
      <c r="M3530">
        <v>26.787777821237398</v>
      </c>
      <c r="O3530">
        <v>49.040485318119003</v>
      </c>
      <c r="P3530">
        <v>-4.4687203302295697E-2</v>
      </c>
      <c r="Q3530">
        <v>0.67276729484086795</v>
      </c>
      <c r="R3530">
        <v>0.69391329299799798</v>
      </c>
      <c r="S3530" t="s">
        <v>7362</v>
      </c>
      <c r="T3530" t="s">
        <v>7662</v>
      </c>
      <c r="U3530" t="s">
        <v>7662</v>
      </c>
      <c r="V3530" t="s">
        <v>7662</v>
      </c>
      <c r="W3530">
        <v>1</v>
      </c>
      <c r="X3530" t="s">
        <v>11192</v>
      </c>
      <c r="Y3530">
        <v>0.77687290452058311</v>
      </c>
      <c r="Z3530" t="str">
        <f>HYPERLINK("Melting_Curves/meltCurve_tr_F6RY50_F6RY50_HUMAN_.pdf", "Melting_Curves/meltCurve_tr_F6RY50_F6RY50_HUMAN_.pdf")</f>
        <v>Melting_Curves/meltCurve_tr_F6RY50_F6RY50_HUMAN_.pdf</v>
      </c>
      <c r="AA3530" t="s">
        <v>14967</v>
      </c>
      <c r="AB3530" t="s">
        <v>18761</v>
      </c>
    </row>
    <row r="3531" spans="1:28" x14ac:dyDescent="0.25">
      <c r="A3531" t="s">
        <v>3535</v>
      </c>
      <c r="B3531">
        <v>0.98876768158843997</v>
      </c>
      <c r="C3531">
        <v>0.94279653661932805</v>
      </c>
      <c r="D3531">
        <v>0.87843176042896898</v>
      </c>
      <c r="E3531">
        <v>0.63434066779841103</v>
      </c>
      <c r="F3531">
        <v>0.20185494846423799</v>
      </c>
      <c r="G3531">
        <v>0.12619985500224401</v>
      </c>
      <c r="H3531">
        <v>7.2955703979609501E-2</v>
      </c>
      <c r="I3531">
        <v>6.3427939749036294E-2</v>
      </c>
      <c r="J3531">
        <v>8.0005728155466499E-2</v>
      </c>
      <c r="K3531">
        <v>7.1684920774004804E-2</v>
      </c>
      <c r="L3531">
        <v>1424.28313184066</v>
      </c>
      <c r="M3531">
        <v>28.2599311967214</v>
      </c>
      <c r="N3531">
        <v>50.664381414087103</v>
      </c>
      <c r="O3531">
        <v>50.149046607871803</v>
      </c>
      <c r="P3531">
        <v>-0.131201898615632</v>
      </c>
      <c r="Q3531">
        <v>6.8703333791601304E-2</v>
      </c>
      <c r="R3531">
        <v>0.99151523788129503</v>
      </c>
      <c r="S3531" t="s">
        <v>7363</v>
      </c>
      <c r="T3531" t="s">
        <v>7662</v>
      </c>
      <c r="U3531" t="s">
        <v>7662</v>
      </c>
      <c r="V3531" t="s">
        <v>7662</v>
      </c>
      <c r="W3531">
        <v>9</v>
      </c>
      <c r="X3531" t="s">
        <v>11193</v>
      </c>
      <c r="Y3531">
        <v>0.39807269652637678</v>
      </c>
      <c r="Z3531" t="str">
        <f>HYPERLINK("Melting_Curves/meltCurve_tr_F6T1Q0_F6T1Q0_HUMAN_.pdf", "Melting_Curves/meltCurve_tr_F6T1Q0_F6T1Q0_HUMAN_.pdf")</f>
        <v>Melting_Curves/meltCurve_tr_F6T1Q0_F6T1Q0_HUMAN_.pdf</v>
      </c>
      <c r="AA3531" t="s">
        <v>14968</v>
      </c>
      <c r="AB3531" t="s">
        <v>18762</v>
      </c>
    </row>
    <row r="3532" spans="1:28" x14ac:dyDescent="0.25">
      <c r="A3532" t="s">
        <v>3536</v>
      </c>
      <c r="B3532">
        <v>0.98876768158843997</v>
      </c>
      <c r="C3532">
        <v>0.96505397495869805</v>
      </c>
      <c r="D3532">
        <v>0.79859630788854996</v>
      </c>
      <c r="E3532">
        <v>0.58946521532795904</v>
      </c>
      <c r="F3532">
        <v>0.36416273902337698</v>
      </c>
      <c r="G3532">
        <v>0.20381827235171299</v>
      </c>
      <c r="H3532">
        <v>0.140379479208813</v>
      </c>
      <c r="I3532">
        <v>0.123544821732296</v>
      </c>
      <c r="J3532">
        <v>0.188438667839984</v>
      </c>
      <c r="K3532">
        <v>0.226190539085424</v>
      </c>
      <c r="L3532">
        <v>900.68854398919405</v>
      </c>
      <c r="M3532">
        <v>18.122528112384199</v>
      </c>
      <c r="N3532">
        <v>50.729655931660403</v>
      </c>
      <c r="O3532">
        <v>49.106635287290899</v>
      </c>
      <c r="P3532">
        <v>-7.8066839474838307E-2</v>
      </c>
      <c r="Q3532">
        <v>0.153889426630898</v>
      </c>
      <c r="R3532">
        <v>0.988127873878482</v>
      </c>
      <c r="S3532" t="s">
        <v>7364</v>
      </c>
      <c r="T3532" t="s">
        <v>7662</v>
      </c>
      <c r="U3532" t="s">
        <v>7662</v>
      </c>
      <c r="V3532" t="s">
        <v>7662</v>
      </c>
      <c r="W3532">
        <v>2</v>
      </c>
      <c r="X3532" t="s">
        <v>11194</v>
      </c>
      <c r="Y3532">
        <v>0.44176349037081319</v>
      </c>
      <c r="Z3532" t="str">
        <f>HYPERLINK("Melting_Curves/meltCurve_tr_F6TQG2_F6TQG2_HUMAN_.pdf", "Melting_Curves/meltCurve_tr_F6TQG2_F6TQG2_HUMAN_.pdf")</f>
        <v>Melting_Curves/meltCurve_tr_F6TQG2_F6TQG2_HUMAN_.pdf</v>
      </c>
      <c r="AA3532" t="s">
        <v>14969</v>
      </c>
      <c r="AB3532" t="s">
        <v>18763</v>
      </c>
    </row>
    <row r="3533" spans="1:28" x14ac:dyDescent="0.25">
      <c r="A3533" t="s">
        <v>3537</v>
      </c>
      <c r="B3533">
        <v>0.98876768158843997</v>
      </c>
      <c r="C3533">
        <v>1.1194488433643699</v>
      </c>
      <c r="D3533">
        <v>0.872547908667337</v>
      </c>
      <c r="E3533">
        <v>0.651830221342802</v>
      </c>
      <c r="F3533">
        <v>0.52185648446321597</v>
      </c>
      <c r="G3533">
        <v>0.211451187354119</v>
      </c>
      <c r="H3533">
        <v>8.9956247146851298E-2</v>
      </c>
      <c r="I3533">
        <v>7.5098329935304298E-2</v>
      </c>
      <c r="J3533">
        <v>5.4720407865416598E-2</v>
      </c>
      <c r="K3533">
        <v>5.7965314535194302E-2</v>
      </c>
      <c r="L3533">
        <v>881.18374260046198</v>
      </c>
      <c r="M3533">
        <v>16.829360584413401</v>
      </c>
      <c r="N3533">
        <v>52.553680249942502</v>
      </c>
      <c r="O3533">
        <v>51.637378246193997</v>
      </c>
      <c r="P3533">
        <v>-7.9032271169164295E-2</v>
      </c>
      <c r="Q3533">
        <v>3.0086292025303E-2</v>
      </c>
      <c r="R3533">
        <v>0.98231707945853097</v>
      </c>
      <c r="S3533" t="s">
        <v>7365</v>
      </c>
      <c r="T3533" t="s">
        <v>7662</v>
      </c>
      <c r="U3533" t="s">
        <v>7662</v>
      </c>
      <c r="V3533" t="s">
        <v>7662</v>
      </c>
      <c r="W3533">
        <v>8</v>
      </c>
      <c r="X3533" t="s">
        <v>11195</v>
      </c>
      <c r="Y3533">
        <v>0.44761152669712179</v>
      </c>
      <c r="Z3533" t="str">
        <f>HYPERLINK("Melting_Curves/meltCurve_tr_F6TR53_F6TR53_HUMAN_.pdf", "Melting_Curves/meltCurve_tr_F6TR53_F6TR53_HUMAN_.pdf")</f>
        <v>Melting_Curves/meltCurve_tr_F6TR53_F6TR53_HUMAN_.pdf</v>
      </c>
      <c r="AA3533" t="s">
        <v>14970</v>
      </c>
      <c r="AB3533" t="s">
        <v>18764</v>
      </c>
    </row>
    <row r="3534" spans="1:28" x14ac:dyDescent="0.25">
      <c r="A3534" t="s">
        <v>3538</v>
      </c>
      <c r="B3534">
        <v>0.98876768158843997</v>
      </c>
      <c r="C3534">
        <v>0.83696754467619605</v>
      </c>
      <c r="D3534">
        <v>0.969269760355424</v>
      </c>
      <c r="E3534">
        <v>0.75581918928701597</v>
      </c>
      <c r="F3534">
        <v>0.51487638209018105</v>
      </c>
      <c r="G3534">
        <v>0.353914549516119</v>
      </c>
      <c r="H3534">
        <v>0.28141709943438697</v>
      </c>
      <c r="I3534">
        <v>0.23810622259210601</v>
      </c>
      <c r="J3534">
        <v>0.23270405765611499</v>
      </c>
      <c r="K3534">
        <v>0.237668214509756</v>
      </c>
      <c r="L3534">
        <v>917.08379045260494</v>
      </c>
      <c r="M3534">
        <v>17.682872268279699</v>
      </c>
      <c r="N3534">
        <v>53.635532531099699</v>
      </c>
      <c r="O3534">
        <v>51.213182710651502</v>
      </c>
      <c r="P3534">
        <v>-6.7221774698940501E-2</v>
      </c>
      <c r="Q3534">
        <v>0.22128966425497301</v>
      </c>
      <c r="R3534">
        <v>0.97340689004118197</v>
      </c>
      <c r="S3534" t="s">
        <v>7366</v>
      </c>
      <c r="T3534" t="s">
        <v>7662</v>
      </c>
      <c r="U3534" t="s">
        <v>7662</v>
      </c>
      <c r="V3534" t="s">
        <v>7662</v>
      </c>
      <c r="W3534">
        <v>3</v>
      </c>
      <c r="X3534" t="s">
        <v>11196</v>
      </c>
      <c r="Y3534">
        <v>0.54259686052640033</v>
      </c>
      <c r="Z3534" t="str">
        <f>HYPERLINK("Melting_Curves/meltCurve_tr_F6U1T9_F6U1T9_HUMAN_.pdf", "Melting_Curves/meltCurve_tr_F6U1T9_F6U1T9_HUMAN_.pdf")</f>
        <v>Melting_Curves/meltCurve_tr_F6U1T9_F6U1T9_HUMAN_.pdf</v>
      </c>
      <c r="AA3534" t="s">
        <v>14971</v>
      </c>
      <c r="AB3534" t="s">
        <v>18765</v>
      </c>
    </row>
    <row r="3535" spans="1:28" x14ac:dyDescent="0.25">
      <c r="A3535" t="s">
        <v>3539</v>
      </c>
      <c r="B3535">
        <v>0.98876768158843997</v>
      </c>
      <c r="C3535">
        <v>1.0993025952961</v>
      </c>
      <c r="D3535">
        <v>0.77111622389023704</v>
      </c>
      <c r="E3535">
        <v>0.85542327925805095</v>
      </c>
      <c r="F3535">
        <v>0.63824047807310702</v>
      </c>
      <c r="G3535">
        <v>0.389058751070604</v>
      </c>
      <c r="H3535">
        <v>0.273902807244221</v>
      </c>
      <c r="I3535">
        <v>0.255904478084508</v>
      </c>
      <c r="J3535">
        <v>0.40808515829147801</v>
      </c>
      <c r="K3535">
        <v>0.358081572551189</v>
      </c>
      <c r="L3535">
        <v>1074.4725683500601</v>
      </c>
      <c r="M3535">
        <v>20.528340811024201</v>
      </c>
      <c r="N3535">
        <v>54.902253698956002</v>
      </c>
      <c r="O3535">
        <v>51.851840836130997</v>
      </c>
      <c r="P3535">
        <v>-6.84823899271359E-2</v>
      </c>
      <c r="Q3535">
        <v>0.30811091729238099</v>
      </c>
      <c r="R3535">
        <v>0.91675269004780902</v>
      </c>
      <c r="S3535" t="s">
        <v>7367</v>
      </c>
      <c r="T3535" t="s">
        <v>7662</v>
      </c>
      <c r="U3535" t="s">
        <v>7662</v>
      </c>
      <c r="V3535" t="s">
        <v>7662</v>
      </c>
      <c r="W3535">
        <v>2</v>
      </c>
      <c r="X3535" t="s">
        <v>11197</v>
      </c>
      <c r="Y3535">
        <v>0.60185673283243979</v>
      </c>
      <c r="Z3535" t="str">
        <f>HYPERLINK("Melting_Curves/meltCurve_tr_F6XIH0_F6XIH0_HUMAN_.pdf", "Melting_Curves/meltCurve_tr_F6XIH0_F6XIH0_HUMAN_.pdf")</f>
        <v>Melting_Curves/meltCurve_tr_F6XIH0_F6XIH0_HUMAN_.pdf</v>
      </c>
      <c r="AA3535" t="s">
        <v>14972</v>
      </c>
      <c r="AB3535" t="s">
        <v>18766</v>
      </c>
    </row>
    <row r="3536" spans="1:28" x14ac:dyDescent="0.25">
      <c r="A3536" t="s">
        <v>3540</v>
      </c>
      <c r="B3536">
        <v>0.98876768158843997</v>
      </c>
      <c r="C3536">
        <v>0.86829925896708304</v>
      </c>
      <c r="D3536">
        <v>1.0583039018138301</v>
      </c>
      <c r="E3536">
        <v>1.06262701179004</v>
      </c>
      <c r="F3536">
        <v>0.54444468169308502</v>
      </c>
      <c r="G3536">
        <v>0.52306225386986305</v>
      </c>
      <c r="H3536">
        <v>0.40995833117661801</v>
      </c>
      <c r="I3536">
        <v>0.25317760840725401</v>
      </c>
      <c r="J3536">
        <v>0.16952130174160801</v>
      </c>
      <c r="K3536">
        <v>0.14365542166501999</v>
      </c>
      <c r="L3536">
        <v>824.05314555887605</v>
      </c>
      <c r="M3536">
        <v>14.6913464974446</v>
      </c>
      <c r="N3536">
        <v>57.187551168873199</v>
      </c>
      <c r="O3536">
        <v>55.082530112092499</v>
      </c>
      <c r="P3536">
        <v>-5.8500691189767501E-2</v>
      </c>
      <c r="Q3536">
        <v>0.122745050607972</v>
      </c>
      <c r="R3536">
        <v>0.91319561288484197</v>
      </c>
      <c r="S3536" t="s">
        <v>7368</v>
      </c>
      <c r="T3536" t="s">
        <v>7662</v>
      </c>
      <c r="U3536" t="s">
        <v>7662</v>
      </c>
      <c r="V3536" t="s">
        <v>7662</v>
      </c>
      <c r="W3536">
        <v>6</v>
      </c>
      <c r="X3536" t="s">
        <v>11198</v>
      </c>
      <c r="Y3536">
        <v>0.60896316470236234</v>
      </c>
      <c r="Z3536" t="str">
        <f>HYPERLINK("Melting_Curves/meltCurve_tr_F6XY72_F6XY72_HUMAN_.pdf", "Melting_Curves/meltCurve_tr_F6XY72_F6XY72_HUMAN_.pdf")</f>
        <v>Melting_Curves/meltCurve_tr_F6XY72_F6XY72_HUMAN_.pdf</v>
      </c>
      <c r="AA3536" t="s">
        <v>12229</v>
      </c>
      <c r="AB3536" t="s">
        <v>18767</v>
      </c>
    </row>
    <row r="3537" spans="1:28" x14ac:dyDescent="0.25">
      <c r="A3537" t="s">
        <v>3541</v>
      </c>
      <c r="B3537">
        <v>0.98876768158843997</v>
      </c>
      <c r="C3537">
        <v>1.03527146019885</v>
      </c>
      <c r="D3537">
        <v>0.90261225279435997</v>
      </c>
      <c r="E3537">
        <v>0.76318495006140497</v>
      </c>
      <c r="F3537">
        <v>0.65351735995882998</v>
      </c>
      <c r="G3537">
        <v>0.42422509540550102</v>
      </c>
      <c r="H3537">
        <v>0.29788922272006901</v>
      </c>
      <c r="I3537">
        <v>0.29559805267449202</v>
      </c>
      <c r="J3537">
        <v>0.38204148062794202</v>
      </c>
      <c r="K3537">
        <v>0.43888784274425502</v>
      </c>
      <c r="L3537">
        <v>1020.91869754225</v>
      </c>
      <c r="M3537">
        <v>19.706519724159801</v>
      </c>
      <c r="N3537">
        <v>55.044625660095598</v>
      </c>
      <c r="O3537">
        <v>51.281514954690699</v>
      </c>
      <c r="P3537">
        <v>-6.3104554423005693E-2</v>
      </c>
      <c r="Q3537">
        <v>0.34316449052959802</v>
      </c>
      <c r="R3537">
        <v>0.963582555866761</v>
      </c>
      <c r="S3537" t="s">
        <v>7369</v>
      </c>
      <c r="T3537" t="s">
        <v>7662</v>
      </c>
      <c r="U3537" t="s">
        <v>7662</v>
      </c>
      <c r="V3537" t="s">
        <v>7662</v>
      </c>
      <c r="W3537">
        <v>14</v>
      </c>
      <c r="X3537" t="s">
        <v>11199</v>
      </c>
      <c r="Y3537">
        <v>0.61099649643376042</v>
      </c>
      <c r="Z3537" t="str">
        <f>HYPERLINK("Melting_Curves/meltCurve_tr_F8VQP2_F8VQP2_HUMAN_.pdf", "Melting_Curves/meltCurve_tr_F8VQP2_F8VQP2_HUMAN_.pdf")</f>
        <v>Melting_Curves/meltCurve_tr_F8VQP2_F8VQP2_HUMAN_.pdf</v>
      </c>
      <c r="AA3537" t="s">
        <v>14973</v>
      </c>
      <c r="AB3537" t="s">
        <v>18768</v>
      </c>
    </row>
    <row r="3538" spans="1:28" x14ac:dyDescent="0.25">
      <c r="A3538" t="s">
        <v>3542</v>
      </c>
      <c r="B3538">
        <v>0.98876768158843997</v>
      </c>
      <c r="C3538">
        <v>1.08561784405936</v>
      </c>
      <c r="D3538">
        <v>0.83165122466104102</v>
      </c>
      <c r="E3538">
        <v>0.73555835065310404</v>
      </c>
      <c r="F3538">
        <v>0.79852550218257301</v>
      </c>
      <c r="G3538">
        <v>0.57455915394230594</v>
      </c>
      <c r="H3538">
        <v>0.44092235086784898</v>
      </c>
      <c r="I3538">
        <v>0.52237628775273903</v>
      </c>
      <c r="J3538">
        <v>0.49415561317573498</v>
      </c>
      <c r="K3538">
        <v>0.84182369991212602</v>
      </c>
      <c r="L3538">
        <v>876.77613637504305</v>
      </c>
      <c r="M3538">
        <v>17.764144707284199</v>
      </c>
      <c r="O3538">
        <v>48.743783346495199</v>
      </c>
      <c r="P3538">
        <v>-3.8448702276924297E-2</v>
      </c>
      <c r="Q3538">
        <v>0.57801789100504597</v>
      </c>
      <c r="R3538">
        <v>0.67364998467561898</v>
      </c>
      <c r="S3538" t="s">
        <v>7370</v>
      </c>
      <c r="T3538" t="s">
        <v>7662</v>
      </c>
      <c r="U3538" t="s">
        <v>7662</v>
      </c>
      <c r="V3538" t="s">
        <v>7662</v>
      </c>
      <c r="W3538">
        <v>4</v>
      </c>
      <c r="X3538" t="s">
        <v>11200</v>
      </c>
      <c r="Y3538">
        <v>0.71708074430872204</v>
      </c>
      <c r="Z3538" t="str">
        <f>HYPERLINK("Melting_Curves/meltCurve_tr_F8VQR7_F8VQR7_HUMAN_.pdf", "Melting_Curves/meltCurve_tr_F8VQR7_F8VQR7_HUMAN_.pdf")</f>
        <v>Melting_Curves/meltCurve_tr_F8VQR7_F8VQR7_HUMAN_.pdf</v>
      </c>
      <c r="AA3538" t="s">
        <v>14974</v>
      </c>
      <c r="AB3538" t="s">
        <v>18769</v>
      </c>
    </row>
    <row r="3539" spans="1:28" x14ac:dyDescent="0.25">
      <c r="A3539" t="s">
        <v>3543</v>
      </c>
      <c r="B3539">
        <v>0.98876768158843997</v>
      </c>
      <c r="C3539">
        <v>0.868871598357012</v>
      </c>
      <c r="D3539">
        <v>0.82642300473015495</v>
      </c>
      <c r="E3539">
        <v>0.19862759892882001</v>
      </c>
      <c r="F3539">
        <v>9.6554711006841806E-2</v>
      </c>
      <c r="G3539">
        <v>4.2472255556722197E-2</v>
      </c>
      <c r="H3539">
        <v>2.6196364772438301E-2</v>
      </c>
      <c r="I3539">
        <v>1.9787972446168402E-2</v>
      </c>
      <c r="J3539">
        <v>3.3438107244390398E-2</v>
      </c>
      <c r="K3539">
        <v>2.0640135800041599E-2</v>
      </c>
      <c r="L3539">
        <v>1546.4858333671</v>
      </c>
      <c r="M3539">
        <v>32.309491993935197</v>
      </c>
      <c r="N3539">
        <v>47.953679355540103</v>
      </c>
      <c r="O3539">
        <v>47.682508147204999</v>
      </c>
      <c r="P3539">
        <v>-0.164474975262979</v>
      </c>
      <c r="Q3539">
        <v>2.9072777158935699E-2</v>
      </c>
      <c r="R3539">
        <v>0.99023462459886702</v>
      </c>
      <c r="S3539" t="s">
        <v>7371</v>
      </c>
      <c r="T3539" t="s">
        <v>7662</v>
      </c>
      <c r="U3539" t="s">
        <v>7662</v>
      </c>
      <c r="V3539" t="s">
        <v>7662</v>
      </c>
      <c r="W3539">
        <v>3</v>
      </c>
      <c r="X3539" t="s">
        <v>11201</v>
      </c>
      <c r="Y3539">
        <v>0.28860953781730903</v>
      </c>
      <c r="Z3539" t="str">
        <f>HYPERLINK("Melting_Curves/meltCurve_tr_F8VQX6_F8VQX6_HUMAN_.pdf", "Melting_Curves/meltCurve_tr_F8VQX6_F8VQX6_HUMAN_.pdf")</f>
        <v>Melting_Curves/meltCurve_tr_F8VQX6_F8VQX6_HUMAN_.pdf</v>
      </c>
      <c r="AA3539" t="s">
        <v>14975</v>
      </c>
      <c r="AB3539" t="s">
        <v>18770</v>
      </c>
    </row>
    <row r="3540" spans="1:28" x14ac:dyDescent="0.25">
      <c r="A3540" t="s">
        <v>3544</v>
      </c>
      <c r="B3540">
        <v>0.98876768158843997</v>
      </c>
      <c r="C3540">
        <v>0.91216025934243605</v>
      </c>
      <c r="D3540">
        <v>0.81873599689627896</v>
      </c>
      <c r="E3540">
        <v>0.50494607353517595</v>
      </c>
      <c r="F3540">
        <v>0.25345185598863601</v>
      </c>
      <c r="G3540">
        <v>0.109879812023148</v>
      </c>
      <c r="H3540">
        <v>6.2116421951894603E-2</v>
      </c>
      <c r="I3540">
        <v>4.9579280516326298E-2</v>
      </c>
      <c r="J3540">
        <v>7.8184278581276301E-2</v>
      </c>
      <c r="K3540">
        <v>3.9301869150013401E-2</v>
      </c>
      <c r="L3540">
        <v>907.28645996215403</v>
      </c>
      <c r="M3540">
        <v>18.288018323915601</v>
      </c>
      <c r="N3540">
        <v>49.835505944574599</v>
      </c>
      <c r="O3540">
        <v>49.029215814052101</v>
      </c>
      <c r="P3540">
        <v>-8.9567127028331903E-2</v>
      </c>
      <c r="Q3540">
        <v>3.95458235365388E-2</v>
      </c>
      <c r="R3540">
        <v>0.99778262081683</v>
      </c>
      <c r="S3540" t="s">
        <v>7372</v>
      </c>
      <c r="T3540" t="s">
        <v>7662</v>
      </c>
      <c r="U3540" t="s">
        <v>7662</v>
      </c>
      <c r="V3540" t="s">
        <v>7662</v>
      </c>
      <c r="W3540">
        <v>2</v>
      </c>
      <c r="X3540" t="s">
        <v>11202</v>
      </c>
      <c r="Y3540">
        <v>0.3632108441716595</v>
      </c>
      <c r="Z3540" t="str">
        <f>HYPERLINK("Melting_Curves/meltCurve_tr_F8VQY6_F8VQY6_HUMAN_.pdf", "Melting_Curves/meltCurve_tr_F8VQY6_F8VQY6_HUMAN_.pdf")</f>
        <v>Melting_Curves/meltCurve_tr_F8VQY6_F8VQY6_HUMAN_.pdf</v>
      </c>
      <c r="AA3540" t="s">
        <v>14976</v>
      </c>
      <c r="AB3540" t="s">
        <v>18771</v>
      </c>
    </row>
    <row r="3541" spans="1:28" x14ac:dyDescent="0.25">
      <c r="A3541" t="s">
        <v>3545</v>
      </c>
      <c r="B3541">
        <v>0.98876768158843997</v>
      </c>
      <c r="C3541">
        <v>0.956491932497466</v>
      </c>
      <c r="D3541">
        <v>0.79685291363662003</v>
      </c>
      <c r="E3541">
        <v>0.73290931278063798</v>
      </c>
      <c r="F3541">
        <v>1.0180032656411699</v>
      </c>
      <c r="G3541">
        <v>0.74113984499702701</v>
      </c>
      <c r="H3541">
        <v>0.53935754674994896</v>
      </c>
      <c r="I3541">
        <v>0.59012350312486594</v>
      </c>
      <c r="J3541">
        <v>1.01448607887922</v>
      </c>
      <c r="K3541">
        <v>1.0658199749571</v>
      </c>
      <c r="L3541">
        <v>10776.391840550599</v>
      </c>
      <c r="M3541">
        <v>250</v>
      </c>
      <c r="O3541">
        <v>43.1028089024026</v>
      </c>
      <c r="P3541">
        <v>-0.27211603600750101</v>
      </c>
      <c r="Q3541">
        <v>0.81233655227714197</v>
      </c>
      <c r="R3541">
        <v>0.12788005039796099</v>
      </c>
      <c r="S3541" t="s">
        <v>7373</v>
      </c>
      <c r="T3541" t="s">
        <v>7662</v>
      </c>
      <c r="U3541" t="s">
        <v>7662</v>
      </c>
      <c r="V3541" t="s">
        <v>7662</v>
      </c>
      <c r="W3541">
        <v>1</v>
      </c>
      <c r="X3541" t="s">
        <v>11203</v>
      </c>
      <c r="Y3541">
        <v>0.83177746488951365</v>
      </c>
      <c r="Z3541" t="str">
        <f>HYPERLINK("Melting_Curves/meltCurve_tr_F8VRD9_F8VRD9_HUMAN_.pdf", "Melting_Curves/meltCurve_tr_F8VRD9_F8VRD9_HUMAN_.pdf")</f>
        <v>Melting_Curves/meltCurve_tr_F8VRD9_F8VRD9_HUMAN_.pdf</v>
      </c>
      <c r="AA3541" t="s">
        <v>14977</v>
      </c>
      <c r="AB3541" t="s">
        <v>18772</v>
      </c>
    </row>
    <row r="3542" spans="1:28" x14ac:dyDescent="0.25">
      <c r="A3542" t="s">
        <v>3546</v>
      </c>
      <c r="B3542">
        <v>0.98876768158843997</v>
      </c>
      <c r="C3542">
        <v>0.92319718351615399</v>
      </c>
      <c r="D3542">
        <v>0.75311372347630201</v>
      </c>
      <c r="E3542">
        <v>0.46038615603406902</v>
      </c>
      <c r="F3542">
        <v>0.40997558259218497</v>
      </c>
      <c r="G3542">
        <v>0.309093863182127</v>
      </c>
      <c r="H3542">
        <v>0.20439251655445201</v>
      </c>
      <c r="I3542">
        <v>0.16336526017071901</v>
      </c>
      <c r="J3542">
        <v>0.12037335629283399</v>
      </c>
      <c r="K3542">
        <v>8.0494741063171296E-2</v>
      </c>
      <c r="L3542">
        <v>592.25746906787697</v>
      </c>
      <c r="M3542">
        <v>11.890346670174401</v>
      </c>
      <c r="N3542">
        <v>50.678978563675301</v>
      </c>
      <c r="O3542">
        <v>48.463725849450299</v>
      </c>
      <c r="P3542">
        <v>-5.5693435277051097E-2</v>
      </c>
      <c r="Q3542">
        <v>9.2225692499801198E-2</v>
      </c>
      <c r="R3542">
        <v>0.98635937602783696</v>
      </c>
      <c r="S3542" t="s">
        <v>7374</v>
      </c>
      <c r="T3542" t="s">
        <v>7662</v>
      </c>
      <c r="U3542" t="s">
        <v>7662</v>
      </c>
      <c r="V3542" t="s">
        <v>7662</v>
      </c>
      <c r="W3542">
        <v>6</v>
      </c>
      <c r="X3542" t="s">
        <v>11204</v>
      </c>
      <c r="Y3542">
        <v>0.42130770736740453</v>
      </c>
      <c r="Z3542" t="str">
        <f>HYPERLINK("Melting_Curves/meltCurve_tr_F8VRR3_F8VRR3_HUMAN_.pdf", "Melting_Curves/meltCurve_tr_F8VRR3_F8VRR3_HUMAN_.pdf")</f>
        <v>Melting_Curves/meltCurve_tr_F8VRR3_F8VRR3_HUMAN_.pdf</v>
      </c>
      <c r="AA3542" t="s">
        <v>14978</v>
      </c>
      <c r="AB3542" t="s">
        <v>18773</v>
      </c>
    </row>
    <row r="3543" spans="1:28" x14ac:dyDescent="0.25">
      <c r="A3543" t="s">
        <v>3547</v>
      </c>
      <c r="B3543">
        <v>0.98876768158843997</v>
      </c>
      <c r="C3543">
        <v>0.89788266194829403</v>
      </c>
      <c r="D3543">
        <v>0.85945644821527001</v>
      </c>
      <c r="E3543">
        <v>0.55260154509383197</v>
      </c>
      <c r="F3543">
        <v>0.43865284379375002</v>
      </c>
      <c r="G3543">
        <v>0.14059348543438299</v>
      </c>
      <c r="H3543">
        <v>5.1983939310929497E-2</v>
      </c>
      <c r="I3543">
        <v>3.2624633632937501E-2</v>
      </c>
      <c r="J3543">
        <v>5.47954610954084E-2</v>
      </c>
      <c r="K3543">
        <v>1.94073309887395E-2</v>
      </c>
      <c r="L3543">
        <v>761.86930436848604</v>
      </c>
      <c r="M3543">
        <v>14.8959254451717</v>
      </c>
      <c r="N3543">
        <v>51.146154577129202</v>
      </c>
      <c r="O3543">
        <v>50.250916257629903</v>
      </c>
      <c r="P3543">
        <v>-7.4115423646443898E-2</v>
      </c>
      <c r="Q3543">
        <v>0</v>
      </c>
      <c r="R3543">
        <v>0.99201857393900905</v>
      </c>
      <c r="S3543" t="s">
        <v>7375</v>
      </c>
      <c r="T3543" t="s">
        <v>7662</v>
      </c>
      <c r="U3543" t="s">
        <v>7662</v>
      </c>
      <c r="V3543" t="s">
        <v>7662</v>
      </c>
      <c r="W3543">
        <v>5</v>
      </c>
      <c r="X3543" t="s">
        <v>11205</v>
      </c>
      <c r="Y3543">
        <v>0.39479939845501799</v>
      </c>
      <c r="Z3543" t="str">
        <f>HYPERLINK("Melting_Curves/meltCurve_tr_F8VSC5_F8VSC5_HUMAN_.pdf", "Melting_Curves/meltCurve_tr_F8VSC5_F8VSC5_HUMAN_.pdf")</f>
        <v>Melting_Curves/meltCurve_tr_F8VSC5_F8VSC5_HUMAN_.pdf</v>
      </c>
      <c r="AA3543" t="s">
        <v>14979</v>
      </c>
      <c r="AB3543" t="s">
        <v>18774</v>
      </c>
    </row>
    <row r="3544" spans="1:28" x14ac:dyDescent="0.25">
      <c r="A3544" t="s">
        <v>3548</v>
      </c>
      <c r="B3544">
        <v>0.98876768158843997</v>
      </c>
      <c r="C3544">
        <v>0.82944392229725905</v>
      </c>
      <c r="D3544">
        <v>0.81814543633229497</v>
      </c>
      <c r="E3544">
        <v>0.66388257794793304</v>
      </c>
      <c r="F3544">
        <v>0.51456617111042902</v>
      </c>
      <c r="G3544">
        <v>0.33195797891671402</v>
      </c>
      <c r="H3544">
        <v>0.237901308828769</v>
      </c>
      <c r="I3544">
        <v>0.19252131380993301</v>
      </c>
      <c r="J3544">
        <v>0.241988943184376</v>
      </c>
      <c r="K3544">
        <v>0.222049781008126</v>
      </c>
      <c r="L3544">
        <v>565.14275993266995</v>
      </c>
      <c r="M3544">
        <v>11.046916300609499</v>
      </c>
      <c r="N3544">
        <v>52.855819952331998</v>
      </c>
      <c r="O3544">
        <v>49.567772094520699</v>
      </c>
      <c r="P3544">
        <v>-4.7411950939627197E-2</v>
      </c>
      <c r="Q3544">
        <v>0.149328270565</v>
      </c>
      <c r="R3544">
        <v>0.98227020359853501</v>
      </c>
      <c r="S3544" t="s">
        <v>7376</v>
      </c>
      <c r="T3544" t="s">
        <v>7662</v>
      </c>
      <c r="U3544" t="s">
        <v>7662</v>
      </c>
      <c r="V3544" t="s">
        <v>7662</v>
      </c>
      <c r="W3544">
        <v>1</v>
      </c>
      <c r="X3544" t="s">
        <v>11206</v>
      </c>
      <c r="Y3544">
        <v>0.4964942907250226</v>
      </c>
      <c r="Z3544" t="str">
        <f>HYPERLINK("Melting_Curves/meltCurve_tr_F8VSL3_F8VSL3_HUMAN_.pdf", "Melting_Curves/meltCurve_tr_F8VSL3_F8VSL3_HUMAN_.pdf")</f>
        <v>Melting_Curves/meltCurve_tr_F8VSL3_F8VSL3_HUMAN_.pdf</v>
      </c>
      <c r="AA3544" t="s">
        <v>14980</v>
      </c>
      <c r="AB3544" t="s">
        <v>18775</v>
      </c>
    </row>
    <row r="3545" spans="1:28" x14ac:dyDescent="0.25">
      <c r="A3545" t="s">
        <v>3549</v>
      </c>
      <c r="B3545">
        <v>0.98876768158843997</v>
      </c>
      <c r="C3545">
        <v>1.12974290698478</v>
      </c>
      <c r="D3545">
        <v>0.88554854596988597</v>
      </c>
      <c r="E3545">
        <v>0.81842455567037897</v>
      </c>
      <c r="F3545">
        <v>0.936575641465623</v>
      </c>
      <c r="G3545">
        <v>0.64436679011963105</v>
      </c>
      <c r="H3545">
        <v>0.50844527368898496</v>
      </c>
      <c r="I3545">
        <v>0.56498916395219601</v>
      </c>
      <c r="J3545">
        <v>0.64350922293757595</v>
      </c>
      <c r="K3545">
        <v>0.76418414467476603</v>
      </c>
      <c r="L3545">
        <v>1105.8061585679</v>
      </c>
      <c r="M3545">
        <v>20.895121590516801</v>
      </c>
      <c r="O3545">
        <v>52.444164382157098</v>
      </c>
      <c r="P3545">
        <v>-3.83864461951334E-2</v>
      </c>
      <c r="Q3545">
        <v>0.61462964668790998</v>
      </c>
      <c r="R3545">
        <v>0.727931039542698</v>
      </c>
      <c r="S3545" t="s">
        <v>7377</v>
      </c>
      <c r="T3545" t="s">
        <v>7662</v>
      </c>
      <c r="U3545" t="s">
        <v>7662</v>
      </c>
      <c r="V3545" t="s">
        <v>7662</v>
      </c>
      <c r="W3545">
        <v>4</v>
      </c>
      <c r="X3545" t="s">
        <v>11207</v>
      </c>
      <c r="Y3545">
        <v>0.7855343033200809</v>
      </c>
      <c r="Z3545" t="str">
        <f>HYPERLINK("Melting_Curves/meltCurve_tr_F8VVL1_F8VVL1_HUMAN_.pdf", "Melting_Curves/meltCurve_tr_F8VVL1_F8VVL1_HUMAN_.pdf")</f>
        <v>Melting_Curves/meltCurve_tr_F8VVL1_F8VVL1_HUMAN_.pdf</v>
      </c>
      <c r="AA3545" t="s">
        <v>14981</v>
      </c>
      <c r="AB3545" t="s">
        <v>18776</v>
      </c>
    </row>
    <row r="3546" spans="1:28" x14ac:dyDescent="0.25">
      <c r="A3546" t="s">
        <v>3550</v>
      </c>
      <c r="B3546">
        <v>0.98876768158843997</v>
      </c>
      <c r="C3546">
        <v>0.91831604469251604</v>
      </c>
      <c r="D3546">
        <v>0.66402721033407996</v>
      </c>
      <c r="E3546">
        <v>0.436405006720813</v>
      </c>
      <c r="F3546">
        <v>0.23762900302070999</v>
      </c>
      <c r="G3546">
        <v>0.12862170729757799</v>
      </c>
      <c r="H3546">
        <v>7.2263176446835997E-2</v>
      </c>
      <c r="I3546">
        <v>7.5551678306259196E-2</v>
      </c>
      <c r="J3546">
        <v>7.9142859188366804E-2</v>
      </c>
      <c r="K3546">
        <v>5.16005671492729E-2</v>
      </c>
      <c r="L3546">
        <v>763.53891163627702</v>
      </c>
      <c r="M3546">
        <v>15.785635818154899</v>
      </c>
      <c r="N3546">
        <v>48.7083434837281</v>
      </c>
      <c r="O3546">
        <v>47.612951733887897</v>
      </c>
      <c r="P3546">
        <v>-7.8578420141936195E-2</v>
      </c>
      <c r="Q3546">
        <v>5.2039407825663998E-2</v>
      </c>
      <c r="R3546">
        <v>0.99599514289128999</v>
      </c>
      <c r="S3546" t="s">
        <v>7378</v>
      </c>
      <c r="T3546" t="s">
        <v>7662</v>
      </c>
      <c r="U3546" t="s">
        <v>7662</v>
      </c>
      <c r="V3546" t="s">
        <v>7662</v>
      </c>
      <c r="W3546">
        <v>2</v>
      </c>
      <c r="X3546" t="s">
        <v>11208</v>
      </c>
      <c r="Y3546">
        <v>0.33820010977749321</v>
      </c>
      <c r="Z3546" t="str">
        <f>HYPERLINK("Melting_Curves/meltCurve_tr_F8VVX6_F8VVX6_HUMAN_.pdf", "Melting_Curves/meltCurve_tr_F8VVX6_F8VVX6_HUMAN_.pdf")</f>
        <v>Melting_Curves/meltCurve_tr_F8VVX6_F8VVX6_HUMAN_.pdf</v>
      </c>
      <c r="AA3546" t="s">
        <v>14982</v>
      </c>
      <c r="AB3546" t="s">
        <v>18777</v>
      </c>
    </row>
    <row r="3547" spans="1:28" x14ac:dyDescent="0.25">
      <c r="A3547" t="s">
        <v>3551</v>
      </c>
      <c r="B3547">
        <v>0.98876768158843997</v>
      </c>
      <c r="C3547">
        <v>0.90917448049262695</v>
      </c>
      <c r="D3547">
        <v>1.0061161701685</v>
      </c>
      <c r="E3547">
        <v>0.58450945612056204</v>
      </c>
      <c r="F3547">
        <v>0.17148082205051199</v>
      </c>
      <c r="G3547">
        <v>0.131282738836423</v>
      </c>
      <c r="H3547">
        <v>0.106369334497618</v>
      </c>
      <c r="I3547">
        <v>5.6206924092725499E-2</v>
      </c>
      <c r="J3547">
        <v>9.9320422560023602E-2</v>
      </c>
      <c r="K3547">
        <v>4.5732072010598999E-2</v>
      </c>
      <c r="L3547">
        <v>2174.3358428813399</v>
      </c>
      <c r="M3547">
        <v>43.295323161231202</v>
      </c>
      <c r="N3547">
        <v>50.441958558266002</v>
      </c>
      <c r="O3547">
        <v>50.114265005856701</v>
      </c>
      <c r="P3547">
        <v>-0.197329969663812</v>
      </c>
      <c r="Q3547">
        <v>8.6365294544681503E-2</v>
      </c>
      <c r="R3547">
        <v>0.99129990475216301</v>
      </c>
      <c r="S3547" t="s">
        <v>7379</v>
      </c>
      <c r="T3547" t="s">
        <v>7662</v>
      </c>
      <c r="U3547" t="s">
        <v>7662</v>
      </c>
      <c r="V3547" t="s">
        <v>7662</v>
      </c>
      <c r="W3547">
        <v>15</v>
      </c>
      <c r="X3547" t="s">
        <v>11209</v>
      </c>
      <c r="Y3547">
        <v>0.40034605983670019</v>
      </c>
      <c r="Z3547" t="str">
        <f>HYPERLINK("Melting_Curves/meltCurve_tr_F8VWA6_F8VWA6_HUMAN_.pdf", "Melting_Curves/meltCurve_tr_F8VWA6_F8VWA6_HUMAN_.pdf")</f>
        <v>Melting_Curves/meltCurve_tr_F8VWA6_F8VWA6_HUMAN_.pdf</v>
      </c>
      <c r="AA3547" t="s">
        <v>14983</v>
      </c>
      <c r="AB3547" t="s">
        <v>18778</v>
      </c>
    </row>
    <row r="3548" spans="1:28" x14ac:dyDescent="0.25">
      <c r="A3548" t="s">
        <v>3552</v>
      </c>
      <c r="B3548">
        <v>0.98876768158843997</v>
      </c>
      <c r="C3548">
        <v>1.03932588399295</v>
      </c>
      <c r="D3548">
        <v>0.85512122973707805</v>
      </c>
      <c r="E3548">
        <v>0.55488237628248704</v>
      </c>
      <c r="F3548">
        <v>0.27603855632817798</v>
      </c>
      <c r="G3548">
        <v>0.13357607801742</v>
      </c>
      <c r="H3548">
        <v>8.3236645206371099E-2</v>
      </c>
      <c r="I3548">
        <v>7.1984901464269904E-2</v>
      </c>
      <c r="J3548">
        <v>8.4573345861073596E-2</v>
      </c>
      <c r="K3548">
        <v>9.9756571678182193E-2</v>
      </c>
      <c r="L3548">
        <v>1129.2821361634501</v>
      </c>
      <c r="M3548">
        <v>22.573427499764801</v>
      </c>
      <c r="N3548">
        <v>50.407615991081997</v>
      </c>
      <c r="O3548">
        <v>49.6394101226049</v>
      </c>
      <c r="P3548">
        <v>-0.10478233325906799</v>
      </c>
      <c r="Q3548">
        <v>7.8344950662177795E-2</v>
      </c>
      <c r="R3548">
        <v>0.99613048046362596</v>
      </c>
      <c r="S3548" t="s">
        <v>7380</v>
      </c>
      <c r="T3548" t="s">
        <v>7662</v>
      </c>
      <c r="U3548" t="s">
        <v>7662</v>
      </c>
      <c r="V3548" t="s">
        <v>7662</v>
      </c>
      <c r="W3548">
        <v>5</v>
      </c>
      <c r="X3548" t="s">
        <v>11210</v>
      </c>
      <c r="Y3548">
        <v>0.39650142425712981</v>
      </c>
      <c r="Z3548" t="str">
        <f>HYPERLINK("Melting_Curves/meltCurve_tr_F8VXY3_F8VXY3_HUMAN_.pdf", "Melting_Curves/meltCurve_tr_F8VXY3_F8VXY3_HUMAN_.pdf")</f>
        <v>Melting_Curves/meltCurve_tr_F8VXY3_F8VXY3_HUMAN_.pdf</v>
      </c>
      <c r="AA3548" t="s">
        <v>14984</v>
      </c>
      <c r="AB3548" t="s">
        <v>18779</v>
      </c>
    </row>
    <row r="3549" spans="1:28" x14ac:dyDescent="0.25">
      <c r="A3549" t="s">
        <v>3553</v>
      </c>
      <c r="B3549">
        <v>0.98876768158843997</v>
      </c>
      <c r="C3549">
        <v>1.23001710283056</v>
      </c>
      <c r="D3549">
        <v>1.2405411854900401</v>
      </c>
      <c r="E3549">
        <v>0.75418911352741602</v>
      </c>
      <c r="F3549">
        <v>0.34860555550057898</v>
      </c>
      <c r="G3549">
        <v>0.27435762854289097</v>
      </c>
      <c r="H3549">
        <v>0.17007196039320399</v>
      </c>
      <c r="I3549">
        <v>7.5794090290332503E-2</v>
      </c>
      <c r="J3549">
        <v>0</v>
      </c>
      <c r="K3549">
        <v>0</v>
      </c>
      <c r="L3549">
        <v>1611.64378283617</v>
      </c>
      <c r="M3549">
        <v>31.103195354752199</v>
      </c>
      <c r="N3549">
        <v>52.125621628225304</v>
      </c>
      <c r="O3549">
        <v>51.603237887560503</v>
      </c>
      <c r="P3549">
        <v>-0.13797650679516801</v>
      </c>
      <c r="Q3549">
        <v>8.4339182403641896E-2</v>
      </c>
      <c r="R3549">
        <v>0.92777287892952598</v>
      </c>
      <c r="S3549" t="s">
        <v>7381</v>
      </c>
      <c r="T3549" t="s">
        <v>7662</v>
      </c>
      <c r="U3549" t="s">
        <v>7662</v>
      </c>
      <c r="V3549" t="s">
        <v>7662</v>
      </c>
      <c r="W3549">
        <v>3</v>
      </c>
      <c r="X3549" t="s">
        <v>11211</v>
      </c>
      <c r="Y3549">
        <v>0.45041714511954389</v>
      </c>
      <c r="Z3549" t="str">
        <f>HYPERLINK("Melting_Curves/meltCurve_tr_F8VYH9_F8VYH9_HUMAN_.pdf", "Melting_Curves/meltCurve_tr_F8VYH9_F8VYH9_HUMAN_.pdf")</f>
        <v>Melting_Curves/meltCurve_tr_F8VYH9_F8VYH9_HUMAN_.pdf</v>
      </c>
      <c r="AA3549" t="s">
        <v>14985</v>
      </c>
      <c r="AB3549" t="s">
        <v>18780</v>
      </c>
    </row>
    <row r="3550" spans="1:28" x14ac:dyDescent="0.25">
      <c r="A3550" t="s">
        <v>3554</v>
      </c>
      <c r="B3550">
        <v>0.98876768158843997</v>
      </c>
      <c r="C3550">
        <v>0.99613622205744001</v>
      </c>
      <c r="D3550">
        <v>0.865900268953396</v>
      </c>
      <c r="E3550">
        <v>0.70069906406136995</v>
      </c>
      <c r="F3550">
        <v>0.70373189105328204</v>
      </c>
      <c r="G3550">
        <v>0.49587028249942799</v>
      </c>
      <c r="H3550">
        <v>0.40514160893620399</v>
      </c>
      <c r="I3550">
        <v>0.443925558821542</v>
      </c>
      <c r="J3550">
        <v>0.49861808148315601</v>
      </c>
      <c r="K3550">
        <v>0.57438943293760503</v>
      </c>
      <c r="L3550">
        <v>824.68839894835003</v>
      </c>
      <c r="M3550">
        <v>16.547681198186499</v>
      </c>
      <c r="N3550">
        <v>60.465865896075798</v>
      </c>
      <c r="O3550">
        <v>49.126331117618101</v>
      </c>
      <c r="P3550">
        <v>-4.4404485139197002E-2</v>
      </c>
      <c r="Q3550">
        <v>0.472728690596951</v>
      </c>
      <c r="R3550">
        <v>0.92814343835065605</v>
      </c>
      <c r="S3550" t="s">
        <v>7382</v>
      </c>
      <c r="T3550" t="s">
        <v>7662</v>
      </c>
      <c r="U3550" t="s">
        <v>7662</v>
      </c>
      <c r="V3550" t="s">
        <v>7662</v>
      </c>
      <c r="W3550">
        <v>4</v>
      </c>
      <c r="X3550" t="s">
        <v>11212</v>
      </c>
      <c r="Y3550">
        <v>0.65618659447328131</v>
      </c>
      <c r="Z3550" t="str">
        <f>HYPERLINK("Melting_Curves/meltCurve_tr_F8VZJ2_F8VZJ2_HUMAN_.pdf", "Melting_Curves/meltCurve_tr_F8VZJ2_F8VZJ2_HUMAN_.pdf")</f>
        <v>Melting_Curves/meltCurve_tr_F8VZJ2_F8VZJ2_HUMAN_.pdf</v>
      </c>
      <c r="AA3550" t="s">
        <v>14986</v>
      </c>
      <c r="AB3550" t="s">
        <v>18781</v>
      </c>
    </row>
    <row r="3551" spans="1:28" x14ac:dyDescent="0.25">
      <c r="A3551" t="s">
        <v>3555</v>
      </c>
      <c r="B3551">
        <v>0.98876768158843997</v>
      </c>
      <c r="C3551">
        <v>1.00504872922847</v>
      </c>
      <c r="D3551">
        <v>0.847430737171325</v>
      </c>
      <c r="E3551">
        <v>0.67887925778452896</v>
      </c>
      <c r="F3551">
        <v>0.62116843733245897</v>
      </c>
      <c r="G3551">
        <v>0.407474091583305</v>
      </c>
      <c r="H3551">
        <v>0.28708984296395401</v>
      </c>
      <c r="I3551">
        <v>0.28218785157915999</v>
      </c>
      <c r="J3551">
        <v>0.32432846017903999</v>
      </c>
      <c r="K3551">
        <v>0.36658444510718802</v>
      </c>
      <c r="L3551">
        <v>764.12511027878304</v>
      </c>
      <c r="M3551">
        <v>14.944132891619899</v>
      </c>
      <c r="N3551">
        <v>54.293344339674597</v>
      </c>
      <c r="O3551">
        <v>50.242721607947402</v>
      </c>
      <c r="P3551">
        <v>-5.2759875442130497E-2</v>
      </c>
      <c r="Q3551">
        <v>0.29055020310299801</v>
      </c>
      <c r="R3551">
        <v>0.97521006524503295</v>
      </c>
      <c r="S3551" t="s">
        <v>7383</v>
      </c>
      <c r="T3551" t="s">
        <v>7662</v>
      </c>
      <c r="U3551" t="s">
        <v>7662</v>
      </c>
      <c r="V3551" t="s">
        <v>7662</v>
      </c>
      <c r="W3551">
        <v>5</v>
      </c>
      <c r="X3551" t="s">
        <v>11213</v>
      </c>
      <c r="Y3551">
        <v>0.570229241066468</v>
      </c>
      <c r="Z3551" t="str">
        <f>HYPERLINK("Melting_Curves/meltCurve_tr_F8W038_F8W038_HUMAN_.pdf", "Melting_Curves/meltCurve_tr_F8W038_F8W038_HUMAN_.pdf")</f>
        <v>Melting_Curves/meltCurve_tr_F8W038_F8W038_HUMAN_.pdf</v>
      </c>
      <c r="AA3551" t="s">
        <v>14987</v>
      </c>
      <c r="AB3551" t="s">
        <v>18782</v>
      </c>
    </row>
    <row r="3552" spans="1:28" x14ac:dyDescent="0.25">
      <c r="A3552" t="s">
        <v>3556</v>
      </c>
      <c r="B3552">
        <v>0.98876768158843997</v>
      </c>
      <c r="C3552">
        <v>0.78790445574656498</v>
      </c>
      <c r="D3552">
        <v>0.89040915254691899</v>
      </c>
      <c r="E3552">
        <v>0.63798511673938996</v>
      </c>
      <c r="F3552">
        <v>0.627609109741191</v>
      </c>
      <c r="G3552">
        <v>0.43261935792355399</v>
      </c>
      <c r="H3552">
        <v>0.27862109137700197</v>
      </c>
      <c r="I3552">
        <v>0.17367487213093599</v>
      </c>
      <c r="J3552">
        <v>6.4912647609326898E-2</v>
      </c>
      <c r="K3552">
        <v>7.0284368126560498E-2</v>
      </c>
      <c r="L3552">
        <v>519.73687700375797</v>
      </c>
      <c r="M3552">
        <v>9.5679313499060203</v>
      </c>
      <c r="N3552">
        <v>54.3207154122275</v>
      </c>
      <c r="O3552">
        <v>52.1067510701264</v>
      </c>
      <c r="P3552">
        <v>-4.59318564984963E-2</v>
      </c>
      <c r="Q3552">
        <v>0</v>
      </c>
      <c r="R3552">
        <v>0.96265496480081003</v>
      </c>
      <c r="S3552" t="s">
        <v>7384</v>
      </c>
      <c r="T3552" t="s">
        <v>7662</v>
      </c>
      <c r="U3552" t="s">
        <v>7662</v>
      </c>
      <c r="V3552" t="s">
        <v>7662</v>
      </c>
      <c r="W3552">
        <v>1</v>
      </c>
      <c r="X3552" t="s">
        <v>11214</v>
      </c>
      <c r="Y3552">
        <v>0.50694644722814042</v>
      </c>
      <c r="Z3552" t="str">
        <f>HYPERLINK("Melting_Curves/meltCurve_tr_F8W1H4_F8W1H4_HUMAN_.pdf", "Melting_Curves/meltCurve_tr_F8W1H4_F8W1H4_HUMAN_.pdf")</f>
        <v>Melting_Curves/meltCurve_tr_F8W1H4_F8W1H4_HUMAN_.pdf</v>
      </c>
      <c r="AB3552" t="s">
        <v>18723</v>
      </c>
    </row>
    <row r="3553" spans="1:28" x14ac:dyDescent="0.25">
      <c r="A3553" t="s">
        <v>3557</v>
      </c>
      <c r="B3553">
        <v>0.98876768158843997</v>
      </c>
      <c r="C3553">
        <v>0.99666485996829501</v>
      </c>
      <c r="D3553">
        <v>1.08205877729481</v>
      </c>
      <c r="E3553">
        <v>1.03006128054029</v>
      </c>
      <c r="F3553">
        <v>0.548884968563218</v>
      </c>
      <c r="G3553">
        <v>0.36783964146811499</v>
      </c>
      <c r="H3553">
        <v>0.21194114826142901</v>
      </c>
      <c r="I3553">
        <v>0.135503862866243</v>
      </c>
      <c r="J3553">
        <v>8.2429744977363606E-2</v>
      </c>
      <c r="K3553">
        <v>0.124365849283412</v>
      </c>
      <c r="L3553">
        <v>1431.4801187246301</v>
      </c>
      <c r="M3553">
        <v>26.573550444428001</v>
      </c>
      <c r="N3553">
        <v>54.496290484099298</v>
      </c>
      <c r="O3553">
        <v>53.566317526940303</v>
      </c>
      <c r="P3553">
        <v>-0.10767304301164</v>
      </c>
      <c r="Q3553">
        <v>0.13183034074321801</v>
      </c>
      <c r="R3553">
        <v>0.970898060268366</v>
      </c>
      <c r="S3553" t="s">
        <v>7385</v>
      </c>
      <c r="T3553" t="s">
        <v>7662</v>
      </c>
      <c r="U3553" t="s">
        <v>7662</v>
      </c>
      <c r="V3553" t="s">
        <v>7662</v>
      </c>
      <c r="W3553">
        <v>1</v>
      </c>
      <c r="X3553" t="s">
        <v>11215</v>
      </c>
      <c r="Y3553">
        <v>0.54034666239597295</v>
      </c>
      <c r="Z3553" t="str">
        <f>HYPERLINK("Melting_Curves/meltCurve_tr_F8W1Q3_F8W1Q3_HUMAN_.pdf", "Melting_Curves/meltCurve_tr_F8W1Q3_F8W1Q3_HUMAN_.pdf")</f>
        <v>Melting_Curves/meltCurve_tr_F8W1Q3_F8W1Q3_HUMAN_.pdf</v>
      </c>
      <c r="AA3553" t="s">
        <v>14988</v>
      </c>
      <c r="AB3553" t="s">
        <v>18783</v>
      </c>
    </row>
    <row r="3554" spans="1:28" x14ac:dyDescent="0.25">
      <c r="A3554" t="s">
        <v>3558</v>
      </c>
      <c r="B3554">
        <v>0.98876768158843997</v>
      </c>
      <c r="C3554">
        <v>0.98893030884506605</v>
      </c>
      <c r="D3554">
        <v>0.97113757273341295</v>
      </c>
      <c r="E3554">
        <v>0.77945414653723599</v>
      </c>
      <c r="F3554">
        <v>1.35982148421145</v>
      </c>
      <c r="G3554">
        <v>0.97007762392721097</v>
      </c>
      <c r="H3554">
        <v>0.72499833365666799</v>
      </c>
      <c r="I3554">
        <v>0.88807533775891001</v>
      </c>
      <c r="J3554">
        <v>1.1538202348331399</v>
      </c>
      <c r="K3554">
        <v>1.25367017789873</v>
      </c>
      <c r="L3554">
        <v>15000</v>
      </c>
      <c r="M3554">
        <v>224.31219706438699</v>
      </c>
      <c r="O3554">
        <v>66.865769632114194</v>
      </c>
      <c r="P3554">
        <v>0.212760130222273</v>
      </c>
      <c r="Q3554">
        <v>1.25368874291233</v>
      </c>
      <c r="R3554">
        <v>0.24572258108622899</v>
      </c>
      <c r="S3554" t="s">
        <v>7386</v>
      </c>
      <c r="T3554" t="s">
        <v>7662</v>
      </c>
      <c r="U3554" t="s">
        <v>7662</v>
      </c>
      <c r="V3554" t="s">
        <v>7662</v>
      </c>
      <c r="W3554">
        <v>9</v>
      </c>
      <c r="X3554" t="s">
        <v>11216</v>
      </c>
      <c r="Y3554">
        <v>1.0264221565555109</v>
      </c>
      <c r="Z3554" t="str">
        <f>HYPERLINK("Melting_Curves/meltCurve_tr_F8W1R7_F8W1R7_HUMAN_.pdf", "Melting_Curves/meltCurve_tr_F8W1R7_F8W1R7_HUMAN_.pdf")</f>
        <v>Melting_Curves/meltCurve_tr_F8W1R7_F8W1R7_HUMAN_.pdf</v>
      </c>
      <c r="AA3554" t="s">
        <v>14989</v>
      </c>
      <c r="AB3554" t="s">
        <v>18784</v>
      </c>
    </row>
    <row r="3555" spans="1:28" x14ac:dyDescent="0.25">
      <c r="A3555" t="s">
        <v>3559</v>
      </c>
      <c r="B3555">
        <v>0.98876768158843997</v>
      </c>
      <c r="C3555">
        <v>0.96951986893558295</v>
      </c>
      <c r="D3555">
        <v>0.70355739794820005</v>
      </c>
      <c r="E3555">
        <v>0.28571175410046001</v>
      </c>
      <c r="F3555">
        <v>0.223779589580443</v>
      </c>
      <c r="G3555">
        <v>5.2332042821333601E-2</v>
      </c>
      <c r="H3555">
        <v>7.1506068282766705E-2</v>
      </c>
      <c r="I3555">
        <v>7.3231038401335505E-2</v>
      </c>
      <c r="J3555">
        <v>0.14463539387659599</v>
      </c>
      <c r="K3555">
        <v>0</v>
      </c>
      <c r="L3555">
        <v>1079.30219711567</v>
      </c>
      <c r="M3555">
        <v>22.6399394184462</v>
      </c>
      <c r="N3555">
        <v>47.992570172831201</v>
      </c>
      <c r="O3555">
        <v>47.305221159248198</v>
      </c>
      <c r="P3555">
        <v>-0.111266285897813</v>
      </c>
      <c r="Q3555">
        <v>7.0073181402610596E-2</v>
      </c>
      <c r="R3555">
        <v>0.98602902892607502</v>
      </c>
      <c r="S3555" t="s">
        <v>7387</v>
      </c>
      <c r="T3555" t="s">
        <v>7662</v>
      </c>
      <c r="U3555" t="s">
        <v>7662</v>
      </c>
      <c r="V3555" t="s">
        <v>7662</v>
      </c>
      <c r="W3555">
        <v>2</v>
      </c>
      <c r="X3555" t="s">
        <v>11217</v>
      </c>
      <c r="Y3555">
        <v>0.31809361788133589</v>
      </c>
      <c r="Z3555" t="str">
        <f>HYPERLINK("Melting_Curves/meltCurve_tr_F8W6G5_F8W6G5_HUMAN_.pdf", "Melting_Curves/meltCurve_tr_F8W6G5_F8W6G5_HUMAN_.pdf")</f>
        <v>Melting_Curves/meltCurve_tr_F8W6G5_F8W6G5_HUMAN_.pdf</v>
      </c>
      <c r="AA3555" t="s">
        <v>14990</v>
      </c>
      <c r="AB3555" t="s">
        <v>18785</v>
      </c>
    </row>
    <row r="3556" spans="1:28" x14ac:dyDescent="0.25">
      <c r="A3556" t="s">
        <v>3560</v>
      </c>
      <c r="B3556">
        <v>0.98876768158843997</v>
      </c>
      <c r="C3556">
        <v>1.0067985116756299</v>
      </c>
      <c r="D3556">
        <v>0.91081168279417202</v>
      </c>
      <c r="E3556">
        <v>0.59435961578503305</v>
      </c>
      <c r="F3556">
        <v>0.42273726624867403</v>
      </c>
      <c r="G3556">
        <v>0.270057968744848</v>
      </c>
      <c r="H3556">
        <v>0.225079242938347</v>
      </c>
      <c r="I3556">
        <v>0.208011541816021</v>
      </c>
      <c r="J3556">
        <v>0.31789036699100298</v>
      </c>
      <c r="K3556">
        <v>0.21062066395920501</v>
      </c>
      <c r="L3556">
        <v>1145.75072562893</v>
      </c>
      <c r="M3556">
        <v>22.945406115472501</v>
      </c>
      <c r="N3556">
        <v>51.3690567317689</v>
      </c>
      <c r="O3556">
        <v>49.559161470964199</v>
      </c>
      <c r="P3556">
        <v>-8.8358083697737497E-2</v>
      </c>
      <c r="Q3556">
        <v>0.23664583960058899</v>
      </c>
      <c r="R3556">
        <v>0.98966554699762299</v>
      </c>
      <c r="S3556" t="s">
        <v>7388</v>
      </c>
      <c r="T3556" t="s">
        <v>7662</v>
      </c>
      <c r="U3556" t="s">
        <v>7662</v>
      </c>
      <c r="V3556" t="s">
        <v>7662</v>
      </c>
      <c r="W3556">
        <v>1</v>
      </c>
      <c r="X3556" t="s">
        <v>11218</v>
      </c>
      <c r="Y3556">
        <v>0.49751075021622782</v>
      </c>
      <c r="Z3556" t="str">
        <f>HYPERLINK("Melting_Curves/meltCurve_tr_F8W6K3_F8W6K3_HUMAN_.pdf", "Melting_Curves/meltCurve_tr_F8W6K3_F8W6K3_HUMAN_.pdf")</f>
        <v>Melting_Curves/meltCurve_tr_F8W6K3_F8W6K3_HUMAN_.pdf</v>
      </c>
      <c r="AA3556" t="s">
        <v>14991</v>
      </c>
      <c r="AB3556" t="s">
        <v>18786</v>
      </c>
    </row>
    <row r="3557" spans="1:28" x14ac:dyDescent="0.25">
      <c r="A3557" t="s">
        <v>3561</v>
      </c>
      <c r="B3557">
        <v>0.98876768158843997</v>
      </c>
      <c r="C3557">
        <v>0.94163693361683498</v>
      </c>
      <c r="D3557">
        <v>0.91262581611386395</v>
      </c>
      <c r="E3557">
        <v>0.71261806051538501</v>
      </c>
      <c r="F3557">
        <v>0.22881230644235701</v>
      </c>
      <c r="G3557">
        <v>0.109877334782865</v>
      </c>
      <c r="H3557">
        <v>6.3228529624195201E-2</v>
      </c>
      <c r="I3557">
        <v>5.7619200739657699E-2</v>
      </c>
      <c r="J3557">
        <v>5.00506460419788E-2</v>
      </c>
      <c r="K3557">
        <v>5.40466342259774E-2</v>
      </c>
      <c r="L3557">
        <v>1847.17872285558</v>
      </c>
      <c r="M3557">
        <v>36.218620009504697</v>
      </c>
      <c r="N3557">
        <v>51.180189894325103</v>
      </c>
      <c r="O3557">
        <v>50.846073955234502</v>
      </c>
      <c r="P3557">
        <v>-0.16746500155360999</v>
      </c>
      <c r="Q3557">
        <v>5.9609488194172999E-2</v>
      </c>
      <c r="R3557">
        <v>0.99361712391735302</v>
      </c>
      <c r="S3557" t="s">
        <v>7389</v>
      </c>
      <c r="T3557" t="s">
        <v>7662</v>
      </c>
      <c r="U3557" t="s">
        <v>7662</v>
      </c>
      <c r="V3557" t="s">
        <v>7662</v>
      </c>
      <c r="W3557">
        <v>14</v>
      </c>
      <c r="X3557" t="s">
        <v>11219</v>
      </c>
      <c r="Y3557">
        <v>0.40849357934358232</v>
      </c>
      <c r="Z3557" t="str">
        <f>HYPERLINK("Melting_Curves/meltCurve_tr_F8W720_F8W720_HUMAN_.pdf", "Melting_Curves/meltCurve_tr_F8W720_F8W720_HUMAN_.pdf")</f>
        <v>Melting_Curves/meltCurve_tr_F8W720_F8W720_HUMAN_.pdf</v>
      </c>
      <c r="AA3557" t="s">
        <v>14992</v>
      </c>
      <c r="AB3557" t="s">
        <v>18787</v>
      </c>
    </row>
    <row r="3558" spans="1:28" x14ac:dyDescent="0.25">
      <c r="A3558" t="s">
        <v>3562</v>
      </c>
      <c r="B3558">
        <v>0.98876768158843997</v>
      </c>
      <c r="C3558">
        <v>0.87722025805436499</v>
      </c>
      <c r="D3558">
        <v>0.862994725836842</v>
      </c>
      <c r="E3558">
        <v>0.72217437974613097</v>
      </c>
      <c r="F3558">
        <v>0.62510119721388602</v>
      </c>
      <c r="G3558">
        <v>0.36325999980087098</v>
      </c>
      <c r="H3558">
        <v>0.22959089554267301</v>
      </c>
      <c r="I3558">
        <v>0.231190188884348</v>
      </c>
      <c r="J3558">
        <v>0.27978964607839701</v>
      </c>
      <c r="K3558">
        <v>0.32275982658678698</v>
      </c>
      <c r="L3558">
        <v>717.50723919771497</v>
      </c>
      <c r="M3558">
        <v>13.8349986003082</v>
      </c>
      <c r="N3558">
        <v>54.1715422095495</v>
      </c>
      <c r="O3558">
        <v>50.814246375974797</v>
      </c>
      <c r="P3558">
        <v>-5.2907992024331003E-2</v>
      </c>
      <c r="Q3558">
        <v>0.22280955472574401</v>
      </c>
      <c r="R3558">
        <v>0.96393306260961797</v>
      </c>
      <c r="S3558" t="s">
        <v>7390</v>
      </c>
      <c r="T3558" t="s">
        <v>7662</v>
      </c>
      <c r="U3558" t="s">
        <v>7662</v>
      </c>
      <c r="V3558" t="s">
        <v>7662</v>
      </c>
      <c r="W3558">
        <v>2</v>
      </c>
      <c r="X3558" t="s">
        <v>11220</v>
      </c>
      <c r="Y3558">
        <v>0.5498196257925303</v>
      </c>
      <c r="Z3558" t="str">
        <f>HYPERLINK("Melting_Curves/meltCurve_tr_F8W785_F8W785_HUMAN_.pdf", "Melting_Curves/meltCurve_tr_F8W785_F8W785_HUMAN_.pdf")</f>
        <v>Melting_Curves/meltCurve_tr_F8W785_F8W785_HUMAN_.pdf</v>
      </c>
      <c r="AA3558" t="s">
        <v>14993</v>
      </c>
      <c r="AB3558" t="s">
        <v>18788</v>
      </c>
    </row>
    <row r="3559" spans="1:28" x14ac:dyDescent="0.25">
      <c r="A3559" t="s">
        <v>3563</v>
      </c>
      <c r="B3559">
        <v>0.98876768158843997</v>
      </c>
      <c r="C3559">
        <v>0.95958034268572501</v>
      </c>
      <c r="D3559">
        <v>0.89793418143798698</v>
      </c>
      <c r="E3559">
        <v>0.60047829193231805</v>
      </c>
      <c r="F3559">
        <v>0.37441822531255903</v>
      </c>
      <c r="G3559">
        <v>0.161503296256261</v>
      </c>
      <c r="H3559">
        <v>0.121304867920598</v>
      </c>
      <c r="I3559">
        <v>0.11400141778676599</v>
      </c>
      <c r="J3559">
        <v>0.173263036285313</v>
      </c>
      <c r="K3559">
        <v>0.17437685832154801</v>
      </c>
      <c r="L3559">
        <v>1109.5050232639301</v>
      </c>
      <c r="M3559">
        <v>22.029373198625901</v>
      </c>
      <c r="N3559">
        <v>51.088223864533198</v>
      </c>
      <c r="O3559">
        <v>49.955287618744201</v>
      </c>
      <c r="P3559">
        <v>-9.5476439251954703E-2</v>
      </c>
      <c r="Q3559">
        <v>0.13398406529708901</v>
      </c>
      <c r="R3559">
        <v>0.99447608634037099</v>
      </c>
      <c r="S3559" t="s">
        <v>7391</v>
      </c>
      <c r="T3559" t="s">
        <v>7662</v>
      </c>
      <c r="U3559" t="s">
        <v>7662</v>
      </c>
      <c r="V3559" t="s">
        <v>7662</v>
      </c>
      <c r="W3559">
        <v>2</v>
      </c>
      <c r="X3559" t="s">
        <v>11221</v>
      </c>
      <c r="Y3559">
        <v>0.44316728504300468</v>
      </c>
      <c r="Z3559" t="str">
        <f>HYPERLINK("Melting_Curves/meltCurve_tr_F8W7C6_F8W7C6_HUMAN_.pdf", "Melting_Curves/meltCurve_tr_F8W7C6_F8W7C6_HUMAN_.pdf")</f>
        <v>Melting_Curves/meltCurve_tr_F8W7C6_F8W7C6_HUMAN_.pdf</v>
      </c>
      <c r="AA3559" t="s">
        <v>14994</v>
      </c>
      <c r="AB3559" t="s">
        <v>18789</v>
      </c>
    </row>
    <row r="3560" spans="1:28" x14ac:dyDescent="0.25">
      <c r="A3560" t="s">
        <v>3564</v>
      </c>
      <c r="B3560">
        <v>0.98876768158843997</v>
      </c>
      <c r="C3560">
        <v>1.05873688404164</v>
      </c>
      <c r="D3560">
        <v>1.09073253174535</v>
      </c>
      <c r="E3560">
        <v>0.92624254912459303</v>
      </c>
      <c r="F3560">
        <v>0.75553624855188395</v>
      </c>
      <c r="G3560">
        <v>0.53083616893459296</v>
      </c>
      <c r="H3560">
        <v>0.46616791005104902</v>
      </c>
      <c r="I3560">
        <v>0.39233019814352299</v>
      </c>
      <c r="J3560">
        <v>0.57442767814500495</v>
      </c>
      <c r="K3560">
        <v>0.335278917290461</v>
      </c>
      <c r="L3560">
        <v>1518.0029319775499</v>
      </c>
      <c r="M3560">
        <v>28.336976825555698</v>
      </c>
      <c r="N3560">
        <v>57.782897071160001</v>
      </c>
      <c r="O3560">
        <v>53.305044965245301</v>
      </c>
      <c r="P3560">
        <v>-7.4867843505606504E-2</v>
      </c>
      <c r="Q3560">
        <v>0.43666541191425601</v>
      </c>
      <c r="R3560">
        <v>0.94019953019316604</v>
      </c>
      <c r="S3560" t="s">
        <v>7392</v>
      </c>
      <c r="T3560" t="s">
        <v>7662</v>
      </c>
      <c r="U3560" t="s">
        <v>7662</v>
      </c>
      <c r="V3560" t="s">
        <v>7662</v>
      </c>
      <c r="W3560">
        <v>69</v>
      </c>
      <c r="X3560" t="s">
        <v>11222</v>
      </c>
      <c r="Y3560">
        <v>0.69558422825792288</v>
      </c>
      <c r="Z3560" t="str">
        <f>HYPERLINK("Melting_Curves/meltCurve_tr_F8W7S5_F8W7S5_HUMAN_.pdf", "Melting_Curves/meltCurve_tr_F8W7S5_F8W7S5_HUMAN_.pdf")</f>
        <v>Melting_Curves/meltCurve_tr_F8W7S5_F8W7S5_HUMAN_.pdf</v>
      </c>
      <c r="AA3560" t="s">
        <v>14375</v>
      </c>
      <c r="AB3560" t="s">
        <v>18158</v>
      </c>
    </row>
    <row r="3561" spans="1:28" x14ac:dyDescent="0.25">
      <c r="A3561" t="s">
        <v>3565</v>
      </c>
      <c r="B3561">
        <v>0.98876768158843997</v>
      </c>
      <c r="C3561">
        <v>0.99719360424464798</v>
      </c>
      <c r="D3561">
        <v>0.96514864051225302</v>
      </c>
      <c r="E3561">
        <v>0.83744570910077498</v>
      </c>
      <c r="F3561">
        <v>0.72758173880835098</v>
      </c>
      <c r="G3561">
        <v>0.491764510514686</v>
      </c>
      <c r="H3561">
        <v>0.38625534278309498</v>
      </c>
      <c r="I3561">
        <v>0.38065890217751902</v>
      </c>
      <c r="J3561">
        <v>0.44718528346359898</v>
      </c>
      <c r="K3561">
        <v>0.521987677019081</v>
      </c>
      <c r="L3561">
        <v>1258.36497105181</v>
      </c>
      <c r="M3561">
        <v>23.936675978634899</v>
      </c>
      <c r="N3561">
        <v>57.179857846150199</v>
      </c>
      <c r="O3561">
        <v>52.207788109944701</v>
      </c>
      <c r="P3561">
        <v>-6.5634593957285298E-2</v>
      </c>
      <c r="Q3561">
        <v>0.42739214249304303</v>
      </c>
      <c r="R3561">
        <v>0.96791741794771002</v>
      </c>
      <c r="S3561" t="s">
        <v>7393</v>
      </c>
      <c r="T3561" t="s">
        <v>7662</v>
      </c>
      <c r="U3561" t="s">
        <v>7662</v>
      </c>
      <c r="V3561" t="s">
        <v>7662</v>
      </c>
      <c r="W3561">
        <v>11</v>
      </c>
      <c r="X3561" t="s">
        <v>11223</v>
      </c>
      <c r="Y3561">
        <v>0.67302961429361086</v>
      </c>
      <c r="Z3561" t="str">
        <f>HYPERLINK("Melting_Curves/meltCurve_tr_F8W7U3_F8W7U3_HUMAN_.pdf", "Melting_Curves/meltCurve_tr_F8W7U3_F8W7U3_HUMAN_.pdf")</f>
        <v>Melting_Curves/meltCurve_tr_F8W7U3_F8W7U3_HUMAN_.pdf</v>
      </c>
      <c r="AA3561" t="s">
        <v>14995</v>
      </c>
      <c r="AB3561" t="s">
        <v>18790</v>
      </c>
    </row>
    <row r="3562" spans="1:28" x14ac:dyDescent="0.25">
      <c r="A3562" t="s">
        <v>3566</v>
      </c>
      <c r="B3562">
        <v>0.98876768158843997</v>
      </c>
      <c r="C3562">
        <v>1.1708138838958</v>
      </c>
      <c r="D3562">
        <v>0.97476619585766899</v>
      </c>
      <c r="E3562">
        <v>0.79703517286929004</v>
      </c>
      <c r="F3562">
        <v>0.77089757690022598</v>
      </c>
      <c r="G3562">
        <v>0.49316171800951802</v>
      </c>
      <c r="H3562">
        <v>0.29308797425988797</v>
      </c>
      <c r="I3562">
        <v>0.28447298025039403</v>
      </c>
      <c r="J3562">
        <v>0.24676973089304299</v>
      </c>
      <c r="K3562">
        <v>0.32451251137906001</v>
      </c>
      <c r="L3562">
        <v>1024.3044594267999</v>
      </c>
      <c r="M3562">
        <v>18.8180288331112</v>
      </c>
      <c r="N3562">
        <v>56.549221916437702</v>
      </c>
      <c r="O3562">
        <v>53.828562824495997</v>
      </c>
      <c r="P3562">
        <v>-6.5303956780142294E-2</v>
      </c>
      <c r="Q3562">
        <v>0.25282872296898601</v>
      </c>
      <c r="R3562">
        <v>0.95583660874534804</v>
      </c>
      <c r="S3562" t="s">
        <v>7394</v>
      </c>
      <c r="T3562" t="s">
        <v>7662</v>
      </c>
      <c r="U3562" t="s">
        <v>7662</v>
      </c>
      <c r="V3562" t="s">
        <v>7662</v>
      </c>
      <c r="W3562">
        <v>2</v>
      </c>
      <c r="X3562" t="s">
        <v>11224</v>
      </c>
      <c r="Y3562">
        <v>0.62332961316838187</v>
      </c>
      <c r="Z3562" t="str">
        <f>HYPERLINK("Melting_Curves/meltCurve_tr_F8W826_F8W826_HUMAN_.pdf", "Melting_Curves/meltCurve_tr_F8W826_F8W826_HUMAN_.pdf")</f>
        <v>Melting_Curves/meltCurve_tr_F8W826_F8W826_HUMAN_.pdf</v>
      </c>
      <c r="AA3562" t="s">
        <v>14996</v>
      </c>
      <c r="AB3562" t="s">
        <v>18791</v>
      </c>
    </row>
    <row r="3563" spans="1:28" x14ac:dyDescent="0.25">
      <c r="A3563" t="s">
        <v>3567</v>
      </c>
      <c r="B3563">
        <v>0.98876768158843997</v>
      </c>
      <c r="C3563">
        <v>1.05325897678589</v>
      </c>
      <c r="D3563">
        <v>0.88394277984399605</v>
      </c>
      <c r="E3563">
        <v>0.68565125122325199</v>
      </c>
      <c r="F3563">
        <v>0.64453653703875302</v>
      </c>
      <c r="G3563">
        <v>0.48253287772681502</v>
      </c>
      <c r="H3563">
        <v>0.42468697701264302</v>
      </c>
      <c r="I3563">
        <v>0.41726416562657997</v>
      </c>
      <c r="J3563">
        <v>1.04788383723148</v>
      </c>
      <c r="K3563">
        <v>0.71614316544497802</v>
      </c>
      <c r="L3563">
        <v>1708.28855860163</v>
      </c>
      <c r="M3563">
        <v>36.117444464083697</v>
      </c>
      <c r="O3563">
        <v>47.153849402024299</v>
      </c>
      <c r="P3563">
        <v>-7.2258315774213405E-2</v>
      </c>
      <c r="Q3563">
        <v>0.62264795442852305</v>
      </c>
      <c r="R3563">
        <v>0.47005630052307001</v>
      </c>
      <c r="S3563" t="s">
        <v>7395</v>
      </c>
      <c r="T3563" t="s">
        <v>7662</v>
      </c>
      <c r="U3563" t="s">
        <v>7662</v>
      </c>
      <c r="V3563" t="s">
        <v>7662</v>
      </c>
      <c r="W3563">
        <v>1</v>
      </c>
      <c r="X3563" t="s">
        <v>11225</v>
      </c>
      <c r="Y3563">
        <v>0.71597896715455933</v>
      </c>
      <c r="Z3563" t="str">
        <f>HYPERLINK("Melting_Curves/meltCurve_tr_F8W8C2_F8W8C2_HUMAN_.pdf", "Melting_Curves/meltCurve_tr_F8W8C2_F8W8C2_HUMAN_.pdf")</f>
        <v>Melting_Curves/meltCurve_tr_F8W8C2_F8W8C2_HUMAN_.pdf</v>
      </c>
      <c r="AA3563" t="s">
        <v>14997</v>
      </c>
      <c r="AB3563" t="s">
        <v>18792</v>
      </c>
    </row>
    <row r="3564" spans="1:28" x14ac:dyDescent="0.25">
      <c r="A3564" t="s">
        <v>3568</v>
      </c>
      <c r="B3564">
        <v>0.98876768158843997</v>
      </c>
      <c r="C3564">
        <v>0.958837390095438</v>
      </c>
      <c r="D3564">
        <v>0.80395370871916605</v>
      </c>
      <c r="E3564">
        <v>0.41088211525235302</v>
      </c>
      <c r="F3564">
        <v>0.71772175488151801</v>
      </c>
      <c r="G3564">
        <v>0.58165126313221405</v>
      </c>
      <c r="H3564">
        <v>0.28029189166403201</v>
      </c>
      <c r="I3564">
        <v>0.161966068521815</v>
      </c>
      <c r="J3564">
        <v>0.14825963384257099</v>
      </c>
      <c r="K3564">
        <v>0.18745205677332499</v>
      </c>
      <c r="L3564">
        <v>422.24886834567502</v>
      </c>
      <c r="M3564">
        <v>7.7143984964248702</v>
      </c>
      <c r="N3564">
        <v>54.735164152953701</v>
      </c>
      <c r="O3564">
        <v>51.421586048218302</v>
      </c>
      <c r="P3564">
        <v>-3.7554213326436901E-2</v>
      </c>
      <c r="Q3564">
        <v>0</v>
      </c>
      <c r="R3564">
        <v>0.86131336467617603</v>
      </c>
      <c r="S3564" t="s">
        <v>7396</v>
      </c>
      <c r="T3564" t="s">
        <v>7662</v>
      </c>
      <c r="U3564" t="s">
        <v>7662</v>
      </c>
      <c r="V3564" t="s">
        <v>7662</v>
      </c>
      <c r="W3564">
        <v>3</v>
      </c>
      <c r="X3564" t="s">
        <v>11226</v>
      </c>
      <c r="Y3564">
        <v>0.52036022187509434</v>
      </c>
      <c r="Z3564" t="str">
        <f>HYPERLINK("Melting_Curves/meltCurve_tr_F8W8I6_F8W8I6_HUMAN_.pdf", "Melting_Curves/meltCurve_tr_F8W8I6_F8W8I6_HUMAN_.pdf")</f>
        <v>Melting_Curves/meltCurve_tr_F8W8I6_F8W8I6_HUMAN_.pdf</v>
      </c>
      <c r="AA3564" t="s">
        <v>14998</v>
      </c>
      <c r="AB3564" t="s">
        <v>18793</v>
      </c>
    </row>
    <row r="3565" spans="1:28" x14ac:dyDescent="0.25">
      <c r="A3565" t="s">
        <v>3569</v>
      </c>
      <c r="B3565">
        <v>0.98876768158843997</v>
      </c>
      <c r="C3565">
        <v>1.0217031335270299</v>
      </c>
      <c r="D3565">
        <v>0.89542519601236603</v>
      </c>
      <c r="E3565">
        <v>0.68182252733696103</v>
      </c>
      <c r="F3565">
        <v>0.75642022715215895</v>
      </c>
      <c r="G3565">
        <v>0.552883385266279</v>
      </c>
      <c r="H3565">
        <v>0.441398762854458</v>
      </c>
      <c r="I3565">
        <v>0.52265742338121601</v>
      </c>
      <c r="J3565">
        <v>0.60809153995158405</v>
      </c>
      <c r="K3565">
        <v>0.71874607667239199</v>
      </c>
      <c r="L3565">
        <v>1012.01508513863</v>
      </c>
      <c r="M3565">
        <v>20.7734962714921</v>
      </c>
      <c r="O3565">
        <v>48.271952744868202</v>
      </c>
      <c r="P3565">
        <v>-4.5600424523308702E-2</v>
      </c>
      <c r="Q3565">
        <v>0.57616008636023297</v>
      </c>
      <c r="R3565">
        <v>0.81993635607965198</v>
      </c>
      <c r="S3565" t="s">
        <v>7397</v>
      </c>
      <c r="T3565" t="s">
        <v>7662</v>
      </c>
      <c r="U3565" t="s">
        <v>7662</v>
      </c>
      <c r="V3565" t="s">
        <v>7662</v>
      </c>
      <c r="W3565">
        <v>9</v>
      </c>
      <c r="X3565" t="s">
        <v>11227</v>
      </c>
      <c r="Y3565">
        <v>0.70481561240110402</v>
      </c>
      <c r="Z3565" t="str">
        <f>HYPERLINK("Melting_Curves/meltCurve_tr_F8W8M4_F8W8M4_HUMAN_.pdf", "Melting_Curves/meltCurve_tr_F8W8M4_F8W8M4_HUMAN_.pdf")</f>
        <v>Melting_Curves/meltCurve_tr_F8W8M4_F8W8M4_HUMAN_.pdf</v>
      </c>
      <c r="AA3565" t="s">
        <v>14999</v>
      </c>
      <c r="AB3565" t="s">
        <v>18794</v>
      </c>
    </row>
    <row r="3566" spans="1:28" x14ac:dyDescent="0.25">
      <c r="A3566" t="s">
        <v>3570</v>
      </c>
      <c r="B3566">
        <v>0.98876768158843997</v>
      </c>
      <c r="C3566">
        <v>0.83680452628398305</v>
      </c>
      <c r="D3566">
        <v>0.85385893679777403</v>
      </c>
      <c r="E3566">
        <v>0.61373647113623198</v>
      </c>
      <c r="F3566">
        <v>0.53070972801898797</v>
      </c>
      <c r="G3566">
        <v>0.38682936456120098</v>
      </c>
      <c r="H3566">
        <v>0.31507620789756702</v>
      </c>
      <c r="I3566">
        <v>0.31715503958297803</v>
      </c>
      <c r="J3566">
        <v>0.43681407248700999</v>
      </c>
      <c r="K3566">
        <v>0.43281081303166302</v>
      </c>
      <c r="L3566">
        <v>729.56758871173201</v>
      </c>
      <c r="M3566">
        <v>15.0121119402929</v>
      </c>
      <c r="N3566">
        <v>53.079614772749999</v>
      </c>
      <c r="O3566">
        <v>47.760694880470801</v>
      </c>
      <c r="P3566">
        <v>-5.0358317548879102E-2</v>
      </c>
      <c r="Q3566">
        <v>0.35920915011532301</v>
      </c>
      <c r="R3566">
        <v>0.94394098113805203</v>
      </c>
      <c r="S3566" t="s">
        <v>7398</v>
      </c>
      <c r="T3566" t="s">
        <v>7662</v>
      </c>
      <c r="U3566" t="s">
        <v>7662</v>
      </c>
      <c r="V3566" t="s">
        <v>7662</v>
      </c>
      <c r="W3566">
        <v>2</v>
      </c>
      <c r="X3566" t="s">
        <v>11228</v>
      </c>
      <c r="Y3566">
        <v>0.55891141715176618</v>
      </c>
      <c r="Z3566" t="str">
        <f>HYPERLINK("Melting_Curves/meltCurve_tr_F8W914_F8W914_HUMAN_.pdf", "Melting_Curves/meltCurve_tr_F8W914_F8W914_HUMAN_.pdf")</f>
        <v>Melting_Curves/meltCurve_tr_F8W914_F8W914_HUMAN_.pdf</v>
      </c>
      <c r="AA3566" t="s">
        <v>15000</v>
      </c>
      <c r="AB3566" t="s">
        <v>18795</v>
      </c>
    </row>
    <row r="3567" spans="1:28" x14ac:dyDescent="0.25">
      <c r="A3567" t="s">
        <v>3571</v>
      </c>
      <c r="B3567">
        <v>0.98876768158843997</v>
      </c>
      <c r="C3567">
        <v>0.95556538943630098</v>
      </c>
      <c r="D3567">
        <v>0.93070184918994003</v>
      </c>
      <c r="E3567">
        <v>0.68291888366972697</v>
      </c>
      <c r="F3567">
        <v>0.33437349781332099</v>
      </c>
      <c r="G3567">
        <v>0.203938175641216</v>
      </c>
      <c r="H3567">
        <v>0.17614734518206901</v>
      </c>
      <c r="I3567">
        <v>0.15366318804315601</v>
      </c>
      <c r="J3567">
        <v>0.36614013957588099</v>
      </c>
      <c r="K3567">
        <v>0.186232152532957</v>
      </c>
      <c r="L3567">
        <v>1725.8124546484701</v>
      </c>
      <c r="M3567">
        <v>34.191483450300098</v>
      </c>
      <c r="N3567">
        <v>51.308749869590798</v>
      </c>
      <c r="O3567">
        <v>50.303203024810998</v>
      </c>
      <c r="P3567">
        <v>-0.13370739883961799</v>
      </c>
      <c r="Q3567">
        <v>0.21315100078249799</v>
      </c>
      <c r="R3567">
        <v>0.96990377473565204</v>
      </c>
      <c r="S3567" t="s">
        <v>7399</v>
      </c>
      <c r="T3567" t="s">
        <v>7662</v>
      </c>
      <c r="U3567" t="s">
        <v>7662</v>
      </c>
      <c r="V3567" t="s">
        <v>7662</v>
      </c>
      <c r="W3567">
        <v>10</v>
      </c>
      <c r="X3567" t="s">
        <v>11229</v>
      </c>
      <c r="Y3567">
        <v>0.49165833189964753</v>
      </c>
      <c r="Z3567" t="str">
        <f>HYPERLINK("Melting_Curves/meltCurve_tr_F8W9S7_F8W9S7_HUMAN_.pdf", "Melting_Curves/meltCurve_tr_F8W9S7_F8W9S7_HUMAN_.pdf")</f>
        <v>Melting_Curves/meltCurve_tr_F8W9S7_F8W9S7_HUMAN_.pdf</v>
      </c>
      <c r="AA3567" t="s">
        <v>15001</v>
      </c>
      <c r="AB3567" t="s">
        <v>18796</v>
      </c>
    </row>
    <row r="3568" spans="1:28" x14ac:dyDescent="0.25">
      <c r="A3568" t="s">
        <v>3572</v>
      </c>
      <c r="B3568">
        <v>0.98876768158843997</v>
      </c>
      <c r="C3568">
        <v>0.89434152748943196</v>
      </c>
      <c r="D3568">
        <v>1.0373209556014</v>
      </c>
      <c r="E3568">
        <v>0.71326302641702599</v>
      </c>
      <c r="F3568">
        <v>0.209435516948486</v>
      </c>
      <c r="G3568">
        <v>0.114006229996019</v>
      </c>
      <c r="H3568">
        <v>6.3931291398708096E-2</v>
      </c>
      <c r="I3568">
        <v>6.4648872772546898E-2</v>
      </c>
      <c r="J3568">
        <v>8.0784269146896501E-2</v>
      </c>
      <c r="K3568">
        <v>7.8133097272095497E-2</v>
      </c>
      <c r="L3568">
        <v>2306.0553868438501</v>
      </c>
      <c r="M3568">
        <v>45.312870233426402</v>
      </c>
      <c r="N3568">
        <v>51.084840515512298</v>
      </c>
      <c r="O3568">
        <v>50.7930180442414</v>
      </c>
      <c r="P3568">
        <v>-0.20548148882599501</v>
      </c>
      <c r="Q3568">
        <v>7.8671311677651304E-2</v>
      </c>
      <c r="R3568">
        <v>0.99115811541522003</v>
      </c>
      <c r="S3568" t="s">
        <v>7400</v>
      </c>
      <c r="T3568" t="s">
        <v>7662</v>
      </c>
      <c r="U3568" t="s">
        <v>7662</v>
      </c>
      <c r="V3568" t="s">
        <v>7662</v>
      </c>
      <c r="W3568">
        <v>8</v>
      </c>
      <c r="X3568" t="s">
        <v>11230</v>
      </c>
      <c r="Y3568">
        <v>0.41569131990262481</v>
      </c>
      <c r="Z3568" t="str">
        <f>HYPERLINK("Melting_Curves/meltCurve_tr_F8W9X7_F8W9X7_HUMAN_.pdf", "Melting_Curves/meltCurve_tr_F8W9X7_F8W9X7_HUMAN_.pdf")</f>
        <v>Melting_Curves/meltCurve_tr_F8W9X7_F8W9X7_HUMAN_.pdf</v>
      </c>
      <c r="AA3568" t="s">
        <v>15002</v>
      </c>
      <c r="AB3568" t="s">
        <v>18797</v>
      </c>
    </row>
    <row r="3569" spans="1:28" x14ac:dyDescent="0.25">
      <c r="A3569" t="s">
        <v>3573</v>
      </c>
      <c r="B3569">
        <v>0.98876768158843997</v>
      </c>
      <c r="C3569">
        <v>0.96075755844315602</v>
      </c>
      <c r="D3569">
        <v>0.71329902052510397</v>
      </c>
      <c r="E3569">
        <v>0.28327958465820802</v>
      </c>
      <c r="F3569">
        <v>0.16128413769904501</v>
      </c>
      <c r="G3569">
        <v>8.83307658169145E-2</v>
      </c>
      <c r="H3569">
        <v>6.1707065198420799E-2</v>
      </c>
      <c r="I3569">
        <v>3.2187171591495999E-2</v>
      </c>
      <c r="J3569">
        <v>4.23425017150987E-2</v>
      </c>
      <c r="K3569">
        <v>0</v>
      </c>
      <c r="L3569">
        <v>1071.54462994498</v>
      </c>
      <c r="M3569">
        <v>22.408829332095401</v>
      </c>
      <c r="N3569">
        <v>47.992178658169003</v>
      </c>
      <c r="O3569">
        <v>47.442022098546701</v>
      </c>
      <c r="P3569">
        <v>-0.11347491486052599</v>
      </c>
      <c r="Q3569">
        <v>3.9062649041965998E-2</v>
      </c>
      <c r="R3569">
        <v>0.99691678298133601</v>
      </c>
      <c r="S3569" t="s">
        <v>7401</v>
      </c>
      <c r="T3569" t="s">
        <v>7662</v>
      </c>
      <c r="U3569" t="s">
        <v>7662</v>
      </c>
      <c r="V3569" t="s">
        <v>7662</v>
      </c>
      <c r="W3569">
        <v>1</v>
      </c>
      <c r="X3569" t="s">
        <v>11231</v>
      </c>
      <c r="Y3569">
        <v>0.30022667439290041</v>
      </c>
      <c r="Z3569" t="str">
        <f>HYPERLINK("Melting_Curves/meltCurve_tr_F8WAG2_F8WAG2_HUMAN_.pdf", "Melting_Curves/meltCurve_tr_F8WAG2_F8WAG2_HUMAN_.pdf")</f>
        <v>Melting_Curves/meltCurve_tr_F8WAG2_F8WAG2_HUMAN_.pdf</v>
      </c>
      <c r="AA3569" t="s">
        <v>15003</v>
      </c>
      <c r="AB3569" t="s">
        <v>18798</v>
      </c>
    </row>
    <row r="3570" spans="1:28" x14ac:dyDescent="0.25">
      <c r="A3570" t="s">
        <v>3574</v>
      </c>
      <c r="B3570">
        <v>0.98876768158843997</v>
      </c>
      <c r="C3570">
        <v>1.5025745785843201</v>
      </c>
      <c r="D3570">
        <v>0.79973104127905903</v>
      </c>
      <c r="E3570">
        <v>0.987202818316953</v>
      </c>
      <c r="F3570">
        <v>0.35108231428818298</v>
      </c>
      <c r="G3570">
        <v>1.1682188475295201</v>
      </c>
      <c r="H3570">
        <v>0.86318622648279597</v>
      </c>
      <c r="I3570">
        <v>0.86258279389224102</v>
      </c>
      <c r="J3570">
        <v>0.241275381700925</v>
      </c>
      <c r="K3570">
        <v>1.1894977261818001</v>
      </c>
      <c r="L3570">
        <v>11191.6098708839</v>
      </c>
      <c r="M3570">
        <v>250</v>
      </c>
      <c r="O3570">
        <v>44.763564837651799</v>
      </c>
      <c r="P3570">
        <v>-0.26832615545212601</v>
      </c>
      <c r="Q3570">
        <v>0.807820193500005</v>
      </c>
      <c r="R3570">
        <v>0.14505828836246801</v>
      </c>
      <c r="S3570" t="s">
        <v>7402</v>
      </c>
      <c r="T3570" t="s">
        <v>7662</v>
      </c>
      <c r="U3570" t="s">
        <v>7662</v>
      </c>
      <c r="V3570" t="s">
        <v>7662</v>
      </c>
      <c r="W3570">
        <v>1</v>
      </c>
      <c r="X3570" t="s">
        <v>11232</v>
      </c>
      <c r="Y3570">
        <v>0.83836907258006754</v>
      </c>
      <c r="Z3570" t="str">
        <f>HYPERLINK("Melting_Curves/meltCurve_tr_F8WBM7_F8WBM7_HUMAN_.pdf", "Melting_Curves/meltCurve_tr_F8WBM7_F8WBM7_HUMAN_.pdf")</f>
        <v>Melting_Curves/meltCurve_tr_F8WBM7_F8WBM7_HUMAN_.pdf</v>
      </c>
      <c r="AA3570" t="s">
        <v>15004</v>
      </c>
      <c r="AB3570" t="s">
        <v>18799</v>
      </c>
    </row>
    <row r="3571" spans="1:28" x14ac:dyDescent="0.25">
      <c r="A3571" t="s">
        <v>3575</v>
      </c>
      <c r="B3571">
        <v>0.98876768158843997</v>
      </c>
      <c r="C3571">
        <v>0.93978194214567501</v>
      </c>
      <c r="D3571">
        <v>0.91771370905753802</v>
      </c>
      <c r="E3571">
        <v>0.68883002544618699</v>
      </c>
      <c r="F3571">
        <v>0.53267182121591805</v>
      </c>
      <c r="G3571">
        <v>0.24805645698509801</v>
      </c>
      <c r="H3571">
        <v>0.14931401174345199</v>
      </c>
      <c r="I3571">
        <v>4.1686808036124401E-2</v>
      </c>
      <c r="J3571">
        <v>0</v>
      </c>
      <c r="K3571">
        <v>0</v>
      </c>
      <c r="L3571">
        <v>807.92243087646</v>
      </c>
      <c r="M3571">
        <v>15.2393283873126</v>
      </c>
      <c r="N3571">
        <v>53.015625637960802</v>
      </c>
      <c r="O3571">
        <v>52.127865984566803</v>
      </c>
      <c r="P3571">
        <v>-7.3093226004900702E-2</v>
      </c>
      <c r="Q3571">
        <v>0</v>
      </c>
      <c r="R3571">
        <v>0.99559610427257506</v>
      </c>
      <c r="S3571" t="s">
        <v>7403</v>
      </c>
      <c r="T3571" t="s">
        <v>7662</v>
      </c>
      <c r="U3571" t="s">
        <v>7662</v>
      </c>
      <c r="V3571" t="s">
        <v>7662</v>
      </c>
      <c r="W3571">
        <v>3</v>
      </c>
      <c r="X3571" t="s">
        <v>11233</v>
      </c>
      <c r="Y3571">
        <v>0.45488745350980281</v>
      </c>
      <c r="Z3571" t="str">
        <f>HYPERLINK("Melting_Curves/meltCurve_tr_F8WDV0_F8WDV0_HUMAN_.pdf", "Melting_Curves/meltCurve_tr_F8WDV0_F8WDV0_HUMAN_.pdf")</f>
        <v>Melting_Curves/meltCurve_tr_F8WDV0_F8WDV0_HUMAN_.pdf</v>
      </c>
      <c r="AA3571" t="s">
        <v>15005</v>
      </c>
      <c r="AB3571" t="s">
        <v>18800</v>
      </c>
    </row>
    <row r="3572" spans="1:28" x14ac:dyDescent="0.25">
      <c r="A3572" t="s">
        <v>3576</v>
      </c>
      <c r="B3572">
        <v>0.98876768158843997</v>
      </c>
      <c r="C3572">
        <v>0.98773651613778302</v>
      </c>
      <c r="D3572">
        <v>0.90001536451680597</v>
      </c>
      <c r="E3572">
        <v>0.74637576260405603</v>
      </c>
      <c r="F3572">
        <v>0.70459955475763403</v>
      </c>
      <c r="G3572">
        <v>0.51440750724777196</v>
      </c>
      <c r="H3572">
        <v>0.35130387823681902</v>
      </c>
      <c r="I3572">
        <v>0.32918160588145601</v>
      </c>
      <c r="J3572">
        <v>0.35676785472881201</v>
      </c>
      <c r="K3572">
        <v>0.36254429203872901</v>
      </c>
      <c r="L3572">
        <v>705.28035226206202</v>
      </c>
      <c r="M3572">
        <v>13.296715723220199</v>
      </c>
      <c r="N3572">
        <v>56.938575792162602</v>
      </c>
      <c r="O3572">
        <v>51.885046167721796</v>
      </c>
      <c r="P3572">
        <v>-4.4935473764075799E-2</v>
      </c>
      <c r="Q3572">
        <v>0.29874354142271797</v>
      </c>
      <c r="R3572">
        <v>0.98403709854513399</v>
      </c>
      <c r="S3572" t="s">
        <v>7404</v>
      </c>
      <c r="T3572" t="s">
        <v>7662</v>
      </c>
      <c r="U3572" t="s">
        <v>7662</v>
      </c>
      <c r="V3572" t="s">
        <v>7662</v>
      </c>
      <c r="W3572">
        <v>4</v>
      </c>
      <c r="X3572" t="s">
        <v>11234</v>
      </c>
      <c r="Y3572">
        <v>0.62123957015274656</v>
      </c>
      <c r="Z3572" t="str">
        <f>HYPERLINK("Melting_Curves/meltCurve_tr_F8WF49_F8WF49_HUMAN_.pdf", "Melting_Curves/meltCurve_tr_F8WF49_F8WF49_HUMAN_.pdf")</f>
        <v>Melting_Curves/meltCurve_tr_F8WF49_F8WF49_HUMAN_.pdf</v>
      </c>
      <c r="AA3572" t="s">
        <v>15006</v>
      </c>
      <c r="AB3572" t="s">
        <v>18801</v>
      </c>
    </row>
    <row r="3573" spans="1:28" x14ac:dyDescent="0.25">
      <c r="A3573" t="s">
        <v>3577</v>
      </c>
      <c r="B3573">
        <v>0.98876768158843997</v>
      </c>
      <c r="C3573">
        <v>0.89475487999473502</v>
      </c>
      <c r="D3573">
        <v>0.87346823840346999</v>
      </c>
      <c r="E3573">
        <v>0.71660407489334699</v>
      </c>
      <c r="F3573">
        <v>0.62576691512976201</v>
      </c>
      <c r="G3573">
        <v>0.44121576021509301</v>
      </c>
      <c r="H3573">
        <v>0.29869374525007902</v>
      </c>
      <c r="I3573">
        <v>0.28471944714379799</v>
      </c>
      <c r="J3573">
        <v>0.29650587250630001</v>
      </c>
      <c r="K3573">
        <v>0.30515800547822702</v>
      </c>
      <c r="L3573">
        <v>615.96964320362702</v>
      </c>
      <c r="M3573">
        <v>11.7717513804101</v>
      </c>
      <c r="N3573">
        <v>55.199954879948102</v>
      </c>
      <c r="O3573">
        <v>50.884531249841203</v>
      </c>
      <c r="P3573">
        <v>-4.4596836083135902E-2</v>
      </c>
      <c r="Q3573">
        <v>0.22910367394900399</v>
      </c>
      <c r="R3573">
        <v>0.98696797398440494</v>
      </c>
      <c r="S3573" t="s">
        <v>7405</v>
      </c>
      <c r="T3573" t="s">
        <v>7662</v>
      </c>
      <c r="U3573" t="s">
        <v>7662</v>
      </c>
      <c r="V3573" t="s">
        <v>7662</v>
      </c>
      <c r="W3573">
        <v>7</v>
      </c>
      <c r="X3573" t="s">
        <v>11235</v>
      </c>
      <c r="Y3573">
        <v>0.56945873849202411</v>
      </c>
      <c r="Z3573" t="str">
        <f>HYPERLINK("Melting_Curves/meltCurve_tr_F8WJN3_F8WJN3_HUMAN_.pdf", "Melting_Curves/meltCurve_tr_F8WJN3_F8WJN3_HUMAN_.pdf")</f>
        <v>Melting_Curves/meltCurve_tr_F8WJN3_F8WJN3_HUMAN_.pdf</v>
      </c>
      <c r="AA3573" t="s">
        <v>15007</v>
      </c>
      <c r="AB3573" t="s">
        <v>18802</v>
      </c>
    </row>
    <row r="3574" spans="1:28" x14ac:dyDescent="0.25">
      <c r="A3574" t="s">
        <v>3578</v>
      </c>
      <c r="B3574">
        <v>0.98876768158843997</v>
      </c>
      <c r="C3574">
        <v>1.10440112064555</v>
      </c>
      <c r="D3574">
        <v>0.83132710571308499</v>
      </c>
      <c r="E3574">
        <v>0.56587630810428002</v>
      </c>
      <c r="F3574">
        <v>0.56976883444737803</v>
      </c>
      <c r="G3574">
        <v>0.27232544143582599</v>
      </c>
      <c r="H3574">
        <v>0.15788258150350601</v>
      </c>
      <c r="I3574">
        <v>0.135006106830415</v>
      </c>
      <c r="J3574">
        <v>0.155991609814565</v>
      </c>
      <c r="K3574">
        <v>0.142307033625306</v>
      </c>
      <c r="L3574">
        <v>764.437971299021</v>
      </c>
      <c r="M3574">
        <v>14.823657590916</v>
      </c>
      <c r="N3574">
        <v>52.443059813807999</v>
      </c>
      <c r="O3574">
        <v>50.657581990775597</v>
      </c>
      <c r="P3574">
        <v>-6.5154083284684194E-2</v>
      </c>
      <c r="Q3574">
        <v>0.109477781394512</v>
      </c>
      <c r="R3574">
        <v>0.96507200999773002</v>
      </c>
      <c r="S3574" t="s">
        <v>7406</v>
      </c>
      <c r="T3574" t="s">
        <v>7662</v>
      </c>
      <c r="U3574" t="s">
        <v>7662</v>
      </c>
      <c r="V3574" t="s">
        <v>7662</v>
      </c>
      <c r="W3574">
        <v>10</v>
      </c>
      <c r="X3574" t="s">
        <v>11236</v>
      </c>
      <c r="Y3574">
        <v>0.47346886778528158</v>
      </c>
      <c r="Z3574" t="str">
        <f>HYPERLINK("Melting_Curves/meltCurve_tr_G3V0E8_G3V0E8_HUMAN_.pdf", "Melting_Curves/meltCurve_tr_G3V0E8_G3V0E8_HUMAN_.pdf")</f>
        <v>Melting_Curves/meltCurve_tr_G3V0E8_G3V0E8_HUMAN_.pdf</v>
      </c>
      <c r="AA3574" t="s">
        <v>15008</v>
      </c>
      <c r="AB3574" t="s">
        <v>18803</v>
      </c>
    </row>
    <row r="3575" spans="1:28" x14ac:dyDescent="0.25">
      <c r="A3575" t="s">
        <v>3579</v>
      </c>
      <c r="B3575">
        <v>0.98876768158843997</v>
      </c>
      <c r="C3575">
        <v>1.1235350812082101</v>
      </c>
      <c r="D3575">
        <v>0.83884709310491901</v>
      </c>
      <c r="E3575">
        <v>0.68754635107755402</v>
      </c>
      <c r="F3575">
        <v>0.332381879013394</v>
      </c>
      <c r="G3575">
        <v>0.21359631266672</v>
      </c>
      <c r="H3575">
        <v>0.121274447434989</v>
      </c>
      <c r="I3575">
        <v>0.13963796426012801</v>
      </c>
      <c r="J3575">
        <v>0.122956601222505</v>
      </c>
      <c r="K3575">
        <v>0.17691561995567301</v>
      </c>
      <c r="L3575">
        <v>1206.33510363902</v>
      </c>
      <c r="M3575">
        <v>23.775942647346898</v>
      </c>
      <c r="N3575">
        <v>51.421098821259001</v>
      </c>
      <c r="O3575">
        <v>50.382794806415603</v>
      </c>
      <c r="P3575">
        <v>-0.10199472823726601</v>
      </c>
      <c r="Q3575">
        <v>0.135479875751051</v>
      </c>
      <c r="R3575">
        <v>0.97648303666477698</v>
      </c>
      <c r="S3575" t="s">
        <v>7407</v>
      </c>
      <c r="T3575" t="s">
        <v>7662</v>
      </c>
      <c r="U3575" t="s">
        <v>7662</v>
      </c>
      <c r="V3575" t="s">
        <v>7662</v>
      </c>
      <c r="W3575">
        <v>4</v>
      </c>
      <c r="X3575" t="s">
        <v>11237</v>
      </c>
      <c r="Y3575">
        <v>0.45350798430362049</v>
      </c>
      <c r="Z3575" t="str">
        <f>HYPERLINK("Melting_Curves/meltCurve_tr_G3V169_G3V169_HUMAN_.pdf", "Melting_Curves/meltCurve_tr_G3V169_G3V169_HUMAN_.pdf")</f>
        <v>Melting_Curves/meltCurve_tr_G3V169_G3V169_HUMAN_.pdf</v>
      </c>
      <c r="AA3575" t="s">
        <v>15009</v>
      </c>
      <c r="AB3575" t="s">
        <v>18804</v>
      </c>
    </row>
    <row r="3576" spans="1:28" x14ac:dyDescent="0.25">
      <c r="A3576" t="s">
        <v>3580</v>
      </c>
      <c r="B3576">
        <v>0.98876768158843997</v>
      </c>
      <c r="C3576">
        <v>0.97960959260890101</v>
      </c>
      <c r="D3576">
        <v>0.93609224035322502</v>
      </c>
      <c r="E3576">
        <v>0.72970662727061297</v>
      </c>
      <c r="F3576">
        <v>0.60778319316344598</v>
      </c>
      <c r="G3576">
        <v>0.34781173335179499</v>
      </c>
      <c r="H3576">
        <v>0.27533239505430301</v>
      </c>
      <c r="I3576">
        <v>0.29087220792735902</v>
      </c>
      <c r="J3576">
        <v>0.30034565904420202</v>
      </c>
      <c r="K3576">
        <v>0.302284661093637</v>
      </c>
      <c r="L3576">
        <v>992.27453125904003</v>
      </c>
      <c r="M3576">
        <v>19.1621587348106</v>
      </c>
      <c r="N3576">
        <v>54.011723601679599</v>
      </c>
      <c r="O3576">
        <v>51.228953399358701</v>
      </c>
      <c r="P3576">
        <v>-6.7964026915675504E-2</v>
      </c>
      <c r="Q3576">
        <v>0.273236003852733</v>
      </c>
      <c r="R3576">
        <v>0.99236267028119396</v>
      </c>
      <c r="S3576" t="s">
        <v>7408</v>
      </c>
      <c r="T3576" t="s">
        <v>7662</v>
      </c>
      <c r="U3576" t="s">
        <v>7662</v>
      </c>
      <c r="V3576" t="s">
        <v>7662</v>
      </c>
      <c r="W3576">
        <v>3</v>
      </c>
      <c r="X3576" t="s">
        <v>11238</v>
      </c>
      <c r="Y3576">
        <v>0.56955447060700659</v>
      </c>
      <c r="Z3576" t="str">
        <f>HYPERLINK("Melting_Curves/meltCurve_tr_G3V1D4_G3V1D4_HUMAN_.pdf", "Melting_Curves/meltCurve_tr_G3V1D4_G3V1D4_HUMAN_.pdf")</f>
        <v>Melting_Curves/meltCurve_tr_G3V1D4_G3V1D4_HUMAN_.pdf</v>
      </c>
      <c r="AA3576" t="s">
        <v>15010</v>
      </c>
      <c r="AB3576" t="s">
        <v>18805</v>
      </c>
    </row>
    <row r="3577" spans="1:28" x14ac:dyDescent="0.25">
      <c r="A3577" t="s">
        <v>3581</v>
      </c>
      <c r="B3577">
        <v>0.98876768158843997</v>
      </c>
      <c r="C3577">
        <v>0.93813225570629699</v>
      </c>
      <c r="D3577">
        <v>0.90525836099299595</v>
      </c>
      <c r="E3577">
        <v>0.67046021948971701</v>
      </c>
      <c r="F3577">
        <v>0.232602744178841</v>
      </c>
      <c r="G3577">
        <v>0.13091158197970701</v>
      </c>
      <c r="H3577">
        <v>5.7042169448801597E-2</v>
      </c>
      <c r="I3577">
        <v>4.6025403621906297E-2</v>
      </c>
      <c r="J3577">
        <v>5.9296199840626403E-2</v>
      </c>
      <c r="K3577">
        <v>5.2330469277029799E-2</v>
      </c>
      <c r="L3577">
        <v>1471.4446636349901</v>
      </c>
      <c r="M3577">
        <v>28.964671960943999</v>
      </c>
      <c r="N3577">
        <v>51.005768536901101</v>
      </c>
      <c r="O3577">
        <v>50.561074466254198</v>
      </c>
      <c r="P3577">
        <v>-0.13536961806425299</v>
      </c>
      <c r="Q3577">
        <v>5.4796271301410099E-2</v>
      </c>
      <c r="R3577">
        <v>0.99322626166896699</v>
      </c>
      <c r="S3577" t="s">
        <v>7409</v>
      </c>
      <c r="T3577" t="s">
        <v>7662</v>
      </c>
      <c r="U3577" t="s">
        <v>7662</v>
      </c>
      <c r="V3577" t="s">
        <v>7662</v>
      </c>
      <c r="W3577">
        <v>7</v>
      </c>
      <c r="X3577" t="s">
        <v>11239</v>
      </c>
      <c r="Y3577">
        <v>0.4014681069949772</v>
      </c>
      <c r="Z3577" t="str">
        <f>HYPERLINK("Melting_Curves/meltCurve_tr_G3V1J5_G3V1J5_HUMAN_.pdf", "Melting_Curves/meltCurve_tr_G3V1J5_G3V1J5_HUMAN_.pdf")</f>
        <v>Melting_Curves/meltCurve_tr_G3V1J5_G3V1J5_HUMAN_.pdf</v>
      </c>
      <c r="AA3577" t="s">
        <v>15011</v>
      </c>
      <c r="AB3577" t="s">
        <v>18806</v>
      </c>
    </row>
    <row r="3578" spans="1:28" x14ac:dyDescent="0.25">
      <c r="A3578" t="s">
        <v>3582</v>
      </c>
      <c r="B3578">
        <v>0.98876768158843997</v>
      </c>
      <c r="C3578">
        <v>0.90490443558046696</v>
      </c>
      <c r="D3578">
        <v>0.91520297377406901</v>
      </c>
      <c r="E3578">
        <v>0.67892780573703004</v>
      </c>
      <c r="F3578">
        <v>0.532173711371971</v>
      </c>
      <c r="G3578">
        <v>0.27730342138472702</v>
      </c>
      <c r="H3578">
        <v>0.160196050295871</v>
      </c>
      <c r="I3578">
        <v>0.18696432187131301</v>
      </c>
      <c r="J3578">
        <v>0.23737338485058901</v>
      </c>
      <c r="K3578">
        <v>0.18673237395053</v>
      </c>
      <c r="L3578">
        <v>882.43863703819</v>
      </c>
      <c r="M3578">
        <v>17.1166196343809</v>
      </c>
      <c r="N3578">
        <v>52.804086717699498</v>
      </c>
      <c r="O3578">
        <v>50.866233480514701</v>
      </c>
      <c r="P3578">
        <v>-7.0120284128108598E-2</v>
      </c>
      <c r="Q3578">
        <v>0.16653164864963799</v>
      </c>
      <c r="R3578">
        <v>0.98584339547291799</v>
      </c>
      <c r="S3578" t="s">
        <v>7410</v>
      </c>
      <c r="T3578" t="s">
        <v>7662</v>
      </c>
      <c r="U3578" t="s">
        <v>7662</v>
      </c>
      <c r="V3578" t="s">
        <v>7662</v>
      </c>
      <c r="W3578">
        <v>3</v>
      </c>
      <c r="X3578" t="s">
        <v>11240</v>
      </c>
      <c r="Y3578">
        <v>0.50276057836280597</v>
      </c>
      <c r="Z3578" t="str">
        <f>HYPERLINK("Melting_Curves/meltCurve_tr_G3V1P3_G3V1P3_HUMAN_.pdf", "Melting_Curves/meltCurve_tr_G3V1P3_G3V1P3_HUMAN_.pdf")</f>
        <v>Melting_Curves/meltCurve_tr_G3V1P3_G3V1P3_HUMAN_.pdf</v>
      </c>
      <c r="AA3578" t="s">
        <v>15012</v>
      </c>
      <c r="AB3578" t="s">
        <v>18807</v>
      </c>
    </row>
    <row r="3579" spans="1:28" x14ac:dyDescent="0.25">
      <c r="A3579" t="s">
        <v>3583</v>
      </c>
      <c r="B3579">
        <v>0.98876768158843997</v>
      </c>
      <c r="C3579">
        <v>0.98639850002441298</v>
      </c>
      <c r="D3579">
        <v>1.0498601347435701</v>
      </c>
      <c r="E3579">
        <v>0.968284502059368</v>
      </c>
      <c r="F3579">
        <v>0.31170499960006698</v>
      </c>
      <c r="G3579">
        <v>0.218188767677686</v>
      </c>
      <c r="H3579">
        <v>0.14410761528385899</v>
      </c>
      <c r="I3579">
        <v>9.1685661280274902E-2</v>
      </c>
      <c r="J3579">
        <v>5.8273687382754402E-2</v>
      </c>
      <c r="K3579">
        <v>3.9911146339155198E-2</v>
      </c>
      <c r="L3579">
        <v>3832.7782775792698</v>
      </c>
      <c r="M3579">
        <v>73.527219626744497</v>
      </c>
      <c r="N3579">
        <v>52.303594717650199</v>
      </c>
      <c r="O3579">
        <v>52.088818273116502</v>
      </c>
      <c r="P3579">
        <v>-0.31416952344172999</v>
      </c>
      <c r="Q3579">
        <v>0.10973290079684</v>
      </c>
      <c r="R3579">
        <v>0.98714172326429594</v>
      </c>
      <c r="S3579" t="s">
        <v>7411</v>
      </c>
      <c r="T3579" t="s">
        <v>7662</v>
      </c>
      <c r="U3579" t="s">
        <v>7662</v>
      </c>
      <c r="V3579" t="s">
        <v>7662</v>
      </c>
      <c r="W3579">
        <v>19</v>
      </c>
      <c r="X3579" t="s">
        <v>11241</v>
      </c>
      <c r="Y3579">
        <v>0.47056234788466877</v>
      </c>
      <c r="Z3579" t="str">
        <f>HYPERLINK("Melting_Curves/meltCurve_tr_G3V1Q4_G3V1Q4_HUMAN_.pdf", "Melting_Curves/meltCurve_tr_G3V1Q4_G3V1Q4_HUMAN_.pdf")</f>
        <v>Melting_Curves/meltCurve_tr_G3V1Q4_G3V1Q4_HUMAN_.pdf</v>
      </c>
      <c r="AA3579" t="s">
        <v>13145</v>
      </c>
      <c r="AB3579" t="s">
        <v>18808</v>
      </c>
    </row>
    <row r="3580" spans="1:28" x14ac:dyDescent="0.25">
      <c r="A3580" t="s">
        <v>3584</v>
      </c>
      <c r="B3580">
        <v>0.98876768158843997</v>
      </c>
      <c r="C3580">
        <v>1.0666084349963101</v>
      </c>
      <c r="D3580">
        <v>0.95543325451098604</v>
      </c>
      <c r="E3580">
        <v>0.82669372676293196</v>
      </c>
      <c r="F3580">
        <v>0.66265228356251904</v>
      </c>
      <c r="G3580">
        <v>0.63101722931906001</v>
      </c>
      <c r="H3580">
        <v>0.488514596987008</v>
      </c>
      <c r="I3580">
        <v>0.54223242099989899</v>
      </c>
      <c r="J3580">
        <v>0.50882448338378805</v>
      </c>
      <c r="K3580">
        <v>0.53246206629373005</v>
      </c>
      <c r="L3580">
        <v>1074.0123899089799</v>
      </c>
      <c r="M3580">
        <v>20.914191631501001</v>
      </c>
      <c r="O3580">
        <v>50.890694901743103</v>
      </c>
      <c r="P3580">
        <v>-4.9298008628363199E-2</v>
      </c>
      <c r="Q3580">
        <v>0.52018387297952295</v>
      </c>
      <c r="R3580">
        <v>0.97171608376659602</v>
      </c>
      <c r="S3580" t="s">
        <v>7412</v>
      </c>
      <c r="T3580" t="s">
        <v>7662</v>
      </c>
      <c r="U3580" t="s">
        <v>7662</v>
      </c>
      <c r="V3580" t="s">
        <v>7662</v>
      </c>
      <c r="W3580">
        <v>1</v>
      </c>
      <c r="X3580" t="s">
        <v>11242</v>
      </c>
      <c r="Y3580">
        <v>0.70789110204979999</v>
      </c>
      <c r="Z3580" t="str">
        <f>HYPERLINK("Melting_Curves/meltCurve_tr_G3V1V1_G3V1V1_HUMAN_.pdf", "Melting_Curves/meltCurve_tr_G3V1V1_G3V1V1_HUMAN_.pdf")</f>
        <v>Melting_Curves/meltCurve_tr_G3V1V1_G3V1V1_HUMAN_.pdf</v>
      </c>
      <c r="AA3580" t="s">
        <v>15013</v>
      </c>
      <c r="AB3580" t="s">
        <v>18809</v>
      </c>
    </row>
    <row r="3581" spans="1:28" x14ac:dyDescent="0.25">
      <c r="A3581" t="s">
        <v>3585</v>
      </c>
      <c r="B3581">
        <v>0.98876768158843997</v>
      </c>
      <c r="C3581">
        <v>0.77849546581762397</v>
      </c>
      <c r="D3581">
        <v>0.601783693534232</v>
      </c>
      <c r="E3581">
        <v>0.23691228326875899</v>
      </c>
      <c r="F3581">
        <v>0.12058883690241901</v>
      </c>
      <c r="G3581">
        <v>7.5750928440299695E-2</v>
      </c>
      <c r="H3581">
        <v>4.9473070235398299E-2</v>
      </c>
      <c r="I3581">
        <v>4.4363021117268697E-2</v>
      </c>
      <c r="J3581">
        <v>3.5637628925429703E-2</v>
      </c>
      <c r="K3581">
        <v>3.1353626150600798E-2</v>
      </c>
      <c r="L3581">
        <v>833.29130638580602</v>
      </c>
      <c r="M3581">
        <v>17.899251160998901</v>
      </c>
      <c r="N3581">
        <v>46.729279326781302</v>
      </c>
      <c r="O3581">
        <v>45.985110915173401</v>
      </c>
      <c r="P3581">
        <v>-9.4164686919875604E-2</v>
      </c>
      <c r="Q3581">
        <v>3.2371779719289201E-2</v>
      </c>
      <c r="R3581">
        <v>0.99538275668888798</v>
      </c>
      <c r="S3581" t="s">
        <v>7413</v>
      </c>
      <c r="T3581" t="s">
        <v>7662</v>
      </c>
      <c r="U3581" t="s">
        <v>7662</v>
      </c>
      <c r="V3581" t="s">
        <v>7662</v>
      </c>
      <c r="W3581">
        <v>7</v>
      </c>
      <c r="X3581" t="s">
        <v>11243</v>
      </c>
      <c r="Y3581">
        <v>0.26230318642890482</v>
      </c>
      <c r="Z3581" t="str">
        <f>HYPERLINK("Melting_Curves/meltCurve_tr_G3V1Y8_G3V1Y8_HUMAN_.pdf", "Melting_Curves/meltCurve_tr_G3V1Y8_G3V1Y8_HUMAN_.pdf")</f>
        <v>Melting_Curves/meltCurve_tr_G3V1Y8_G3V1Y8_HUMAN_.pdf</v>
      </c>
      <c r="AA3581" t="s">
        <v>15014</v>
      </c>
      <c r="AB3581" t="s">
        <v>18810</v>
      </c>
    </row>
    <row r="3582" spans="1:28" x14ac:dyDescent="0.25">
      <c r="A3582" t="s">
        <v>3586</v>
      </c>
      <c r="B3582">
        <v>0.98876768158843997</v>
      </c>
      <c r="C3582">
        <v>1.0391044656091899</v>
      </c>
      <c r="D3582">
        <v>0.87186970428166599</v>
      </c>
      <c r="E3582">
        <v>0.70271816540212295</v>
      </c>
      <c r="F3582">
        <v>0.34267430004129501</v>
      </c>
      <c r="G3582">
        <v>0.202580881834626</v>
      </c>
      <c r="H3582">
        <v>0.141023768970443</v>
      </c>
      <c r="I3582">
        <v>0.107563549579269</v>
      </c>
      <c r="J3582">
        <v>9.7764602484071705E-2</v>
      </c>
      <c r="K3582">
        <v>9.7858199548524802E-2</v>
      </c>
      <c r="L3582">
        <v>1130.5259496832</v>
      </c>
      <c r="M3582">
        <v>22.115861285645</v>
      </c>
      <c r="N3582">
        <v>51.645247022574601</v>
      </c>
      <c r="O3582">
        <v>50.705879205782303</v>
      </c>
      <c r="P3582">
        <v>-9.8029363635719194E-2</v>
      </c>
      <c r="Q3582">
        <v>0.100996778701801</v>
      </c>
      <c r="R3582">
        <v>0.99275310868463096</v>
      </c>
      <c r="S3582" t="s">
        <v>7414</v>
      </c>
      <c r="T3582" t="s">
        <v>7662</v>
      </c>
      <c r="U3582" t="s">
        <v>7662</v>
      </c>
      <c r="V3582" t="s">
        <v>7662</v>
      </c>
      <c r="W3582">
        <v>1</v>
      </c>
      <c r="X3582" t="s">
        <v>11244</v>
      </c>
      <c r="Y3582">
        <v>0.44449344806976759</v>
      </c>
      <c r="Z3582" t="str">
        <f>HYPERLINK("Melting_Curves/meltCurve_tr_G3V238_G3V238_HUMAN_.pdf", "Melting_Curves/meltCurve_tr_G3V238_G3V238_HUMAN_.pdf")</f>
        <v>Melting_Curves/meltCurve_tr_G3V238_G3V238_HUMAN_.pdf</v>
      </c>
      <c r="AA3582" t="s">
        <v>15015</v>
      </c>
      <c r="AB3582" t="s">
        <v>18811</v>
      </c>
    </row>
    <row r="3583" spans="1:28" x14ac:dyDescent="0.25">
      <c r="A3583" t="s">
        <v>3587</v>
      </c>
      <c r="B3583">
        <v>0.98876768158843997</v>
      </c>
      <c r="C3583">
        <v>0.93930681739810196</v>
      </c>
      <c r="D3583">
        <v>1.1541096723201401</v>
      </c>
      <c r="E3583">
        <v>1.04696683160675</v>
      </c>
      <c r="F3583">
        <v>0.50981735675127804</v>
      </c>
      <c r="G3583">
        <v>0.26417336628651</v>
      </c>
      <c r="H3583">
        <v>6.9304719887861896E-2</v>
      </c>
      <c r="I3583">
        <v>4.0077032596831902E-2</v>
      </c>
      <c r="J3583">
        <v>0.172747929656208</v>
      </c>
      <c r="K3583">
        <v>2.8779725640750299E-2</v>
      </c>
      <c r="L3583">
        <v>13238.530996474499</v>
      </c>
      <c r="M3583">
        <v>250</v>
      </c>
      <c r="N3583">
        <v>53.009553583374903</v>
      </c>
      <c r="O3583">
        <v>52.9507369081226</v>
      </c>
      <c r="P3583">
        <v>-1.04458353128538</v>
      </c>
      <c r="Q3583">
        <v>0.115016544450924</v>
      </c>
      <c r="R3583">
        <v>0.96359470542961601</v>
      </c>
      <c r="S3583" t="s">
        <v>7415</v>
      </c>
      <c r="T3583" t="s">
        <v>7662</v>
      </c>
      <c r="U3583" t="s">
        <v>7662</v>
      </c>
      <c r="V3583" t="s">
        <v>7662</v>
      </c>
      <c r="W3583">
        <v>3</v>
      </c>
      <c r="X3583" t="s">
        <v>11245</v>
      </c>
      <c r="Y3583">
        <v>0.4972383028272454</v>
      </c>
      <c r="Z3583" t="str">
        <f>HYPERLINK("Melting_Curves/meltCurve_tr_G3V2A6_G3V2A6_HUMAN_.pdf", "Melting_Curves/meltCurve_tr_G3V2A6_G3V2A6_HUMAN_.pdf")</f>
        <v>Melting_Curves/meltCurve_tr_G3V2A6_G3V2A6_HUMAN_.pdf</v>
      </c>
      <c r="AA3583" t="s">
        <v>14486</v>
      </c>
      <c r="AB3583" t="s">
        <v>18812</v>
      </c>
    </row>
    <row r="3584" spans="1:28" x14ac:dyDescent="0.25">
      <c r="A3584" t="s">
        <v>3588</v>
      </c>
      <c r="B3584">
        <v>0.98876768158843997</v>
      </c>
      <c r="C3584">
        <v>0.99290524702833205</v>
      </c>
      <c r="D3584">
        <v>0.89031817450481399</v>
      </c>
      <c r="E3584">
        <v>0.87589458005975696</v>
      </c>
      <c r="F3584">
        <v>0.86255172488937704</v>
      </c>
      <c r="G3584">
        <v>0.64027683888200904</v>
      </c>
      <c r="H3584">
        <v>0.49901165116587898</v>
      </c>
      <c r="I3584">
        <v>0.58912054535591496</v>
      </c>
      <c r="J3584">
        <v>0.526968690846913</v>
      </c>
      <c r="K3584">
        <v>0.74820389267632204</v>
      </c>
      <c r="L3584">
        <v>1173.6382439326801</v>
      </c>
      <c r="M3584">
        <v>22.134678282157601</v>
      </c>
      <c r="O3584">
        <v>52.595514761712899</v>
      </c>
      <c r="P3584">
        <v>-4.3646670116788903E-2</v>
      </c>
      <c r="Q3584">
        <v>0.58516332961911199</v>
      </c>
      <c r="R3584">
        <v>0.81702719291674097</v>
      </c>
      <c r="S3584" t="s">
        <v>7416</v>
      </c>
      <c r="T3584" t="s">
        <v>7662</v>
      </c>
      <c r="U3584" t="s">
        <v>7662</v>
      </c>
      <c r="V3584" t="s">
        <v>7662</v>
      </c>
      <c r="W3584">
        <v>1</v>
      </c>
      <c r="X3584" t="s">
        <v>11246</v>
      </c>
      <c r="Y3584">
        <v>0.77001539337051572</v>
      </c>
      <c r="Z3584" t="str">
        <f>HYPERLINK("Melting_Curves/meltCurve_tr_G3V2T6_G3V2T6_HUMAN_.pdf", "Melting_Curves/meltCurve_tr_G3V2T6_G3V2T6_HUMAN_.pdf")</f>
        <v>Melting_Curves/meltCurve_tr_G3V2T6_G3V2T6_HUMAN_.pdf</v>
      </c>
      <c r="AB3584" t="s">
        <v>18723</v>
      </c>
    </row>
    <row r="3585" spans="1:28" x14ac:dyDescent="0.25">
      <c r="A3585" t="s">
        <v>3589</v>
      </c>
      <c r="B3585">
        <v>0.98876768158843997</v>
      </c>
      <c r="C3585">
        <v>0.94665432056419796</v>
      </c>
      <c r="D3585">
        <v>0.89009945727168005</v>
      </c>
      <c r="E3585">
        <v>0.82631412323345099</v>
      </c>
      <c r="F3585">
        <v>0.61117886782282105</v>
      </c>
      <c r="G3585">
        <v>0.37994201636873798</v>
      </c>
      <c r="H3585">
        <v>0.26064647560062498</v>
      </c>
      <c r="I3585">
        <v>0.247812976529589</v>
      </c>
      <c r="J3585">
        <v>0.22888635570298199</v>
      </c>
      <c r="K3585">
        <v>0.29848009649365997</v>
      </c>
      <c r="L3585">
        <v>981.59438695412496</v>
      </c>
      <c r="M3585">
        <v>18.598494336551401</v>
      </c>
      <c r="N3585">
        <v>54.619736027399497</v>
      </c>
      <c r="O3585">
        <v>52.179350368572003</v>
      </c>
      <c r="P3585">
        <v>-6.8356038439766301E-2</v>
      </c>
      <c r="Q3585">
        <v>0.232923067671334</v>
      </c>
      <c r="R3585">
        <v>0.98726868008815105</v>
      </c>
      <c r="S3585" t="s">
        <v>7417</v>
      </c>
      <c r="T3585" t="s">
        <v>7662</v>
      </c>
      <c r="U3585" t="s">
        <v>7662</v>
      </c>
      <c r="V3585" t="s">
        <v>7662</v>
      </c>
      <c r="W3585">
        <v>1</v>
      </c>
      <c r="X3585" t="s">
        <v>11247</v>
      </c>
      <c r="Y3585">
        <v>0.57160286253455717</v>
      </c>
      <c r="Z3585" t="str">
        <f>HYPERLINK("Melting_Curves/meltCurve_tr_G3V357_G3V357_HUMAN_.pdf", "Melting_Curves/meltCurve_tr_G3V357_G3V357_HUMAN_.pdf")</f>
        <v>Melting_Curves/meltCurve_tr_G3V357_G3V357_HUMAN_.pdf</v>
      </c>
      <c r="AA3585" t="s">
        <v>15016</v>
      </c>
      <c r="AB3585" t="s">
        <v>18813</v>
      </c>
    </row>
    <row r="3586" spans="1:28" x14ac:dyDescent="0.25">
      <c r="A3586" t="s">
        <v>3590</v>
      </c>
      <c r="B3586">
        <v>0.98876768158843997</v>
      </c>
      <c r="C3586">
        <v>0.88893577891854003</v>
      </c>
      <c r="D3586">
        <v>0.990116121312972</v>
      </c>
      <c r="E3586">
        <v>0.96785278964828803</v>
      </c>
      <c r="F3586">
        <v>0.68196688217927703</v>
      </c>
      <c r="G3586">
        <v>0.41232482899586798</v>
      </c>
      <c r="H3586">
        <v>0.11434309466486201</v>
      </c>
      <c r="I3586">
        <v>0.104876952483615</v>
      </c>
      <c r="J3586">
        <v>0.105559182655265</v>
      </c>
      <c r="K3586">
        <v>0.105800539624993</v>
      </c>
      <c r="L3586">
        <v>1281.8314646552301</v>
      </c>
      <c r="M3586">
        <v>23.302671585940999</v>
      </c>
      <c r="N3586">
        <v>55.424310042533897</v>
      </c>
      <c r="O3586">
        <v>54.607622885980099</v>
      </c>
      <c r="P3586">
        <v>-9.8117502575707394E-2</v>
      </c>
      <c r="Q3586">
        <v>8.0299773766486102E-2</v>
      </c>
      <c r="R3586">
        <v>0.98486542256490806</v>
      </c>
      <c r="S3586" t="s">
        <v>7418</v>
      </c>
      <c r="T3586" t="s">
        <v>7662</v>
      </c>
      <c r="U3586" t="s">
        <v>7662</v>
      </c>
      <c r="V3586" t="s">
        <v>7662</v>
      </c>
      <c r="W3586">
        <v>2</v>
      </c>
      <c r="X3586" t="s">
        <v>11248</v>
      </c>
      <c r="Y3586">
        <v>0.54999228770630149</v>
      </c>
      <c r="Z3586" t="str">
        <f>HYPERLINK("Melting_Curves/meltCurve_tr_G3V394_G3V394_HUMAN_.pdf", "Melting_Curves/meltCurve_tr_G3V394_G3V394_HUMAN_.pdf")</f>
        <v>Melting_Curves/meltCurve_tr_G3V394_G3V394_HUMAN_.pdf</v>
      </c>
      <c r="AA3586" t="s">
        <v>15017</v>
      </c>
      <c r="AB3586" t="s">
        <v>18814</v>
      </c>
    </row>
    <row r="3587" spans="1:28" x14ac:dyDescent="0.25">
      <c r="A3587" t="s">
        <v>3591</v>
      </c>
      <c r="B3587">
        <v>0.98876768158843997</v>
      </c>
      <c r="C3587">
        <v>0.95182356283691305</v>
      </c>
      <c r="D3587">
        <v>1.00435765929345</v>
      </c>
      <c r="E3587">
        <v>0.86262621499259295</v>
      </c>
      <c r="F3587">
        <v>0.60810399042900898</v>
      </c>
      <c r="G3587">
        <v>0.33532206956494698</v>
      </c>
      <c r="H3587">
        <v>0.23755464509313701</v>
      </c>
      <c r="I3587">
        <v>0.25448811954509998</v>
      </c>
      <c r="J3587">
        <v>0.24287599408580801</v>
      </c>
      <c r="K3587">
        <v>0.30830472123660502</v>
      </c>
      <c r="L3587">
        <v>1527.2770292636001</v>
      </c>
      <c r="M3587">
        <v>28.964903275165199</v>
      </c>
      <c r="N3587">
        <v>54.0742107019922</v>
      </c>
      <c r="O3587">
        <v>52.479121286470999</v>
      </c>
      <c r="P3587">
        <v>-0.102546828775275</v>
      </c>
      <c r="Q3587">
        <v>0.25682098359625599</v>
      </c>
      <c r="R3587">
        <v>0.99348701207585899</v>
      </c>
      <c r="S3587" t="s">
        <v>7419</v>
      </c>
      <c r="T3587" t="s">
        <v>7662</v>
      </c>
      <c r="U3587" t="s">
        <v>7662</v>
      </c>
      <c r="V3587" t="s">
        <v>7662</v>
      </c>
      <c r="W3587">
        <v>11</v>
      </c>
      <c r="X3587" t="s">
        <v>11249</v>
      </c>
      <c r="Y3587">
        <v>0.57728347736966767</v>
      </c>
      <c r="Z3587" t="str">
        <f>HYPERLINK("Melting_Curves/meltCurve_tr_G3V3G9_G3V3G9_HUMAN_.pdf", "Melting_Curves/meltCurve_tr_G3V3G9_G3V3G9_HUMAN_.pdf")</f>
        <v>Melting_Curves/meltCurve_tr_G3V3G9_G3V3G9_HUMAN_.pdf</v>
      </c>
      <c r="AA3587" t="s">
        <v>15018</v>
      </c>
      <c r="AB3587" t="s">
        <v>18815</v>
      </c>
    </row>
    <row r="3588" spans="1:28" x14ac:dyDescent="0.25">
      <c r="A3588" t="s">
        <v>3592</v>
      </c>
      <c r="B3588">
        <v>0.98876768158843997</v>
      </c>
      <c r="C3588">
        <v>1.0497643099042999</v>
      </c>
      <c r="D3588">
        <v>0.88774877197855295</v>
      </c>
      <c r="E3588">
        <v>0.71068459725395705</v>
      </c>
      <c r="F3588">
        <v>0.560344602480779</v>
      </c>
      <c r="G3588">
        <v>0.29123400848569903</v>
      </c>
      <c r="H3588">
        <v>0.158587888940602</v>
      </c>
      <c r="I3588">
        <v>0.113814078753578</v>
      </c>
      <c r="J3588">
        <v>0.13271749092485099</v>
      </c>
      <c r="K3588">
        <v>0.12395998654783601</v>
      </c>
      <c r="L3588">
        <v>859.04756130545002</v>
      </c>
      <c r="M3588">
        <v>16.2967536599303</v>
      </c>
      <c r="N3588">
        <v>53.356258573072601</v>
      </c>
      <c r="O3588">
        <v>51.938258832916098</v>
      </c>
      <c r="P3588">
        <v>-7.1450029787696795E-2</v>
      </c>
      <c r="Q3588">
        <v>8.9212644959177495E-2</v>
      </c>
      <c r="R3588">
        <v>0.99262822336457501</v>
      </c>
      <c r="S3588" t="s">
        <v>7420</v>
      </c>
      <c r="T3588" t="s">
        <v>7662</v>
      </c>
      <c r="U3588" t="s">
        <v>7662</v>
      </c>
      <c r="V3588" t="s">
        <v>7662</v>
      </c>
      <c r="W3588">
        <v>4</v>
      </c>
      <c r="X3588" t="s">
        <v>11250</v>
      </c>
      <c r="Y3588">
        <v>0.4927086815334959</v>
      </c>
      <c r="Z3588" t="str">
        <f>HYPERLINK("Melting_Curves/meltCurve_tr_G3V3R7_G3V3R7_HUMAN_.pdf", "Melting_Curves/meltCurve_tr_G3V3R7_G3V3R7_HUMAN_.pdf")</f>
        <v>Melting_Curves/meltCurve_tr_G3V3R7_G3V3R7_HUMAN_.pdf</v>
      </c>
      <c r="AA3588" t="s">
        <v>15019</v>
      </c>
      <c r="AB3588" t="s">
        <v>18816</v>
      </c>
    </row>
    <row r="3589" spans="1:28" x14ac:dyDescent="0.25">
      <c r="A3589" t="s">
        <v>3593</v>
      </c>
      <c r="B3589">
        <v>0.98876768158843997</v>
      </c>
      <c r="C3589">
        <v>1.29361163683874</v>
      </c>
      <c r="D3589">
        <v>1.1016434307988201</v>
      </c>
      <c r="E3589">
        <v>1.0066959184617901</v>
      </c>
      <c r="F3589">
        <v>1.0074093536063</v>
      </c>
      <c r="G3589">
        <v>0.92356110017090998</v>
      </c>
      <c r="H3589">
        <v>0.69547576979624603</v>
      </c>
      <c r="I3589">
        <v>0.96410151003193501</v>
      </c>
      <c r="J3589">
        <v>0.75087160820538101</v>
      </c>
      <c r="K3589">
        <v>1.5512868394459201</v>
      </c>
      <c r="L3589">
        <v>15000</v>
      </c>
      <c r="M3589">
        <v>218.351917224364</v>
      </c>
      <c r="O3589">
        <v>68.690680720308606</v>
      </c>
      <c r="P3589">
        <v>0.397346330363955</v>
      </c>
      <c r="Q3589">
        <v>1.5</v>
      </c>
      <c r="R3589">
        <v>0.52531411842224895</v>
      </c>
      <c r="S3589" t="s">
        <v>7421</v>
      </c>
      <c r="T3589" t="s">
        <v>7662</v>
      </c>
      <c r="U3589" t="s">
        <v>7662</v>
      </c>
      <c r="V3589" t="s">
        <v>7662</v>
      </c>
      <c r="W3589">
        <v>11</v>
      </c>
      <c r="X3589" t="s">
        <v>11251</v>
      </c>
      <c r="Y3589">
        <v>1.021740345553511</v>
      </c>
      <c r="Z3589" t="str">
        <f>HYPERLINK("Melting_Curves/meltCurve_tr_G3V4C1_G3V4C1_HUMAN_.pdf", "Melting_Curves/meltCurve_tr_G3V4C1_G3V4C1_HUMAN_.pdf")</f>
        <v>Melting_Curves/meltCurve_tr_G3V4C1_G3V4C1_HUMAN_.pdf</v>
      </c>
      <c r="AA3589" t="s">
        <v>15020</v>
      </c>
      <c r="AB3589" t="s">
        <v>18817</v>
      </c>
    </row>
    <row r="3590" spans="1:28" x14ac:dyDescent="0.25">
      <c r="A3590" t="s">
        <v>3594</v>
      </c>
      <c r="B3590">
        <v>0.98876768158843997</v>
      </c>
      <c r="C3590">
        <v>1.46096165332762</v>
      </c>
      <c r="D3590">
        <v>0.81730547361164896</v>
      </c>
      <c r="E3590">
        <v>0.96631866097768004</v>
      </c>
      <c r="F3590">
        <v>0.91449531832599396</v>
      </c>
      <c r="G3590">
        <v>0.82164048063228801</v>
      </c>
      <c r="H3590">
        <v>0.59095819231439695</v>
      </c>
      <c r="I3590">
        <v>0.784630422314053</v>
      </c>
      <c r="J3590">
        <v>0.91217512709998105</v>
      </c>
      <c r="K3590">
        <v>1.07845880997287</v>
      </c>
      <c r="L3590">
        <v>1989.90030281792</v>
      </c>
      <c r="M3590">
        <v>38.096938943550597</v>
      </c>
      <c r="O3590">
        <v>52.089255937516903</v>
      </c>
      <c r="P3590">
        <v>-2.9578792547922499E-2</v>
      </c>
      <c r="Q3590">
        <v>0.83823021470261505</v>
      </c>
      <c r="R3590">
        <v>0.20346261067424101</v>
      </c>
      <c r="S3590" t="s">
        <v>7422</v>
      </c>
      <c r="T3590" t="s">
        <v>7662</v>
      </c>
      <c r="U3590" t="s">
        <v>7662</v>
      </c>
      <c r="V3590" t="s">
        <v>7662</v>
      </c>
      <c r="W3590">
        <v>1</v>
      </c>
      <c r="X3590" t="s">
        <v>11252</v>
      </c>
      <c r="Y3590">
        <v>0.90483589834801093</v>
      </c>
      <c r="Z3590" t="str">
        <f>HYPERLINK("Melting_Curves/meltCurve_tr_G3V4S8_G3V4S8_HUMAN_.pdf", "Melting_Curves/meltCurve_tr_G3V4S8_G3V4S8_HUMAN_.pdf")</f>
        <v>Melting_Curves/meltCurve_tr_G3V4S8_G3V4S8_HUMAN_.pdf</v>
      </c>
      <c r="AA3590" t="s">
        <v>15021</v>
      </c>
      <c r="AB3590" t="s">
        <v>18818</v>
      </c>
    </row>
    <row r="3591" spans="1:28" x14ac:dyDescent="0.25">
      <c r="A3591" t="s">
        <v>3595</v>
      </c>
      <c r="B3591">
        <v>0.98876768158843997</v>
      </c>
      <c r="C3591">
        <v>0.99676702849443399</v>
      </c>
      <c r="D3591">
        <v>0.85070389057211104</v>
      </c>
      <c r="E3591">
        <v>0.64987230709747201</v>
      </c>
      <c r="F3591">
        <v>0.46469055915778501</v>
      </c>
      <c r="G3591">
        <v>0.21032118840073399</v>
      </c>
      <c r="H3591">
        <v>0.128593172641704</v>
      </c>
      <c r="I3591">
        <v>0.117080101433192</v>
      </c>
      <c r="J3591">
        <v>0.13029062104686501</v>
      </c>
      <c r="K3591">
        <v>0.13996700378704199</v>
      </c>
      <c r="L3591">
        <v>875.78084364899701</v>
      </c>
      <c r="M3591">
        <v>17.072240137184</v>
      </c>
      <c r="N3591">
        <v>51.981235478664999</v>
      </c>
      <c r="O3591">
        <v>50.610214594010799</v>
      </c>
      <c r="P3591">
        <v>-7.5867243443197299E-2</v>
      </c>
      <c r="Q3591">
        <v>0.10042894208101701</v>
      </c>
      <c r="R3591">
        <v>0.99497552485898799</v>
      </c>
      <c r="S3591" t="s">
        <v>7423</v>
      </c>
      <c r="T3591" t="s">
        <v>7662</v>
      </c>
      <c r="U3591" t="s">
        <v>7662</v>
      </c>
      <c r="V3591" t="s">
        <v>7662</v>
      </c>
      <c r="W3591">
        <v>11</v>
      </c>
      <c r="X3591" t="s">
        <v>11253</v>
      </c>
      <c r="Y3591">
        <v>0.45579641256621672</v>
      </c>
      <c r="Z3591" t="str">
        <f>HYPERLINK("Melting_Curves/meltCurve_tr_G3V4W0_G3V4W0_HUMAN_.pdf", "Melting_Curves/meltCurve_tr_G3V4W0_G3V4W0_HUMAN_.pdf")</f>
        <v>Melting_Curves/meltCurve_tr_G3V4W0_G3V4W0_HUMAN_.pdf</v>
      </c>
      <c r="AA3591" t="s">
        <v>15020</v>
      </c>
      <c r="AB3591" t="s">
        <v>18819</v>
      </c>
    </row>
    <row r="3592" spans="1:28" x14ac:dyDescent="0.25">
      <c r="A3592" t="s">
        <v>3596</v>
      </c>
      <c r="B3592">
        <v>0.98876768158843997</v>
      </c>
      <c r="C3592">
        <v>0.97875983348460005</v>
      </c>
      <c r="D3592">
        <v>0.90042908870263205</v>
      </c>
      <c r="E3592">
        <v>0.71271954203579801</v>
      </c>
      <c r="F3592">
        <v>0.70112650316557001</v>
      </c>
      <c r="G3592">
        <v>0.47239414286981501</v>
      </c>
      <c r="H3592">
        <v>0.32849156422638698</v>
      </c>
      <c r="I3592">
        <v>0.399031100890957</v>
      </c>
      <c r="J3592">
        <v>0.55948487467377295</v>
      </c>
      <c r="K3592">
        <v>0.55076727335537201</v>
      </c>
      <c r="L3592">
        <v>930.23135324066504</v>
      </c>
      <c r="M3592">
        <v>18.4828517174961</v>
      </c>
      <c r="N3592">
        <v>57.831003390295102</v>
      </c>
      <c r="O3592">
        <v>49.751368996011998</v>
      </c>
      <c r="P3592">
        <v>-5.0663563599926999E-2</v>
      </c>
      <c r="Q3592">
        <v>0.45452801774080298</v>
      </c>
      <c r="R3592">
        <v>0.88995789798465896</v>
      </c>
      <c r="S3592" t="s">
        <v>7424</v>
      </c>
      <c r="T3592" t="s">
        <v>7662</v>
      </c>
      <c r="U3592" t="s">
        <v>7662</v>
      </c>
      <c r="V3592" t="s">
        <v>7662</v>
      </c>
      <c r="W3592">
        <v>5</v>
      </c>
      <c r="X3592" t="s">
        <v>11254</v>
      </c>
      <c r="Y3592">
        <v>0.65115684701525078</v>
      </c>
      <c r="Z3592" t="str">
        <f>HYPERLINK("Melting_Curves/meltCurve_tr_G3V599_G3V599_HUMAN_.pdf", "Melting_Curves/meltCurve_tr_G3V599_G3V599_HUMAN_.pdf")</f>
        <v>Melting_Curves/meltCurve_tr_G3V599_G3V599_HUMAN_.pdf</v>
      </c>
      <c r="AA3592" t="s">
        <v>15022</v>
      </c>
      <c r="AB3592" t="s">
        <v>18820</v>
      </c>
    </row>
    <row r="3593" spans="1:28" x14ac:dyDescent="0.25">
      <c r="A3593" t="s">
        <v>3597</v>
      </c>
      <c r="B3593">
        <v>0.98876768158843997</v>
      </c>
      <c r="C3593">
        <v>1.08961452687079</v>
      </c>
      <c r="D3593">
        <v>0.86706603864423903</v>
      </c>
      <c r="E3593">
        <v>0.71133807175613895</v>
      </c>
      <c r="F3593">
        <v>0.32182179247964998</v>
      </c>
      <c r="G3593">
        <v>8.6792397164570795E-2</v>
      </c>
      <c r="H3593">
        <v>4.6750042474528901E-2</v>
      </c>
      <c r="I3593">
        <v>3.46952351063404E-2</v>
      </c>
      <c r="J3593">
        <v>3.6352168528611097E-2</v>
      </c>
      <c r="K3593">
        <v>3.1236501052516099E-2</v>
      </c>
      <c r="L3593">
        <v>1316.18978187224</v>
      </c>
      <c r="M3593">
        <v>25.608205989837501</v>
      </c>
      <c r="N3593">
        <v>51.509281873475103</v>
      </c>
      <c r="O3593">
        <v>51.086839609488798</v>
      </c>
      <c r="P3593">
        <v>-0.121922246443875</v>
      </c>
      <c r="Q3593">
        <v>2.7101599626330099E-2</v>
      </c>
      <c r="R3593">
        <v>0.98969902372422003</v>
      </c>
      <c r="S3593" t="s">
        <v>7425</v>
      </c>
      <c r="T3593" t="s">
        <v>7662</v>
      </c>
      <c r="U3593" t="s">
        <v>7662</v>
      </c>
      <c r="V3593" t="s">
        <v>7662</v>
      </c>
      <c r="W3593">
        <v>12</v>
      </c>
      <c r="X3593" t="s">
        <v>11255</v>
      </c>
      <c r="Y3593">
        <v>0.40513354232666537</v>
      </c>
      <c r="Z3593" t="str">
        <f>HYPERLINK("Melting_Curves/meltCurve_tr_G3V5T0_G3V5T0_HUMAN_.pdf", "Melting_Curves/meltCurve_tr_G3V5T0_G3V5T0_HUMAN_.pdf")</f>
        <v>Melting_Curves/meltCurve_tr_G3V5T0_G3V5T0_HUMAN_.pdf</v>
      </c>
      <c r="AA3593" t="s">
        <v>11646</v>
      </c>
      <c r="AB3593" t="s">
        <v>15397</v>
      </c>
    </row>
    <row r="3594" spans="1:28" x14ac:dyDescent="0.25">
      <c r="A3594" t="s">
        <v>3598</v>
      </c>
      <c r="B3594">
        <v>0.98876768158843997</v>
      </c>
      <c r="C3594">
        <v>0.96882161070412498</v>
      </c>
      <c r="D3594">
        <v>0.81729533552506295</v>
      </c>
      <c r="E3594">
        <v>0.54737672985864705</v>
      </c>
      <c r="F3594">
        <v>0.51375950413471505</v>
      </c>
      <c r="G3594">
        <v>0.32779784217155999</v>
      </c>
      <c r="H3594">
        <v>0.191796141166032</v>
      </c>
      <c r="I3594">
        <v>0.188429156703078</v>
      </c>
      <c r="J3594">
        <v>0.210914885176405</v>
      </c>
      <c r="K3594">
        <v>0.22633733156234501</v>
      </c>
      <c r="L3594">
        <v>704.43651298096802</v>
      </c>
      <c r="M3594">
        <v>14.006570080231601</v>
      </c>
      <c r="N3594">
        <v>51.9210180172633</v>
      </c>
      <c r="O3594">
        <v>49.301397532440397</v>
      </c>
      <c r="P3594">
        <v>-5.8412245428554901E-2</v>
      </c>
      <c r="Q3594">
        <v>0.17769305484402001</v>
      </c>
      <c r="R3594">
        <v>0.98503654274908903</v>
      </c>
      <c r="S3594" t="s">
        <v>7426</v>
      </c>
      <c r="T3594" t="s">
        <v>7662</v>
      </c>
      <c r="U3594" t="s">
        <v>7662</v>
      </c>
      <c r="V3594" t="s">
        <v>7662</v>
      </c>
      <c r="W3594">
        <v>2</v>
      </c>
      <c r="X3594" t="s">
        <v>11256</v>
      </c>
      <c r="Y3594">
        <v>0.48167226072343222</v>
      </c>
      <c r="Z3594" t="str">
        <f>HYPERLINK("Melting_Curves/meltCurve_tr_G3XAA0_G3XAA0_HUMAN_.pdf", "Melting_Curves/meltCurve_tr_G3XAA0_G3XAA0_HUMAN_.pdf")</f>
        <v>Melting_Curves/meltCurve_tr_G3XAA0_G3XAA0_HUMAN_.pdf</v>
      </c>
      <c r="AA3594" t="s">
        <v>15023</v>
      </c>
      <c r="AB3594" t="s">
        <v>18821</v>
      </c>
    </row>
    <row r="3595" spans="1:28" x14ac:dyDescent="0.25">
      <c r="A3595" t="s">
        <v>3599</v>
      </c>
      <c r="B3595">
        <v>0.98876768158843997</v>
      </c>
      <c r="C3595">
        <v>1.03922193312538</v>
      </c>
      <c r="D3595">
        <v>0.87917799947403996</v>
      </c>
      <c r="E3595">
        <v>0.65323994484091596</v>
      </c>
      <c r="F3595">
        <v>0.20950367567566999</v>
      </c>
      <c r="G3595">
        <v>0.125968625894811</v>
      </c>
      <c r="H3595">
        <v>7.5043506031617399E-2</v>
      </c>
      <c r="I3595">
        <v>7.4084996899512895E-2</v>
      </c>
      <c r="J3595">
        <v>8.3648169607067099E-2</v>
      </c>
      <c r="K3595">
        <v>6.3511798550216103E-2</v>
      </c>
      <c r="L3595">
        <v>1594.1874281882101</v>
      </c>
      <c r="M3595">
        <v>31.5308658231735</v>
      </c>
      <c r="N3595">
        <v>50.816933898529598</v>
      </c>
      <c r="O3595">
        <v>50.357518454216098</v>
      </c>
      <c r="P3595">
        <v>-0.144984837092965</v>
      </c>
      <c r="Q3595">
        <v>7.3791693642611803E-2</v>
      </c>
      <c r="R3595">
        <v>0.99215720745501901</v>
      </c>
      <c r="S3595" t="s">
        <v>7427</v>
      </c>
      <c r="T3595" t="s">
        <v>7662</v>
      </c>
      <c r="U3595" t="s">
        <v>7662</v>
      </c>
      <c r="V3595" t="s">
        <v>7662</v>
      </c>
      <c r="W3595">
        <v>4</v>
      </c>
      <c r="X3595" t="s">
        <v>11257</v>
      </c>
      <c r="Y3595">
        <v>0.40503436083196748</v>
      </c>
      <c r="Z3595" t="str">
        <f>HYPERLINK("Melting_Curves/meltCurve_tr_G3XAH6_G3XAH6_HUMAN_.pdf", "Melting_Curves/meltCurve_tr_G3XAH6_G3XAH6_HUMAN_.pdf")</f>
        <v>Melting_Curves/meltCurve_tr_G3XAH6_G3XAH6_HUMAN_.pdf</v>
      </c>
      <c r="AA3595" t="s">
        <v>15024</v>
      </c>
      <c r="AB3595" t="s">
        <v>18822</v>
      </c>
    </row>
    <row r="3596" spans="1:28" x14ac:dyDescent="0.25">
      <c r="A3596" t="s">
        <v>3600</v>
      </c>
      <c r="B3596">
        <v>0.98876768158843997</v>
      </c>
      <c r="C3596">
        <v>0.96527851750995397</v>
      </c>
      <c r="D3596">
        <v>0.87039098392388603</v>
      </c>
      <c r="E3596">
        <v>0.66724484460870603</v>
      </c>
      <c r="F3596">
        <v>0.63869252499390805</v>
      </c>
      <c r="G3596">
        <v>0.46457197357985602</v>
      </c>
      <c r="H3596">
        <v>0.37622080867961899</v>
      </c>
      <c r="I3596">
        <v>0.42023170479829303</v>
      </c>
      <c r="J3596">
        <v>0.53467789485583805</v>
      </c>
      <c r="K3596">
        <v>0.59201852703338997</v>
      </c>
      <c r="L3596">
        <v>935.91956468659498</v>
      </c>
      <c r="M3596">
        <v>19.1535002212058</v>
      </c>
      <c r="N3596">
        <v>58.1490917406771</v>
      </c>
      <c r="O3596">
        <v>48.340863895368699</v>
      </c>
      <c r="P3596">
        <v>-5.1855308086237999E-2</v>
      </c>
      <c r="Q3596">
        <v>0.47651702248454503</v>
      </c>
      <c r="R3596">
        <v>0.91191174354526805</v>
      </c>
      <c r="S3596" t="s">
        <v>7428</v>
      </c>
      <c r="T3596" t="s">
        <v>7662</v>
      </c>
      <c r="U3596" t="s">
        <v>7662</v>
      </c>
      <c r="V3596" t="s">
        <v>7662</v>
      </c>
      <c r="W3596">
        <v>7</v>
      </c>
      <c r="X3596" t="s">
        <v>11258</v>
      </c>
      <c r="Y3596">
        <v>0.63921073596069489</v>
      </c>
      <c r="Z3596" t="str">
        <f>HYPERLINK("Melting_Curves/meltCurve_tr_G3XAM2_G3XAM2_HUMAN_.pdf", "Melting_Curves/meltCurve_tr_G3XAM2_G3XAM2_HUMAN_.pdf")</f>
        <v>Melting_Curves/meltCurve_tr_G3XAM2_G3XAM2_HUMAN_.pdf</v>
      </c>
      <c r="AA3596" t="s">
        <v>15025</v>
      </c>
      <c r="AB3596" t="s">
        <v>18823</v>
      </c>
    </row>
    <row r="3597" spans="1:28" x14ac:dyDescent="0.25">
      <c r="A3597" t="s">
        <v>3601</v>
      </c>
      <c r="B3597">
        <v>0.98876768158843997</v>
      </c>
      <c r="C3597">
        <v>0.84114063427666097</v>
      </c>
      <c r="D3597">
        <v>0.78920569520851402</v>
      </c>
      <c r="E3597">
        <v>0.27937309281707001</v>
      </c>
      <c r="F3597">
        <v>0.15102606991297901</v>
      </c>
      <c r="G3597">
        <v>6.0247888779488099E-2</v>
      </c>
      <c r="H3597">
        <v>5.3664533210618599E-2</v>
      </c>
      <c r="I3597">
        <v>5.57265559073866E-2</v>
      </c>
      <c r="J3597">
        <v>8.7427451223234906E-2</v>
      </c>
      <c r="K3597">
        <v>4.2395343854628502E-2</v>
      </c>
      <c r="L3597">
        <v>1110.3939221754999</v>
      </c>
      <c r="M3597">
        <v>23.200911108959701</v>
      </c>
      <c r="N3597">
        <v>48.089431114505899</v>
      </c>
      <c r="O3597">
        <v>47.508621082671901</v>
      </c>
      <c r="P3597">
        <v>-0.115692067652426</v>
      </c>
      <c r="Q3597">
        <v>5.2404248539995299E-2</v>
      </c>
      <c r="R3597">
        <v>0.98839209839704201</v>
      </c>
      <c r="S3597" t="s">
        <v>7429</v>
      </c>
      <c r="T3597" t="s">
        <v>7662</v>
      </c>
      <c r="U3597" t="s">
        <v>7662</v>
      </c>
      <c r="V3597" t="s">
        <v>7662</v>
      </c>
      <c r="W3597">
        <v>1</v>
      </c>
      <c r="X3597" t="s">
        <v>11259</v>
      </c>
      <c r="Y3597">
        <v>0.3105022780880215</v>
      </c>
      <c r="Z3597" t="str">
        <f>HYPERLINK("Melting_Curves/meltCurve_tr_G5E9W7_G5E9W7_HUMAN_.pdf", "Melting_Curves/meltCurve_tr_G5E9W7_G5E9W7_HUMAN_.pdf")</f>
        <v>Melting_Curves/meltCurve_tr_G5E9W7_G5E9W7_HUMAN_.pdf</v>
      </c>
      <c r="AA3597" t="s">
        <v>15026</v>
      </c>
      <c r="AB3597" t="s">
        <v>18824</v>
      </c>
    </row>
    <row r="3598" spans="1:28" x14ac:dyDescent="0.25">
      <c r="A3598" t="s">
        <v>3602</v>
      </c>
      <c r="B3598">
        <v>0.98876768158843997</v>
      </c>
      <c r="C3598">
        <v>1.0092699802167799</v>
      </c>
      <c r="D3598">
        <v>0.83026964874069897</v>
      </c>
      <c r="E3598">
        <v>0.59969087553393097</v>
      </c>
      <c r="F3598">
        <v>0.40793998293964201</v>
      </c>
      <c r="G3598">
        <v>0.22691897309169501</v>
      </c>
      <c r="H3598">
        <v>0.16236621243666299</v>
      </c>
      <c r="I3598">
        <v>0.157148691713281</v>
      </c>
      <c r="J3598">
        <v>0.26108069043090099</v>
      </c>
      <c r="K3598">
        <v>0.24113343057509901</v>
      </c>
      <c r="L3598">
        <v>988.91303004557005</v>
      </c>
      <c r="M3598">
        <v>19.8326098021431</v>
      </c>
      <c r="N3598">
        <v>51.131134394981203</v>
      </c>
      <c r="O3598">
        <v>49.364342135808201</v>
      </c>
      <c r="P3598">
        <v>-8.0930769174793193E-2</v>
      </c>
      <c r="Q3598">
        <v>0.19426466783414101</v>
      </c>
      <c r="R3598">
        <v>0.98505621253765296</v>
      </c>
      <c r="S3598" t="s">
        <v>7430</v>
      </c>
      <c r="T3598" t="s">
        <v>7662</v>
      </c>
      <c r="U3598" t="s">
        <v>7662</v>
      </c>
      <c r="V3598" t="s">
        <v>7662</v>
      </c>
      <c r="W3598">
        <v>1</v>
      </c>
      <c r="X3598" t="s">
        <v>11260</v>
      </c>
      <c r="Y3598">
        <v>0.47057262964002999</v>
      </c>
      <c r="Z3598" t="str">
        <f>HYPERLINK("Melting_Curves/meltCurve_tr_G5E9X3_G5E9X3_HUMAN_.pdf", "Melting_Curves/meltCurve_tr_G5E9X3_G5E9X3_HUMAN_.pdf")</f>
        <v>Melting_Curves/meltCurve_tr_G5E9X3_G5E9X3_HUMAN_.pdf</v>
      </c>
      <c r="AA3598" t="s">
        <v>15027</v>
      </c>
      <c r="AB3598" t="s">
        <v>18825</v>
      </c>
    </row>
    <row r="3599" spans="1:28" x14ac:dyDescent="0.25">
      <c r="A3599" t="s">
        <v>3603</v>
      </c>
      <c r="B3599">
        <v>0.98876768158843997</v>
      </c>
      <c r="C3599">
        <v>1.09754076939687</v>
      </c>
      <c r="D3599">
        <v>0.87556826816500899</v>
      </c>
      <c r="E3599">
        <v>0.75467670945221899</v>
      </c>
      <c r="F3599">
        <v>0.64818810476904198</v>
      </c>
      <c r="G3599">
        <v>0.58767759350597804</v>
      </c>
      <c r="H3599">
        <v>0.29199104728467401</v>
      </c>
      <c r="I3599">
        <v>0.16444574779017401</v>
      </c>
      <c r="J3599">
        <v>0.14376406956666299</v>
      </c>
      <c r="K3599">
        <v>0.17126549259506799</v>
      </c>
      <c r="L3599">
        <v>608.82394398711301</v>
      </c>
      <c r="M3599">
        <v>10.7792415333856</v>
      </c>
      <c r="N3599">
        <v>56.5892885877699</v>
      </c>
      <c r="O3599">
        <v>54.6414161169346</v>
      </c>
      <c r="P3599">
        <v>-4.88331634838872E-2</v>
      </c>
      <c r="Q3599">
        <v>1.01937106592955E-2</v>
      </c>
      <c r="R3599">
        <v>0.96497575539268499</v>
      </c>
      <c r="S3599" t="s">
        <v>7431</v>
      </c>
      <c r="T3599" t="s">
        <v>7662</v>
      </c>
      <c r="U3599" t="s">
        <v>7662</v>
      </c>
      <c r="V3599" t="s">
        <v>7662</v>
      </c>
      <c r="W3599">
        <v>2</v>
      </c>
      <c r="X3599" t="s">
        <v>11261</v>
      </c>
      <c r="Y3599">
        <v>0.5726488315131486</v>
      </c>
      <c r="Z3599" t="str">
        <f>HYPERLINK("Melting_Curves/meltCurve_tr_G5EA37_G5EA37_HUMAN_.pdf", "Melting_Curves/meltCurve_tr_G5EA37_G5EA37_HUMAN_.pdf")</f>
        <v>Melting_Curves/meltCurve_tr_G5EA37_G5EA37_HUMAN_.pdf</v>
      </c>
      <c r="AA3599" t="s">
        <v>15028</v>
      </c>
      <c r="AB3599" t="s">
        <v>18826</v>
      </c>
    </row>
    <row r="3600" spans="1:28" x14ac:dyDescent="0.25">
      <c r="A3600" t="s">
        <v>3604</v>
      </c>
      <c r="B3600">
        <v>0.98876768158843997</v>
      </c>
      <c r="C3600">
        <v>1.05331998551044</v>
      </c>
      <c r="D3600">
        <v>0.88049080693270998</v>
      </c>
      <c r="E3600">
        <v>0.75230710610449103</v>
      </c>
      <c r="F3600">
        <v>0.55140726001628404</v>
      </c>
      <c r="G3600">
        <v>0.16952022532456801</v>
      </c>
      <c r="H3600">
        <v>6.7524049828227906E-2</v>
      </c>
      <c r="I3600">
        <v>5.8671751464023501E-2</v>
      </c>
      <c r="J3600">
        <v>6.3663127757635093E-2</v>
      </c>
      <c r="K3600">
        <v>6.3279248887263606E-2</v>
      </c>
      <c r="L3600">
        <v>1077.81269987476</v>
      </c>
      <c r="M3600">
        <v>20.406800189666299</v>
      </c>
      <c r="N3600">
        <v>52.999819861904598</v>
      </c>
      <c r="O3600">
        <v>52.317008574494203</v>
      </c>
      <c r="P3600">
        <v>-9.4192097723764606E-2</v>
      </c>
      <c r="Q3600">
        <v>3.4106158167795303E-2</v>
      </c>
      <c r="R3600">
        <v>0.99039185944225305</v>
      </c>
      <c r="S3600" t="s">
        <v>7432</v>
      </c>
      <c r="T3600" t="s">
        <v>7662</v>
      </c>
      <c r="U3600" t="s">
        <v>7662</v>
      </c>
      <c r="V3600" t="s">
        <v>7662</v>
      </c>
      <c r="W3600">
        <v>35</v>
      </c>
      <c r="X3600" t="s">
        <v>11262</v>
      </c>
      <c r="Y3600">
        <v>0.45959569349043522</v>
      </c>
      <c r="Z3600" t="str">
        <f>HYPERLINK("Melting_Curves/meltCurve_tr_G5EA52_G5EA52_HUMAN_.pdf", "Melting_Curves/meltCurve_tr_G5EA52_G5EA52_HUMAN_.pdf")</f>
        <v>Melting_Curves/meltCurve_tr_G5EA52_G5EA52_HUMAN_.pdf</v>
      </c>
      <c r="AA3600" t="s">
        <v>15029</v>
      </c>
      <c r="AB3600" t="s">
        <v>18827</v>
      </c>
    </row>
    <row r="3601" spans="1:28" x14ac:dyDescent="0.25">
      <c r="A3601" t="s">
        <v>3605</v>
      </c>
      <c r="B3601">
        <v>0.98876768158843997</v>
      </c>
      <c r="C3601">
        <v>1.0851207641985701</v>
      </c>
      <c r="D3601">
        <v>0.86074932199585796</v>
      </c>
      <c r="E3601">
        <v>0.66027862042983299</v>
      </c>
      <c r="F3601">
        <v>0.62585813002662105</v>
      </c>
      <c r="G3601">
        <v>0.423674107246647</v>
      </c>
      <c r="H3601">
        <v>0.32158180159510302</v>
      </c>
      <c r="I3601">
        <v>0.38392935773515802</v>
      </c>
      <c r="J3601">
        <v>0.44278524636383898</v>
      </c>
      <c r="K3601">
        <v>0.55196890330288995</v>
      </c>
      <c r="L3601">
        <v>1027.5108150465701</v>
      </c>
      <c r="M3601">
        <v>20.716696148475901</v>
      </c>
      <c r="N3601">
        <v>54.539125658492999</v>
      </c>
      <c r="O3601">
        <v>49.1429802637427</v>
      </c>
      <c r="P3601">
        <v>-6.0763059864739899E-2</v>
      </c>
      <c r="Q3601">
        <v>0.42346131921213198</v>
      </c>
      <c r="R3601">
        <v>0.91484858554044102</v>
      </c>
      <c r="S3601" t="s">
        <v>7433</v>
      </c>
      <c r="T3601" t="s">
        <v>7662</v>
      </c>
      <c r="U3601" t="s">
        <v>7662</v>
      </c>
      <c r="V3601" t="s">
        <v>7662</v>
      </c>
      <c r="W3601">
        <v>38</v>
      </c>
      <c r="X3601" t="s">
        <v>11263</v>
      </c>
      <c r="Y3601">
        <v>0.61541624509103132</v>
      </c>
      <c r="Z3601" t="str">
        <f>HYPERLINK("Melting_Curves/meltCurve_tr_G8JL86_G8JL86_HUMAN_.pdf", "Melting_Curves/meltCurve_tr_G8JL86_G8JL86_HUMAN_.pdf")</f>
        <v>Melting_Curves/meltCurve_tr_G8JL86_G8JL86_HUMAN_.pdf</v>
      </c>
      <c r="AA3601" t="s">
        <v>15030</v>
      </c>
      <c r="AB3601" t="s">
        <v>18828</v>
      </c>
    </row>
    <row r="3602" spans="1:28" x14ac:dyDescent="0.25">
      <c r="A3602" t="s">
        <v>3606</v>
      </c>
      <c r="B3602">
        <v>0.98876768158843997</v>
      </c>
      <c r="C3602">
        <v>0.92841332852806902</v>
      </c>
      <c r="D3602">
        <v>0.84199757192389502</v>
      </c>
      <c r="E3602">
        <v>0.43860037116496098</v>
      </c>
      <c r="F3602">
        <v>0.19804277216489399</v>
      </c>
      <c r="G3602">
        <v>0.122758555409073</v>
      </c>
      <c r="H3602">
        <v>7.3829082925551098E-2</v>
      </c>
      <c r="I3602">
        <v>6.7520657570123099E-2</v>
      </c>
      <c r="J3602">
        <v>8.8816535969667806E-2</v>
      </c>
      <c r="K3602">
        <v>7.5873984340161807E-2</v>
      </c>
      <c r="L3602">
        <v>1119.3459787194599</v>
      </c>
      <c r="M3602">
        <v>22.839250418176398</v>
      </c>
      <c r="N3602">
        <v>49.350778081265098</v>
      </c>
      <c r="O3602">
        <v>48.638652603041699</v>
      </c>
      <c r="P3602">
        <v>-0.108824867286327</v>
      </c>
      <c r="Q3602">
        <v>7.3000320267646704E-2</v>
      </c>
      <c r="R3602">
        <v>0.99823747743883795</v>
      </c>
      <c r="S3602" t="s">
        <v>7434</v>
      </c>
      <c r="T3602" t="s">
        <v>7662</v>
      </c>
      <c r="U3602" t="s">
        <v>7662</v>
      </c>
      <c r="V3602" t="s">
        <v>7662</v>
      </c>
      <c r="W3602">
        <v>8</v>
      </c>
      <c r="X3602" t="s">
        <v>11264</v>
      </c>
      <c r="Y3602">
        <v>0.36129701350980831</v>
      </c>
      <c r="Z3602" t="str">
        <f>HYPERLINK("Melting_Curves/meltCurve_tr_G8JLB3_G8JLB3_HUMAN_.pdf", "Melting_Curves/meltCurve_tr_G8JLB3_G8JLB3_HUMAN_.pdf")</f>
        <v>Melting_Curves/meltCurve_tr_G8JLB3_G8JLB3_HUMAN_.pdf</v>
      </c>
      <c r="AA3602" t="s">
        <v>15031</v>
      </c>
      <c r="AB3602" t="s">
        <v>18829</v>
      </c>
    </row>
    <row r="3603" spans="1:28" x14ac:dyDescent="0.25">
      <c r="A3603" t="s">
        <v>3607</v>
      </c>
      <c r="B3603">
        <v>0.98876768158843997</v>
      </c>
      <c r="C3603">
        <v>1.1017051549894299</v>
      </c>
      <c r="D3603">
        <v>0.86481036399617395</v>
      </c>
      <c r="E3603">
        <v>0.742618770470448</v>
      </c>
      <c r="F3603">
        <v>0.77885951776338502</v>
      </c>
      <c r="G3603">
        <v>0.53186503421008902</v>
      </c>
      <c r="H3603">
        <v>0.39546285810036302</v>
      </c>
      <c r="I3603">
        <v>0.450820952016596</v>
      </c>
      <c r="J3603">
        <v>0.54118082595629402</v>
      </c>
      <c r="K3603">
        <v>0.64835679017890901</v>
      </c>
      <c r="L3603">
        <v>919.04430464198799</v>
      </c>
      <c r="M3603">
        <v>18.090837178192501</v>
      </c>
      <c r="O3603">
        <v>50.193090038394502</v>
      </c>
      <c r="P3603">
        <v>-4.4573282987641502E-2</v>
      </c>
      <c r="Q3603">
        <v>0.50534886285385205</v>
      </c>
      <c r="R3603">
        <v>0.84126372214579503</v>
      </c>
      <c r="S3603" t="s">
        <v>7435</v>
      </c>
      <c r="T3603" t="s">
        <v>7662</v>
      </c>
      <c r="U3603" t="s">
        <v>7662</v>
      </c>
      <c r="V3603" t="s">
        <v>7662</v>
      </c>
      <c r="W3603">
        <v>12</v>
      </c>
      <c r="X3603" t="s">
        <v>11265</v>
      </c>
      <c r="Y3603">
        <v>0.69172786985869117</v>
      </c>
      <c r="Z3603" t="str">
        <f>HYPERLINK("Melting_Curves/meltCurve_tr_G8JLC6_G8JLC6_HUMAN_.pdf", "Melting_Curves/meltCurve_tr_G8JLC6_G8JLC6_HUMAN_.pdf")</f>
        <v>Melting_Curves/meltCurve_tr_G8JLC6_G8JLC6_HUMAN_.pdf</v>
      </c>
      <c r="AA3603" t="s">
        <v>15032</v>
      </c>
      <c r="AB3603" t="s">
        <v>18830</v>
      </c>
    </row>
    <row r="3604" spans="1:28" x14ac:dyDescent="0.25">
      <c r="A3604" t="s">
        <v>3608</v>
      </c>
      <c r="B3604">
        <v>0.98876768158843997</v>
      </c>
      <c r="C3604">
        <v>1.00134516998559</v>
      </c>
      <c r="D3604">
        <v>1.0230083465019999</v>
      </c>
      <c r="E3604">
        <v>0.79346187939913504</v>
      </c>
      <c r="F3604">
        <v>0.61687323459646004</v>
      </c>
      <c r="G3604">
        <v>0.41957281347952202</v>
      </c>
      <c r="H3604">
        <v>0.38679769048543999</v>
      </c>
      <c r="I3604">
        <v>0.45668314138307797</v>
      </c>
      <c r="J3604">
        <v>0.62701783855513404</v>
      </c>
      <c r="K3604">
        <v>0.49269243915417799</v>
      </c>
      <c r="L3604">
        <v>1764.7232528076199</v>
      </c>
      <c r="M3604">
        <v>34.705993929973303</v>
      </c>
      <c r="N3604">
        <v>55.924791698823597</v>
      </c>
      <c r="O3604">
        <v>50.6798710580061</v>
      </c>
      <c r="P3604">
        <v>-8.9266985498871104E-2</v>
      </c>
      <c r="Q3604">
        <v>0.47858894206104202</v>
      </c>
      <c r="R3604">
        <v>0.93108436151292195</v>
      </c>
      <c r="S3604" t="s">
        <v>7436</v>
      </c>
      <c r="T3604" t="s">
        <v>7662</v>
      </c>
      <c r="U3604" t="s">
        <v>7662</v>
      </c>
      <c r="V3604" t="s">
        <v>7662</v>
      </c>
      <c r="W3604">
        <v>10</v>
      </c>
      <c r="X3604" t="s">
        <v>11266</v>
      </c>
      <c r="Y3604">
        <v>0.66956712844900934</v>
      </c>
      <c r="Z3604" t="str">
        <f>HYPERLINK("Melting_Curves/meltCurve_tr_H0Y300_H0Y300_HUMAN_.pdf", "Melting_Curves/meltCurve_tr_H0Y300_H0Y300_HUMAN_.pdf")</f>
        <v>Melting_Curves/meltCurve_tr_H0Y300_H0Y300_HUMAN_.pdf</v>
      </c>
      <c r="AA3604" t="s">
        <v>11870</v>
      </c>
      <c r="AB3604" t="s">
        <v>15623</v>
      </c>
    </row>
    <row r="3605" spans="1:28" x14ac:dyDescent="0.25">
      <c r="A3605" t="s">
        <v>3609</v>
      </c>
      <c r="B3605">
        <v>0.98876768158843997</v>
      </c>
      <c r="C3605">
        <v>0.90614896390855804</v>
      </c>
      <c r="D3605">
        <v>0.95640806389000699</v>
      </c>
      <c r="E3605">
        <v>0.77729310049324296</v>
      </c>
      <c r="F3605">
        <v>0.51863575867210898</v>
      </c>
      <c r="G3605">
        <v>0.24162593917345601</v>
      </c>
      <c r="H3605">
        <v>0.15557481219977501</v>
      </c>
      <c r="I3605">
        <v>0.18983958688393099</v>
      </c>
      <c r="J3605">
        <v>0.172733224967202</v>
      </c>
      <c r="K3605">
        <v>0.139097756829615</v>
      </c>
      <c r="L3605">
        <v>1193.4980180068601</v>
      </c>
      <c r="M3605">
        <v>22.842633149527899</v>
      </c>
      <c r="N3605">
        <v>53.072395945207901</v>
      </c>
      <c r="O3605">
        <v>51.853212291282503</v>
      </c>
      <c r="P3605">
        <v>-9.3696486634624196E-2</v>
      </c>
      <c r="Q3605">
        <v>0.14924513894397601</v>
      </c>
      <c r="R3605">
        <v>0.99151249426088695</v>
      </c>
      <c r="S3605" t="s">
        <v>7437</v>
      </c>
      <c r="T3605" t="s">
        <v>7662</v>
      </c>
      <c r="U3605" t="s">
        <v>7662</v>
      </c>
      <c r="V3605" t="s">
        <v>7662</v>
      </c>
      <c r="W3605">
        <v>2</v>
      </c>
      <c r="X3605" t="s">
        <v>11267</v>
      </c>
      <c r="Y3605">
        <v>0.50583295624746438</v>
      </c>
      <c r="Z3605" t="str">
        <f>HYPERLINK("Melting_Curves/meltCurve_tr_H0Y3A0_H0Y3A0_HUMAN_.pdf", "Melting_Curves/meltCurve_tr_H0Y3A0_H0Y3A0_HUMAN_.pdf")</f>
        <v>Melting_Curves/meltCurve_tr_H0Y3A0_H0Y3A0_HUMAN_.pdf</v>
      </c>
      <c r="AA3605" t="s">
        <v>15033</v>
      </c>
      <c r="AB3605" t="s">
        <v>18831</v>
      </c>
    </row>
    <row r="3606" spans="1:28" x14ac:dyDescent="0.25">
      <c r="A3606" t="s">
        <v>3610</v>
      </c>
      <c r="B3606">
        <v>0.98876768158843997</v>
      </c>
      <c r="C3606">
        <v>1.01745733393878</v>
      </c>
      <c r="D3606">
        <v>0.82982768241342297</v>
      </c>
      <c r="E3606">
        <v>0.56381969523523401</v>
      </c>
      <c r="F3606">
        <v>0.34013012363584499</v>
      </c>
      <c r="G3606">
        <v>0.14816981756658301</v>
      </c>
      <c r="H3606">
        <v>0.133528361354319</v>
      </c>
      <c r="I3606">
        <v>9.7589200976122101E-2</v>
      </c>
      <c r="J3606">
        <v>0.23778896554359999</v>
      </c>
      <c r="K3606">
        <v>9.8047009120064699E-2</v>
      </c>
      <c r="L3606">
        <v>1032.4869622359599</v>
      </c>
      <c r="M3606">
        <v>20.7145938208748</v>
      </c>
      <c r="N3606">
        <v>50.563100244382099</v>
      </c>
      <c r="O3606">
        <v>49.385895702310599</v>
      </c>
      <c r="P3606">
        <v>-9.1476236472349898E-2</v>
      </c>
      <c r="Q3606">
        <v>0.12766636697759701</v>
      </c>
      <c r="R3606">
        <v>0.98444744801432904</v>
      </c>
      <c r="S3606" t="s">
        <v>7438</v>
      </c>
      <c r="T3606" t="s">
        <v>7662</v>
      </c>
      <c r="U3606" t="s">
        <v>7662</v>
      </c>
      <c r="V3606" t="s">
        <v>7662</v>
      </c>
      <c r="W3606">
        <v>1</v>
      </c>
      <c r="X3606" t="s">
        <v>11268</v>
      </c>
      <c r="Y3606">
        <v>0.42523221510926401</v>
      </c>
      <c r="Z3606" t="str">
        <f>HYPERLINK("Melting_Curves/meltCurve_tr_H0Y3G1_H0Y3G1_HUMAN_.pdf", "Melting_Curves/meltCurve_tr_H0Y3G1_H0Y3G1_HUMAN_.pdf")</f>
        <v>Melting_Curves/meltCurve_tr_H0Y3G1_H0Y3G1_HUMAN_.pdf</v>
      </c>
      <c r="AA3606" t="s">
        <v>15034</v>
      </c>
      <c r="AB3606" t="s">
        <v>18832</v>
      </c>
    </row>
    <row r="3607" spans="1:28" x14ac:dyDescent="0.25">
      <c r="A3607" t="s">
        <v>3611</v>
      </c>
      <c r="B3607">
        <v>0.98876768158843997</v>
      </c>
      <c r="C3607">
        <v>1.0429838424620901</v>
      </c>
      <c r="D3607">
        <v>0.871750761818056</v>
      </c>
      <c r="E3607">
        <v>0.65410050361910999</v>
      </c>
      <c r="F3607">
        <v>0.55546135234883698</v>
      </c>
      <c r="G3607">
        <v>0.30295667731613601</v>
      </c>
      <c r="H3607">
        <v>0.22500131778722601</v>
      </c>
      <c r="I3607">
        <v>0.238393354393617</v>
      </c>
      <c r="J3607">
        <v>0.30158161316892201</v>
      </c>
      <c r="K3607">
        <v>0.33885014212916698</v>
      </c>
      <c r="L3607">
        <v>970.69219995578499</v>
      </c>
      <c r="M3607">
        <v>19.151846987623301</v>
      </c>
      <c r="N3607">
        <v>52.746080402167301</v>
      </c>
      <c r="O3607">
        <v>50.141114108444697</v>
      </c>
      <c r="P3607">
        <v>-7.0329304357782202E-2</v>
      </c>
      <c r="Q3607">
        <v>0.26351678540183798</v>
      </c>
      <c r="R3607">
        <v>0.97323390915098296</v>
      </c>
      <c r="S3607" t="s">
        <v>7439</v>
      </c>
      <c r="T3607" t="s">
        <v>7662</v>
      </c>
      <c r="U3607" t="s">
        <v>7662</v>
      </c>
      <c r="V3607" t="s">
        <v>7662</v>
      </c>
      <c r="W3607">
        <v>8</v>
      </c>
      <c r="X3607" t="s">
        <v>11269</v>
      </c>
      <c r="Y3607">
        <v>0.53690523960260284</v>
      </c>
      <c r="Z3607" t="str">
        <f>HYPERLINK("Melting_Curves/meltCurve_tr_H0Y3P2_H0Y3P2_HUMAN_.pdf", "Melting_Curves/meltCurve_tr_H0Y3P2_H0Y3P2_HUMAN_.pdf")</f>
        <v>Melting_Curves/meltCurve_tr_H0Y3P2_H0Y3P2_HUMAN_.pdf</v>
      </c>
      <c r="AA3607" t="s">
        <v>15035</v>
      </c>
      <c r="AB3607" t="s">
        <v>18833</v>
      </c>
    </row>
    <row r="3608" spans="1:28" x14ac:dyDescent="0.25">
      <c r="A3608" t="s">
        <v>3612</v>
      </c>
      <c r="B3608">
        <v>0.98876768158843997</v>
      </c>
      <c r="C3608">
        <v>0.88681066443233303</v>
      </c>
      <c r="D3608">
        <v>0.84715178992319895</v>
      </c>
      <c r="E3608">
        <v>0.43886033051227002</v>
      </c>
      <c r="F3608">
        <v>0.232357927809105</v>
      </c>
      <c r="G3608">
        <v>0.12467767053519301</v>
      </c>
      <c r="H3608">
        <v>8.6464741532082501E-2</v>
      </c>
      <c r="I3608">
        <v>6.9979350071125795E-2</v>
      </c>
      <c r="J3608">
        <v>7.2937563685780193E-2</v>
      </c>
      <c r="K3608">
        <v>7.4976279599939494E-2</v>
      </c>
      <c r="L3608">
        <v>999.97412501698204</v>
      </c>
      <c r="M3608">
        <v>20.3725298097518</v>
      </c>
      <c r="N3608">
        <v>49.4393307476454</v>
      </c>
      <c r="O3608">
        <v>48.618844986955899</v>
      </c>
      <c r="P3608">
        <v>-9.7633189108967497E-2</v>
      </c>
      <c r="Q3608">
        <v>6.8025682325311296E-2</v>
      </c>
      <c r="R3608">
        <v>0.99546015035428403</v>
      </c>
      <c r="S3608" t="s">
        <v>7440</v>
      </c>
      <c r="T3608" t="s">
        <v>7662</v>
      </c>
      <c r="U3608" t="s">
        <v>7662</v>
      </c>
      <c r="V3608" t="s">
        <v>7662</v>
      </c>
      <c r="W3608">
        <v>14</v>
      </c>
      <c r="X3608" t="s">
        <v>11270</v>
      </c>
      <c r="Y3608">
        <v>0.36280665700578818</v>
      </c>
      <c r="Z3608" t="str">
        <f>HYPERLINK("Melting_Curves/meltCurve_tr_H0Y4R1_H0Y4R1_HUMAN_.pdf", "Melting_Curves/meltCurve_tr_H0Y4R1_H0Y4R1_HUMAN_.pdf")</f>
        <v>Melting_Curves/meltCurve_tr_H0Y4R1_H0Y4R1_HUMAN_.pdf</v>
      </c>
      <c r="AA3608" t="s">
        <v>15036</v>
      </c>
      <c r="AB3608" t="s">
        <v>18834</v>
      </c>
    </row>
    <row r="3609" spans="1:28" x14ac:dyDescent="0.25">
      <c r="A3609" t="s">
        <v>3613</v>
      </c>
      <c r="B3609">
        <v>0.98876768158843997</v>
      </c>
      <c r="C3609">
        <v>0.77724990173186004</v>
      </c>
      <c r="D3609">
        <v>0.83693375216482402</v>
      </c>
      <c r="E3609">
        <v>0.77399945857483399</v>
      </c>
      <c r="F3609">
        <v>0.33519518123032999</v>
      </c>
      <c r="G3609">
        <v>0.41842050076484499</v>
      </c>
      <c r="H3609">
        <v>0.31149033405848098</v>
      </c>
      <c r="I3609">
        <v>0.37668589831034899</v>
      </c>
      <c r="J3609">
        <v>0.25198261567367303</v>
      </c>
      <c r="K3609">
        <v>0.104901527272815</v>
      </c>
      <c r="L3609">
        <v>443.41960557433401</v>
      </c>
      <c r="M3609">
        <v>8.4814857273737498</v>
      </c>
      <c r="N3609">
        <v>53.785560247650203</v>
      </c>
      <c r="O3609">
        <v>49.617382612758099</v>
      </c>
      <c r="P3609">
        <v>-3.8255900743667602E-2</v>
      </c>
      <c r="Q3609">
        <v>0.105611986746837</v>
      </c>
      <c r="R3609">
        <v>0.88330945689416696</v>
      </c>
      <c r="S3609" t="s">
        <v>7441</v>
      </c>
      <c r="T3609" t="s">
        <v>7662</v>
      </c>
      <c r="U3609" t="s">
        <v>7662</v>
      </c>
      <c r="V3609" t="s">
        <v>7662</v>
      </c>
      <c r="W3609">
        <v>2</v>
      </c>
      <c r="X3609" t="s">
        <v>11271</v>
      </c>
      <c r="Y3609">
        <v>0.51035350436383375</v>
      </c>
      <c r="Z3609" t="str">
        <f>HYPERLINK("Melting_Curves/meltCurve_tr_H0Y5G7_H0Y5G7_HUMAN_.pdf", "Melting_Curves/meltCurve_tr_H0Y5G7_H0Y5G7_HUMAN_.pdf")</f>
        <v>Melting_Curves/meltCurve_tr_H0Y5G7_H0Y5G7_HUMAN_.pdf</v>
      </c>
      <c r="AA3609" t="s">
        <v>15037</v>
      </c>
      <c r="AB3609" t="s">
        <v>18835</v>
      </c>
    </row>
    <row r="3610" spans="1:28" x14ac:dyDescent="0.25">
      <c r="A3610" t="s">
        <v>3614</v>
      </c>
      <c r="B3610">
        <v>0.98876768158843997</v>
      </c>
      <c r="C3610">
        <v>1.11071838490273</v>
      </c>
      <c r="D3610">
        <v>1.11442695307526</v>
      </c>
      <c r="E3610">
        <v>1.1063255485502499</v>
      </c>
      <c r="F3610">
        <v>0.37740973915973403</v>
      </c>
      <c r="G3610">
        <v>0.297672827499255</v>
      </c>
      <c r="H3610">
        <v>0.14489801941529601</v>
      </c>
      <c r="I3610">
        <v>0</v>
      </c>
      <c r="J3610">
        <v>0</v>
      </c>
      <c r="K3610">
        <v>0.21990181522249699</v>
      </c>
      <c r="L3610">
        <v>13200.5523936259</v>
      </c>
      <c r="M3610">
        <v>250</v>
      </c>
      <c r="N3610">
        <v>52.8673171201958</v>
      </c>
      <c r="O3610">
        <v>52.798830699704297</v>
      </c>
      <c r="P3610">
        <v>-1.02689954261197</v>
      </c>
      <c r="Q3610">
        <v>0.13249448139344999</v>
      </c>
      <c r="R3610">
        <v>0.94917210631867999</v>
      </c>
      <c r="S3610" t="s">
        <v>7442</v>
      </c>
      <c r="T3610" t="s">
        <v>7662</v>
      </c>
      <c r="U3610" t="s">
        <v>7662</v>
      </c>
      <c r="V3610" t="s">
        <v>7662</v>
      </c>
      <c r="W3610">
        <v>2</v>
      </c>
      <c r="X3610" t="s">
        <v>11272</v>
      </c>
      <c r="Y3610">
        <v>0.50277445245058916</v>
      </c>
      <c r="Z3610" t="str">
        <f>HYPERLINK("Melting_Curves/meltCurve_tr_H0Y613_H0Y613_HUMAN_.pdf", "Melting_Curves/meltCurve_tr_H0Y613_H0Y613_HUMAN_.pdf")</f>
        <v>Melting_Curves/meltCurve_tr_H0Y613_H0Y613_HUMAN_.pdf</v>
      </c>
      <c r="AA3610" t="s">
        <v>15038</v>
      </c>
      <c r="AB3610" t="s">
        <v>18836</v>
      </c>
    </row>
    <row r="3611" spans="1:28" x14ac:dyDescent="0.25">
      <c r="A3611" t="s">
        <v>3615</v>
      </c>
      <c r="B3611">
        <v>0.98876768158843997</v>
      </c>
      <c r="C3611">
        <v>1.4010559338399899</v>
      </c>
      <c r="D3611">
        <v>0.85294209256654796</v>
      </c>
      <c r="E3611">
        <v>0.76365638257989799</v>
      </c>
      <c r="F3611">
        <v>0.84296038498557102</v>
      </c>
      <c r="G3611">
        <v>0.51209581252032299</v>
      </c>
      <c r="H3611">
        <v>0.39437359262731198</v>
      </c>
      <c r="I3611">
        <v>0.45247397550575402</v>
      </c>
      <c r="J3611">
        <v>0.42711450696984699</v>
      </c>
      <c r="K3611">
        <v>0.33969026110518702</v>
      </c>
      <c r="L3611">
        <v>905.32486282307104</v>
      </c>
      <c r="M3611">
        <v>16.766968766184601</v>
      </c>
      <c r="N3611">
        <v>58.521506820498502</v>
      </c>
      <c r="O3611">
        <v>53.2440306071422</v>
      </c>
      <c r="P3611">
        <v>-5.0126623766192799E-2</v>
      </c>
      <c r="Q3611">
        <v>0.36332689984233002</v>
      </c>
      <c r="R3611">
        <v>0.79058167404276103</v>
      </c>
      <c r="S3611" t="s">
        <v>7443</v>
      </c>
      <c r="T3611" t="s">
        <v>7662</v>
      </c>
      <c r="U3611" t="s">
        <v>7662</v>
      </c>
      <c r="V3611" t="s">
        <v>7662</v>
      </c>
      <c r="W3611">
        <v>4</v>
      </c>
      <c r="X3611" t="s">
        <v>11273</v>
      </c>
      <c r="Y3611">
        <v>0.67160910967303711</v>
      </c>
      <c r="Z3611" t="str">
        <f>HYPERLINK("Melting_Curves/meltCurve_tr_H0Y614_H0Y614_HUMAN_.pdf", "Melting_Curves/meltCurve_tr_H0Y614_H0Y614_HUMAN_.pdf")</f>
        <v>Melting_Curves/meltCurve_tr_H0Y614_H0Y614_HUMAN_.pdf</v>
      </c>
      <c r="AA3611" t="s">
        <v>15039</v>
      </c>
      <c r="AB3611" t="s">
        <v>18837</v>
      </c>
    </row>
    <row r="3612" spans="1:28" x14ac:dyDescent="0.25">
      <c r="A3612" t="s">
        <v>3616</v>
      </c>
      <c r="B3612">
        <v>0.98876768158843997</v>
      </c>
      <c r="C3612">
        <v>1.240028222794</v>
      </c>
      <c r="D3612">
        <v>0.87092790400948294</v>
      </c>
      <c r="E3612">
        <v>0.63050673019508097</v>
      </c>
      <c r="F3612">
        <v>1.00389688110193</v>
      </c>
      <c r="G3612">
        <v>0.68459952821895598</v>
      </c>
      <c r="H3612">
        <v>0.46606956383430398</v>
      </c>
      <c r="I3612">
        <v>0.67785172244078895</v>
      </c>
      <c r="J3612">
        <v>0.25839050156038501</v>
      </c>
      <c r="K3612">
        <v>0.94510521388347002</v>
      </c>
      <c r="L3612">
        <v>766.93015797779503</v>
      </c>
      <c r="M3612">
        <v>14.8530282763207</v>
      </c>
      <c r="O3612">
        <v>50.725758374606599</v>
      </c>
      <c r="P3612">
        <v>-3.0011496844426399E-2</v>
      </c>
      <c r="Q3612">
        <v>0.59006462544748095</v>
      </c>
      <c r="R3612">
        <v>0.40378164956239099</v>
      </c>
      <c r="S3612" t="s">
        <v>7444</v>
      </c>
      <c r="T3612" t="s">
        <v>7662</v>
      </c>
      <c r="U3612" t="s">
        <v>7662</v>
      </c>
      <c r="V3612" t="s">
        <v>7662</v>
      </c>
      <c r="W3612">
        <v>1</v>
      </c>
      <c r="X3612" t="s">
        <v>11274</v>
      </c>
      <c r="Y3612">
        <v>0.7584697318773147</v>
      </c>
      <c r="Z3612" t="str">
        <f>HYPERLINK("Melting_Curves/meltCurve_tr_H0Y638_H0Y638_HUMAN_.pdf", "Melting_Curves/meltCurve_tr_H0Y638_H0Y638_HUMAN_.pdf")</f>
        <v>Melting_Curves/meltCurve_tr_H0Y638_H0Y638_HUMAN_.pdf</v>
      </c>
      <c r="AA3612" t="s">
        <v>15040</v>
      </c>
      <c r="AB3612" t="s">
        <v>18838</v>
      </c>
    </row>
    <row r="3613" spans="1:28" x14ac:dyDescent="0.25">
      <c r="A3613" t="s">
        <v>3617</v>
      </c>
      <c r="B3613">
        <v>0.98876768158843997</v>
      </c>
      <c r="C3613">
        <v>1.04931762872735</v>
      </c>
      <c r="D3613">
        <v>0.82398122522321404</v>
      </c>
      <c r="E3613">
        <v>0.59341833578983605</v>
      </c>
      <c r="F3613">
        <v>0.55786240265523501</v>
      </c>
      <c r="G3613">
        <v>0.378392325293682</v>
      </c>
      <c r="H3613">
        <v>0.25375212408103598</v>
      </c>
      <c r="I3613">
        <v>0.39032010723538402</v>
      </c>
      <c r="J3613">
        <v>0.20903115325697999</v>
      </c>
      <c r="K3613">
        <v>0.36719612415474701</v>
      </c>
      <c r="L3613">
        <v>824.37913118260406</v>
      </c>
      <c r="M3613">
        <v>16.5305210976402</v>
      </c>
      <c r="N3613">
        <v>52.729708243473098</v>
      </c>
      <c r="O3613">
        <v>49.157451696593299</v>
      </c>
      <c r="P3613">
        <v>-5.9189223287846399E-2</v>
      </c>
      <c r="Q3613">
        <v>0.29599558453129798</v>
      </c>
      <c r="R3613">
        <v>0.94772418548186299</v>
      </c>
      <c r="S3613" t="s">
        <v>7445</v>
      </c>
      <c r="T3613" t="s">
        <v>7662</v>
      </c>
      <c r="U3613" t="s">
        <v>7662</v>
      </c>
      <c r="V3613" t="s">
        <v>7662</v>
      </c>
      <c r="W3613">
        <v>10</v>
      </c>
      <c r="X3613" t="s">
        <v>11275</v>
      </c>
      <c r="Y3613">
        <v>0.5417376907176642</v>
      </c>
      <c r="Z3613" t="str">
        <f>HYPERLINK("Melting_Curves/meltCurve_tr_H0Y6A0_H0Y6A0_HUMAN_.pdf", "Melting_Curves/meltCurve_tr_H0Y6A0_H0Y6A0_HUMAN_.pdf")</f>
        <v>Melting_Curves/meltCurve_tr_H0Y6A0_H0Y6A0_HUMAN_.pdf</v>
      </c>
      <c r="AA3613" t="s">
        <v>14221</v>
      </c>
      <c r="AB3613" t="s">
        <v>18839</v>
      </c>
    </row>
    <row r="3614" spans="1:28" x14ac:dyDescent="0.25">
      <c r="A3614" t="s">
        <v>3618</v>
      </c>
      <c r="B3614">
        <v>0.98876768158843997</v>
      </c>
      <c r="C3614">
        <v>0.945645872943085</v>
      </c>
      <c r="D3614">
        <v>0.88215789041567505</v>
      </c>
      <c r="E3614">
        <v>0.58643826788958697</v>
      </c>
      <c r="F3614">
        <v>0.230154978473605</v>
      </c>
      <c r="G3614">
        <v>0.144909667803444</v>
      </c>
      <c r="H3614">
        <v>8.7493701379899494E-2</v>
      </c>
      <c r="I3614">
        <v>8.6980702799960494E-2</v>
      </c>
      <c r="J3614">
        <v>9.9652425804041794E-2</v>
      </c>
      <c r="K3614">
        <v>8.6632133021098595E-2</v>
      </c>
      <c r="L3614">
        <v>1232.5878514267199</v>
      </c>
      <c r="M3614">
        <v>24.617165968680599</v>
      </c>
      <c r="N3614">
        <v>50.451954969002401</v>
      </c>
      <c r="O3614">
        <v>49.743353719054298</v>
      </c>
      <c r="P3614">
        <v>-0.113210783815026</v>
      </c>
      <c r="Q3614">
        <v>8.4963131721732199E-2</v>
      </c>
      <c r="R3614">
        <v>0.99581450277440897</v>
      </c>
      <c r="S3614" t="s">
        <v>7446</v>
      </c>
      <c r="T3614" t="s">
        <v>7662</v>
      </c>
      <c r="U3614" t="s">
        <v>7662</v>
      </c>
      <c r="V3614" t="s">
        <v>7662</v>
      </c>
      <c r="W3614">
        <v>6</v>
      </c>
      <c r="X3614" t="s">
        <v>11276</v>
      </c>
      <c r="Y3614">
        <v>0.40055997437298591</v>
      </c>
      <c r="Z3614" t="str">
        <f>HYPERLINK("Melting_Curves/meltCurve_tr_H0Y6C3_H0Y6C3_HUMAN_.pdf", "Melting_Curves/meltCurve_tr_H0Y6C3_H0Y6C3_HUMAN_.pdf")</f>
        <v>Melting_Curves/meltCurve_tr_H0Y6C3_H0Y6C3_HUMAN_.pdf</v>
      </c>
      <c r="AA3614" t="s">
        <v>15041</v>
      </c>
      <c r="AB3614" t="s">
        <v>18840</v>
      </c>
    </row>
    <row r="3615" spans="1:28" x14ac:dyDescent="0.25">
      <c r="A3615" t="s">
        <v>3619</v>
      </c>
      <c r="B3615">
        <v>0.98876768158843997</v>
      </c>
      <c r="C3615">
        <v>0.96950627325359096</v>
      </c>
      <c r="D3615">
        <v>0.94033492474615898</v>
      </c>
      <c r="E3615">
        <v>0.71585007210083795</v>
      </c>
      <c r="F3615">
        <v>0.55451931279965905</v>
      </c>
      <c r="G3615">
        <v>0.38230828040830001</v>
      </c>
      <c r="H3615">
        <v>0.309597483198155</v>
      </c>
      <c r="I3615">
        <v>0.34505324165537898</v>
      </c>
      <c r="J3615">
        <v>0.437669851378166</v>
      </c>
      <c r="K3615">
        <v>0.46993350682298402</v>
      </c>
      <c r="L3615">
        <v>1253.77227533316</v>
      </c>
      <c r="M3615">
        <v>24.878638528841702</v>
      </c>
      <c r="N3615">
        <v>53.544880250913501</v>
      </c>
      <c r="O3615">
        <v>50.0733154457739</v>
      </c>
      <c r="P3615">
        <v>-7.6482430779249794E-2</v>
      </c>
      <c r="Q3615">
        <v>0.38426273443311498</v>
      </c>
      <c r="R3615">
        <v>0.967448703856156</v>
      </c>
      <c r="S3615" t="s">
        <v>7447</v>
      </c>
      <c r="T3615" t="s">
        <v>7662</v>
      </c>
      <c r="U3615" t="s">
        <v>7662</v>
      </c>
      <c r="V3615" t="s">
        <v>7662</v>
      </c>
      <c r="W3615">
        <v>32</v>
      </c>
      <c r="X3615" t="s">
        <v>11277</v>
      </c>
      <c r="Y3615">
        <v>0.60320661317752922</v>
      </c>
      <c r="Z3615" t="str">
        <f>HYPERLINK("Melting_Curves/meltCurve_tr_H0Y6I0_H0Y6I0_HUMAN_.pdf", "Melting_Curves/meltCurve_tr_H0Y6I0_H0Y6I0_HUMAN_.pdf")</f>
        <v>Melting_Curves/meltCurve_tr_H0Y6I0_H0Y6I0_HUMAN_.pdf</v>
      </c>
      <c r="AA3615" t="s">
        <v>15042</v>
      </c>
      <c r="AB3615" t="s">
        <v>18841</v>
      </c>
    </row>
    <row r="3616" spans="1:28" x14ac:dyDescent="0.25">
      <c r="A3616" t="s">
        <v>3620</v>
      </c>
      <c r="B3616">
        <v>0.98876768158843997</v>
      </c>
      <c r="C3616">
        <v>1.0106057513832201</v>
      </c>
      <c r="D3616">
        <v>1.04053054164634</v>
      </c>
      <c r="E3616">
        <v>0.95207986470600203</v>
      </c>
      <c r="F3616">
        <v>0.60771289795440397</v>
      </c>
      <c r="G3616">
        <v>0.29670076278950103</v>
      </c>
      <c r="H3616">
        <v>0.12898259500536299</v>
      </c>
      <c r="I3616">
        <v>9.3834694333579202E-2</v>
      </c>
      <c r="J3616">
        <v>6.3031475963649206E-2</v>
      </c>
      <c r="K3616">
        <v>3.5271848722724097E-2</v>
      </c>
      <c r="L3616">
        <v>1355.58383586534</v>
      </c>
      <c r="M3616">
        <v>25.025538813014599</v>
      </c>
      <c r="N3616">
        <v>54.451656257942702</v>
      </c>
      <c r="O3616">
        <v>53.8256888672597</v>
      </c>
      <c r="P3616">
        <v>-0.109133164998292</v>
      </c>
      <c r="Q3616">
        <v>6.1104885749541302E-2</v>
      </c>
      <c r="R3616">
        <v>0.99410871206761997</v>
      </c>
      <c r="S3616" t="s">
        <v>7448</v>
      </c>
      <c r="T3616" t="s">
        <v>7662</v>
      </c>
      <c r="U3616" t="s">
        <v>7662</v>
      </c>
      <c r="V3616" t="s">
        <v>7662</v>
      </c>
      <c r="W3616">
        <v>2</v>
      </c>
      <c r="X3616" t="s">
        <v>11278</v>
      </c>
      <c r="Y3616">
        <v>0.51318989277140648</v>
      </c>
      <c r="Z3616" t="str">
        <f>HYPERLINK("Melting_Curves/meltCurve_tr_H0Y6W0_H0Y6W0_HUMAN_.pdf", "Melting_Curves/meltCurve_tr_H0Y6W0_H0Y6W0_HUMAN_.pdf")</f>
        <v>Melting_Curves/meltCurve_tr_H0Y6W0_H0Y6W0_HUMAN_.pdf</v>
      </c>
      <c r="AA3616" t="s">
        <v>15043</v>
      </c>
      <c r="AB3616" t="s">
        <v>18842</v>
      </c>
    </row>
    <row r="3617" spans="1:28" x14ac:dyDescent="0.25">
      <c r="A3617" t="s">
        <v>3621</v>
      </c>
      <c r="B3617">
        <v>0.98876768158843997</v>
      </c>
      <c r="C3617">
        <v>1.1371562018825401</v>
      </c>
      <c r="D3617">
        <v>0.90093284836947696</v>
      </c>
      <c r="E3617">
        <v>0.72839826767303595</v>
      </c>
      <c r="F3617">
        <v>0.69453902624853403</v>
      </c>
      <c r="G3617">
        <v>0.331615770356881</v>
      </c>
      <c r="H3617">
        <v>7.28258799475653E-2</v>
      </c>
      <c r="I3617">
        <v>8.6340644627731902E-2</v>
      </c>
      <c r="J3617">
        <v>3.6533079019699502E-2</v>
      </c>
      <c r="K3617">
        <v>9.2210709460071399E-2</v>
      </c>
      <c r="L3617">
        <v>923.32853004413198</v>
      </c>
      <c r="M3617">
        <v>16.992060885645</v>
      </c>
      <c r="N3617">
        <v>54.430642608307402</v>
      </c>
      <c r="O3617">
        <v>53.602944566810997</v>
      </c>
      <c r="P3617">
        <v>-7.8134760349254997E-2</v>
      </c>
      <c r="Q3617">
        <v>1.4129072688297099E-2</v>
      </c>
      <c r="R3617">
        <v>0.97057228918131699</v>
      </c>
      <c r="S3617" t="s">
        <v>7449</v>
      </c>
      <c r="T3617" t="s">
        <v>7662</v>
      </c>
      <c r="U3617" t="s">
        <v>7662</v>
      </c>
      <c r="V3617" t="s">
        <v>7662</v>
      </c>
      <c r="W3617">
        <v>1</v>
      </c>
      <c r="X3617" t="s">
        <v>11279</v>
      </c>
      <c r="Y3617">
        <v>0.50226705147798667</v>
      </c>
      <c r="Z3617" t="str">
        <f>HYPERLINK("Melting_Curves/meltCurve_tr_H0Y9D9_H0Y9D9_HUMAN_.pdf", "Melting_Curves/meltCurve_tr_H0Y9D9_H0Y9D9_HUMAN_.pdf")</f>
        <v>Melting_Curves/meltCurve_tr_H0Y9D9_H0Y9D9_HUMAN_.pdf</v>
      </c>
      <c r="AA3617" t="s">
        <v>15044</v>
      </c>
      <c r="AB3617" t="s">
        <v>18843</v>
      </c>
    </row>
    <row r="3618" spans="1:28" x14ac:dyDescent="0.25">
      <c r="A3618" t="s">
        <v>3622</v>
      </c>
      <c r="B3618">
        <v>0.98876768158843997</v>
      </c>
      <c r="C3618">
        <v>0.82491338809391401</v>
      </c>
      <c r="D3618">
        <v>0.81566645249250402</v>
      </c>
      <c r="E3618">
        <v>0.55615187080147899</v>
      </c>
      <c r="F3618">
        <v>0.37571549185639602</v>
      </c>
      <c r="G3618">
        <v>0.24372840458071099</v>
      </c>
      <c r="H3618">
        <v>0.14875080457869899</v>
      </c>
      <c r="I3618">
        <v>5.0526181081071098E-2</v>
      </c>
      <c r="J3618">
        <v>0.190787623083329</v>
      </c>
      <c r="K3618">
        <v>7.5043751155275298E-2</v>
      </c>
      <c r="L3618">
        <v>626.11129636668397</v>
      </c>
      <c r="M3618">
        <v>12.4549091864879</v>
      </c>
      <c r="N3618">
        <v>50.815734736825199</v>
      </c>
      <c r="O3618">
        <v>49.027076935330697</v>
      </c>
      <c r="P3618">
        <v>-5.9548701488451802E-2</v>
      </c>
      <c r="Q3618">
        <v>6.2573759446072505E-2</v>
      </c>
      <c r="R3618">
        <v>0.97989067388885098</v>
      </c>
      <c r="S3618" t="s">
        <v>7450</v>
      </c>
      <c r="T3618" t="s">
        <v>7662</v>
      </c>
      <c r="U3618" t="s">
        <v>7662</v>
      </c>
      <c r="V3618" t="s">
        <v>7662</v>
      </c>
      <c r="W3618">
        <v>1</v>
      </c>
      <c r="X3618" t="s">
        <v>11280</v>
      </c>
      <c r="Y3618">
        <v>0.41364478290393047</v>
      </c>
      <c r="Z3618" t="str">
        <f>HYPERLINK("Melting_Curves/meltCurve_tr_H0Y9R3_H0Y9R3_HUMAN_.pdf", "Melting_Curves/meltCurve_tr_H0Y9R3_H0Y9R3_HUMAN_.pdf")</f>
        <v>Melting_Curves/meltCurve_tr_H0Y9R3_H0Y9R3_HUMAN_.pdf</v>
      </c>
      <c r="AA3618" t="s">
        <v>15045</v>
      </c>
      <c r="AB3618" t="s">
        <v>18844</v>
      </c>
    </row>
    <row r="3619" spans="1:28" x14ac:dyDescent="0.25">
      <c r="A3619" t="s">
        <v>3623</v>
      </c>
      <c r="B3619">
        <v>0.98876768158843997</v>
      </c>
      <c r="C3619">
        <v>0.96247556262713196</v>
      </c>
      <c r="D3619">
        <v>0.87574934806424298</v>
      </c>
      <c r="E3619">
        <v>0.71940129239807904</v>
      </c>
      <c r="F3619">
        <v>0.66694750678750503</v>
      </c>
      <c r="G3619">
        <v>0.42269342747166</v>
      </c>
      <c r="H3619">
        <v>0.29544141008726699</v>
      </c>
      <c r="I3619">
        <v>0.32600359238497101</v>
      </c>
      <c r="J3619">
        <v>0.43487412561466299</v>
      </c>
      <c r="K3619">
        <v>0.61600387027956605</v>
      </c>
      <c r="L3619">
        <v>932.92055239010301</v>
      </c>
      <c r="M3619">
        <v>18.506463810316902</v>
      </c>
      <c r="N3619">
        <v>55.574776730307399</v>
      </c>
      <c r="O3619">
        <v>49.832984345232603</v>
      </c>
      <c r="P3619">
        <v>-5.4738595643969302E-2</v>
      </c>
      <c r="Q3619">
        <v>0.41044022079815001</v>
      </c>
      <c r="R3619">
        <v>0.86335134467631403</v>
      </c>
      <c r="S3619" t="s">
        <v>7451</v>
      </c>
      <c r="T3619" t="s">
        <v>7662</v>
      </c>
      <c r="U3619" t="s">
        <v>7662</v>
      </c>
      <c r="V3619" t="s">
        <v>7662</v>
      </c>
      <c r="W3619">
        <v>4</v>
      </c>
      <c r="X3619" t="s">
        <v>11281</v>
      </c>
      <c r="Y3619">
        <v>0.62452508014723973</v>
      </c>
      <c r="Z3619" t="str">
        <f>HYPERLINK("Melting_Curves/meltCurve_tr_H0YA52_H0YA52_HUMAN_.pdf", "Melting_Curves/meltCurve_tr_H0YA52_H0YA52_HUMAN_.pdf")</f>
        <v>Melting_Curves/meltCurve_tr_H0YA52_H0YA52_HUMAN_.pdf</v>
      </c>
      <c r="AA3619" t="s">
        <v>15046</v>
      </c>
      <c r="AB3619" t="s">
        <v>18845</v>
      </c>
    </row>
    <row r="3620" spans="1:28" x14ac:dyDescent="0.25">
      <c r="A3620" t="s">
        <v>3624</v>
      </c>
      <c r="B3620">
        <v>0.98876768158843997</v>
      </c>
      <c r="C3620">
        <v>0.91912673847667503</v>
      </c>
      <c r="D3620">
        <v>0.98893014542115099</v>
      </c>
      <c r="E3620">
        <v>0.85219651672546304</v>
      </c>
      <c r="F3620">
        <v>0.477180290872671</v>
      </c>
      <c r="G3620">
        <v>0.222182523404927</v>
      </c>
      <c r="H3620">
        <v>0.120044554292717</v>
      </c>
      <c r="I3620">
        <v>9.9993457586651194E-2</v>
      </c>
      <c r="J3620">
        <v>0.10826925522799299</v>
      </c>
      <c r="K3620">
        <v>0.101931283593455</v>
      </c>
      <c r="L3620">
        <v>1505.6572171984501</v>
      </c>
      <c r="M3620">
        <v>28.6492983102838</v>
      </c>
      <c r="N3620">
        <v>52.995488173488503</v>
      </c>
      <c r="O3620">
        <v>52.3007090630297</v>
      </c>
      <c r="P3620">
        <v>-0.12243060765724501</v>
      </c>
      <c r="Q3620">
        <v>0.105994523450313</v>
      </c>
      <c r="R3620">
        <v>0.99428959280853102</v>
      </c>
      <c r="S3620" t="s">
        <v>7452</v>
      </c>
      <c r="T3620" t="s">
        <v>7662</v>
      </c>
      <c r="U3620" t="s">
        <v>7662</v>
      </c>
      <c r="V3620" t="s">
        <v>7662</v>
      </c>
      <c r="W3620">
        <v>4</v>
      </c>
      <c r="X3620" t="s">
        <v>11282</v>
      </c>
      <c r="Y3620">
        <v>0.48643482255159548</v>
      </c>
      <c r="Z3620" t="str">
        <f>HYPERLINK("Melting_Curves/meltCurve_tr_H0YA68_H0YA68_HUMAN_.pdf", "Melting_Curves/meltCurve_tr_H0YA68_H0YA68_HUMAN_.pdf")</f>
        <v>Melting_Curves/meltCurve_tr_H0YA68_H0YA68_HUMAN_.pdf</v>
      </c>
      <c r="AA3620" t="s">
        <v>15047</v>
      </c>
      <c r="AB3620" t="s">
        <v>18846</v>
      </c>
    </row>
    <row r="3621" spans="1:28" x14ac:dyDescent="0.25">
      <c r="A3621" t="s">
        <v>3625</v>
      </c>
      <c r="B3621">
        <v>0.98876768158843997</v>
      </c>
      <c r="C3621">
        <v>1.0076375070227499</v>
      </c>
      <c r="D3621">
        <v>0.82031787168164205</v>
      </c>
      <c r="E3621">
        <v>0.70315658819022997</v>
      </c>
      <c r="F3621">
        <v>0.80293325560811302</v>
      </c>
      <c r="G3621">
        <v>0.605266592261271</v>
      </c>
      <c r="H3621">
        <v>0.58194851082122301</v>
      </c>
      <c r="I3621">
        <v>0.56893942700297995</v>
      </c>
      <c r="J3621">
        <v>0.83068256118754402</v>
      </c>
      <c r="K3621">
        <v>0.83800126454185797</v>
      </c>
      <c r="L3621">
        <v>11479.830591963901</v>
      </c>
      <c r="M3621">
        <v>250</v>
      </c>
      <c r="O3621">
        <v>45.916384446955597</v>
      </c>
      <c r="P3621">
        <v>-0.40233689688350799</v>
      </c>
      <c r="Q3621">
        <v>0.70441831412793998</v>
      </c>
      <c r="R3621">
        <v>0.61121422368820799</v>
      </c>
      <c r="S3621" t="s">
        <v>7453</v>
      </c>
      <c r="T3621" t="s">
        <v>7662</v>
      </c>
      <c r="U3621" t="s">
        <v>7662</v>
      </c>
      <c r="V3621" t="s">
        <v>7662</v>
      </c>
      <c r="W3621">
        <v>3</v>
      </c>
      <c r="X3621" t="s">
        <v>11283</v>
      </c>
      <c r="Y3621">
        <v>0.76276357719871446</v>
      </c>
      <c r="Z3621" t="str">
        <f>HYPERLINK("Melting_Curves/meltCurve_tr_H0YAY0_H0YAY0_HUMAN_.pdf", "Melting_Curves/meltCurve_tr_H0YAY0_H0YAY0_HUMAN_.pdf")</f>
        <v>Melting_Curves/meltCurve_tr_H0YAY0_H0YAY0_HUMAN_.pdf</v>
      </c>
      <c r="AA3621" t="s">
        <v>15048</v>
      </c>
      <c r="AB3621" t="s">
        <v>18847</v>
      </c>
    </row>
    <row r="3622" spans="1:28" x14ac:dyDescent="0.25">
      <c r="A3622" t="s">
        <v>3626</v>
      </c>
      <c r="B3622">
        <v>0.98876768158843997</v>
      </c>
      <c r="C3622">
        <v>0.98746600807787899</v>
      </c>
      <c r="D3622">
        <v>0.85288652133221698</v>
      </c>
      <c r="E3622">
        <v>0.84781696757769498</v>
      </c>
      <c r="F3622">
        <v>0.85110737091867605</v>
      </c>
      <c r="G3622">
        <v>0.63313352063361195</v>
      </c>
      <c r="H3622">
        <v>0.52250183351867896</v>
      </c>
      <c r="I3622">
        <v>0.562173253037344</v>
      </c>
      <c r="J3622">
        <v>0.50444576445455402</v>
      </c>
      <c r="K3622">
        <v>0.25790389768009903</v>
      </c>
      <c r="L3622">
        <v>412.01886439324898</v>
      </c>
      <c r="M3622">
        <v>6.47239943637849</v>
      </c>
      <c r="N3622">
        <v>63.657824009501503</v>
      </c>
      <c r="O3622">
        <v>58.398394920335299</v>
      </c>
      <c r="P3622">
        <v>-2.7776288744125799E-2</v>
      </c>
      <c r="Q3622">
        <v>0</v>
      </c>
      <c r="R3622">
        <v>0.92976844998203501</v>
      </c>
      <c r="S3622" t="s">
        <v>7454</v>
      </c>
      <c r="T3622" t="s">
        <v>7662</v>
      </c>
      <c r="U3622" t="s">
        <v>7662</v>
      </c>
      <c r="V3622" t="s">
        <v>7662</v>
      </c>
      <c r="W3622">
        <v>6</v>
      </c>
      <c r="X3622" t="s">
        <v>11284</v>
      </c>
      <c r="Y3622">
        <v>0.7104909670678311</v>
      </c>
      <c r="Z3622" t="str">
        <f>HYPERLINK("Melting_Curves/meltCurve_tr_H0YBL1_H0YBL1_HUMAN_.pdf", "Melting_Curves/meltCurve_tr_H0YBL1_H0YBL1_HUMAN_.pdf")</f>
        <v>Melting_Curves/meltCurve_tr_H0YBL1_H0YBL1_HUMAN_.pdf</v>
      </c>
      <c r="AA3622" t="s">
        <v>15049</v>
      </c>
      <c r="AB3622" t="s">
        <v>18848</v>
      </c>
    </row>
    <row r="3623" spans="1:28" x14ac:dyDescent="0.25">
      <c r="A3623" t="s">
        <v>3627</v>
      </c>
      <c r="B3623">
        <v>0.98876768158843997</v>
      </c>
      <c r="C3623">
        <v>1.24548704731882</v>
      </c>
      <c r="D3623">
        <v>0.861849194344118</v>
      </c>
      <c r="E3623">
        <v>0.73586352681511102</v>
      </c>
      <c r="F3623">
        <v>1.08104576892464</v>
      </c>
      <c r="G3623">
        <v>0.78557478185356799</v>
      </c>
      <c r="H3623">
        <v>0.65610117138059099</v>
      </c>
      <c r="I3623">
        <v>0.79244781207034598</v>
      </c>
      <c r="J3623">
        <v>1.0368643205425401</v>
      </c>
      <c r="K3623">
        <v>1.1132794199684</v>
      </c>
      <c r="L3623">
        <v>11155.047493407799</v>
      </c>
      <c r="M3623">
        <v>250</v>
      </c>
      <c r="O3623">
        <v>44.617331862780098</v>
      </c>
      <c r="P3623">
        <v>-0.16407162635630701</v>
      </c>
      <c r="Q3623">
        <v>0.88287298176562601</v>
      </c>
      <c r="R3623">
        <v>0.184035193274874</v>
      </c>
      <c r="S3623" t="s">
        <v>7455</v>
      </c>
      <c r="T3623" t="s">
        <v>7662</v>
      </c>
      <c r="U3623" t="s">
        <v>7662</v>
      </c>
      <c r="V3623" t="s">
        <v>7662</v>
      </c>
      <c r="W3623">
        <v>1</v>
      </c>
      <c r="X3623" t="s">
        <v>11285</v>
      </c>
      <c r="Y3623">
        <v>0.90092045622718786</v>
      </c>
      <c r="Z3623" t="str">
        <f>HYPERLINK("Melting_Curves/meltCurve_tr_H0YDB2_H0YDB2_HUMAN_.pdf", "Melting_Curves/meltCurve_tr_H0YDB2_H0YDB2_HUMAN_.pdf")</f>
        <v>Melting_Curves/meltCurve_tr_H0YDB2_H0YDB2_HUMAN_.pdf</v>
      </c>
      <c r="AA3623" t="s">
        <v>15050</v>
      </c>
      <c r="AB3623" t="s">
        <v>18849</v>
      </c>
    </row>
    <row r="3624" spans="1:28" x14ac:dyDescent="0.25">
      <c r="A3624" t="s">
        <v>3628</v>
      </c>
      <c r="B3624">
        <v>0.98876768158843997</v>
      </c>
      <c r="C3624">
        <v>0.99663043401059903</v>
      </c>
      <c r="D3624">
        <v>0.728668308052973</v>
      </c>
      <c r="E3624">
        <v>0.65289986711732795</v>
      </c>
      <c r="F3624">
        <v>0.50631798920370996</v>
      </c>
      <c r="G3624">
        <v>0.38551649705179403</v>
      </c>
      <c r="H3624">
        <v>0.13514962099852301</v>
      </c>
      <c r="I3624">
        <v>0.126608277221023</v>
      </c>
      <c r="J3624">
        <v>0.20516332405379101</v>
      </c>
      <c r="K3624">
        <v>0.15623391095429701</v>
      </c>
      <c r="L3624">
        <v>594.63413894248799</v>
      </c>
      <c r="M3624">
        <v>11.478524258134099</v>
      </c>
      <c r="N3624">
        <v>52.693382591616903</v>
      </c>
      <c r="O3624">
        <v>50.3065511356087</v>
      </c>
      <c r="P3624">
        <v>-5.2034671358796497E-2</v>
      </c>
      <c r="Q3624">
        <v>8.8058557106530697E-2</v>
      </c>
      <c r="R3624">
        <v>0.96743594646697895</v>
      </c>
      <c r="S3624" t="s">
        <v>7456</v>
      </c>
      <c r="T3624" t="s">
        <v>7662</v>
      </c>
      <c r="U3624" t="s">
        <v>7662</v>
      </c>
      <c r="V3624" t="s">
        <v>7662</v>
      </c>
      <c r="W3624">
        <v>2</v>
      </c>
      <c r="X3624" t="s">
        <v>11286</v>
      </c>
      <c r="Y3624">
        <v>0.47681946505779149</v>
      </c>
      <c r="Z3624" t="str">
        <f>HYPERLINK("Melting_Curves/meltCurve_tr_H0YDP7_H0YDP7_HUMAN_.pdf", "Melting_Curves/meltCurve_tr_H0YDP7_H0YDP7_HUMAN_.pdf")</f>
        <v>Melting_Curves/meltCurve_tr_H0YDP7_H0YDP7_HUMAN_.pdf</v>
      </c>
      <c r="AA3624" t="s">
        <v>15051</v>
      </c>
      <c r="AB3624" t="s">
        <v>18850</v>
      </c>
    </row>
    <row r="3625" spans="1:28" x14ac:dyDescent="0.25">
      <c r="A3625" t="s">
        <v>3629</v>
      </c>
      <c r="B3625">
        <v>0.98876768158843997</v>
      </c>
      <c r="C3625">
        <v>1.02205486174647</v>
      </c>
      <c r="D3625">
        <v>0.95056254079869895</v>
      </c>
      <c r="E3625">
        <v>0.84371998495330403</v>
      </c>
      <c r="F3625">
        <v>0.71300145502516699</v>
      </c>
      <c r="G3625">
        <v>0.379620704306321</v>
      </c>
      <c r="H3625">
        <v>0.20294034436188299</v>
      </c>
      <c r="I3625">
        <v>0.17608946763548999</v>
      </c>
      <c r="J3625">
        <v>0.160500365247527</v>
      </c>
      <c r="K3625">
        <v>0.11899485327284</v>
      </c>
      <c r="L3625">
        <v>1037.7653872998401</v>
      </c>
      <c r="M3625">
        <v>19.0040904856201</v>
      </c>
      <c r="N3625">
        <v>55.374867135128397</v>
      </c>
      <c r="O3625">
        <v>54.013598282384201</v>
      </c>
      <c r="P3625">
        <v>-7.7779932107419805E-2</v>
      </c>
      <c r="Q3625">
        <v>0.115767906497593</v>
      </c>
      <c r="R3625">
        <v>0.99687952647615297</v>
      </c>
      <c r="S3625" t="s">
        <v>7457</v>
      </c>
      <c r="T3625" t="s">
        <v>7662</v>
      </c>
      <c r="U3625" t="s">
        <v>7662</v>
      </c>
      <c r="V3625" t="s">
        <v>7662</v>
      </c>
      <c r="W3625">
        <v>19</v>
      </c>
      <c r="X3625" t="s">
        <v>11287</v>
      </c>
      <c r="Y3625">
        <v>0.55915179238997681</v>
      </c>
      <c r="Z3625" t="str">
        <f>HYPERLINK("Melting_Curves/meltCurve_tr_H0YDU8_H0YDU8_HUMAN_.pdf", "Melting_Curves/meltCurve_tr_H0YDU8_H0YDU8_HUMAN_.pdf")</f>
        <v>Melting_Curves/meltCurve_tr_H0YDU8_H0YDU8_HUMAN_.pdf</v>
      </c>
      <c r="AA3625" t="s">
        <v>15052</v>
      </c>
      <c r="AB3625" t="s">
        <v>18851</v>
      </c>
    </row>
    <row r="3626" spans="1:28" x14ac:dyDescent="0.25">
      <c r="A3626" t="s">
        <v>3630</v>
      </c>
      <c r="B3626">
        <v>0.98876768158843997</v>
      </c>
      <c r="C3626">
        <v>0.98037974357200697</v>
      </c>
      <c r="D3626">
        <v>0.91647819760761196</v>
      </c>
      <c r="E3626">
        <v>0.690715305022777</v>
      </c>
      <c r="F3626">
        <v>0.67663422064198697</v>
      </c>
      <c r="G3626">
        <v>0.43473058775634599</v>
      </c>
      <c r="H3626">
        <v>0.28376357110591399</v>
      </c>
      <c r="I3626">
        <v>0.26962367528797299</v>
      </c>
      <c r="J3626">
        <v>0.39413208765443702</v>
      </c>
      <c r="K3626">
        <v>0.38614907477190102</v>
      </c>
      <c r="L3626">
        <v>839.78799835811901</v>
      </c>
      <c r="M3626">
        <v>16.249149585729501</v>
      </c>
      <c r="N3626">
        <v>55.055905587203</v>
      </c>
      <c r="O3626">
        <v>50.918199341364001</v>
      </c>
      <c r="P3626">
        <v>-5.4631128105819E-2</v>
      </c>
      <c r="Q3626">
        <v>0.31528366748233699</v>
      </c>
      <c r="R3626">
        <v>0.957281073605458</v>
      </c>
      <c r="S3626" t="s">
        <v>7458</v>
      </c>
      <c r="T3626" t="s">
        <v>7662</v>
      </c>
      <c r="U3626" t="s">
        <v>7662</v>
      </c>
      <c r="V3626" t="s">
        <v>7662</v>
      </c>
      <c r="W3626">
        <v>1</v>
      </c>
      <c r="X3626" t="s">
        <v>11288</v>
      </c>
      <c r="Y3626">
        <v>0.59551826768181171</v>
      </c>
      <c r="Z3626" t="str">
        <f>HYPERLINK("Melting_Curves/meltCurve_tr_H0YE28_H0YE28_HUMAN_.pdf", "Melting_Curves/meltCurve_tr_H0YE28_H0YE28_HUMAN_.pdf")</f>
        <v>Melting_Curves/meltCurve_tr_H0YE28_H0YE28_HUMAN_.pdf</v>
      </c>
      <c r="AA3626" t="s">
        <v>15053</v>
      </c>
      <c r="AB3626" t="s">
        <v>18852</v>
      </c>
    </row>
    <row r="3627" spans="1:28" x14ac:dyDescent="0.25">
      <c r="A3627" t="s">
        <v>3631</v>
      </c>
      <c r="B3627">
        <v>0.98876768158843997</v>
      </c>
      <c r="C3627">
        <v>0.91415929124819395</v>
      </c>
      <c r="D3627">
        <v>1.0389735934498801</v>
      </c>
      <c r="E3627">
        <v>0.85840517450412102</v>
      </c>
      <c r="F3627">
        <v>0.69663473842838597</v>
      </c>
      <c r="G3627">
        <v>0.54951991510151899</v>
      </c>
      <c r="H3627">
        <v>0.45708988201227002</v>
      </c>
      <c r="I3627">
        <v>0.58323071804313698</v>
      </c>
      <c r="J3627">
        <v>0.81634947398506896</v>
      </c>
      <c r="K3627">
        <v>0.83874721606107405</v>
      </c>
      <c r="L3627">
        <v>2532.72092193457</v>
      </c>
      <c r="M3627">
        <v>50.214614624370903</v>
      </c>
      <c r="O3627">
        <v>50.358122741116397</v>
      </c>
      <c r="P3627">
        <v>-8.6856803364591798E-2</v>
      </c>
      <c r="Q3627">
        <v>0.65158016742767999</v>
      </c>
      <c r="R3627">
        <v>0.63519314704258401</v>
      </c>
      <c r="S3627" t="s">
        <v>7459</v>
      </c>
      <c r="T3627" t="s">
        <v>7662</v>
      </c>
      <c r="U3627" t="s">
        <v>7662</v>
      </c>
      <c r="V3627" t="s">
        <v>7662</v>
      </c>
      <c r="W3627">
        <v>1</v>
      </c>
      <c r="X3627" t="s">
        <v>11289</v>
      </c>
      <c r="Y3627">
        <v>0.77357468442224264</v>
      </c>
      <c r="Z3627" t="str">
        <f>HYPERLINK("Melting_Curves/meltCurve_tr_H0YEB6_H0YEB6_HUMAN_.pdf", "Melting_Curves/meltCurve_tr_H0YEB6_H0YEB6_HUMAN_.pdf")</f>
        <v>Melting_Curves/meltCurve_tr_H0YEB6_H0YEB6_HUMAN_.pdf</v>
      </c>
      <c r="AA3627" t="s">
        <v>15054</v>
      </c>
      <c r="AB3627" t="s">
        <v>18853</v>
      </c>
    </row>
    <row r="3628" spans="1:28" x14ac:dyDescent="0.25">
      <c r="A3628" t="s">
        <v>3632</v>
      </c>
      <c r="B3628">
        <v>0.98876768158843997</v>
      </c>
      <c r="C3628">
        <v>1.0400466229932099</v>
      </c>
      <c r="D3628">
        <v>0.84433118693507603</v>
      </c>
      <c r="E3628">
        <v>0.61949474175969399</v>
      </c>
      <c r="F3628">
        <v>0.66196588750416696</v>
      </c>
      <c r="G3628">
        <v>0.48212060029144699</v>
      </c>
      <c r="H3628">
        <v>0.32564111595672701</v>
      </c>
      <c r="I3628">
        <v>0.38097769398093301</v>
      </c>
      <c r="J3628">
        <v>0.38634660329819598</v>
      </c>
      <c r="K3628">
        <v>0.58881876658852805</v>
      </c>
      <c r="L3628">
        <v>866.62393460649298</v>
      </c>
      <c r="M3628">
        <v>17.569856169958701</v>
      </c>
      <c r="N3628">
        <v>55.317544191922003</v>
      </c>
      <c r="O3628">
        <v>48.698817876097301</v>
      </c>
      <c r="P3628">
        <v>-5.1822740960739203E-2</v>
      </c>
      <c r="Q3628">
        <v>0.42547753832471502</v>
      </c>
      <c r="R3628">
        <v>0.88556609247120499</v>
      </c>
      <c r="S3628" t="s">
        <v>7460</v>
      </c>
      <c r="T3628" t="s">
        <v>7662</v>
      </c>
      <c r="U3628" t="s">
        <v>7662</v>
      </c>
      <c r="V3628" t="s">
        <v>7662</v>
      </c>
      <c r="W3628">
        <v>3</v>
      </c>
      <c r="X3628" t="s">
        <v>11290</v>
      </c>
      <c r="Y3628">
        <v>0.61442235822542912</v>
      </c>
      <c r="Z3628" t="str">
        <f>HYPERLINK("Melting_Curves/meltCurve_tr_H0YEH2_H0YEH2_HUMAN_.pdf", "Melting_Curves/meltCurve_tr_H0YEH2_H0YEH2_HUMAN_.pdf")</f>
        <v>Melting_Curves/meltCurve_tr_H0YEH2_H0YEH2_HUMAN_.pdf</v>
      </c>
      <c r="AA3628" t="s">
        <v>15055</v>
      </c>
      <c r="AB3628" t="s">
        <v>18854</v>
      </c>
    </row>
    <row r="3629" spans="1:28" x14ac:dyDescent="0.25">
      <c r="A3629" t="s">
        <v>3633</v>
      </c>
      <c r="B3629">
        <v>0.98876768158843997</v>
      </c>
      <c r="C3629">
        <v>0.84978380493392403</v>
      </c>
      <c r="D3629">
        <v>0.76984082226027295</v>
      </c>
      <c r="E3629">
        <v>0.33220000974470398</v>
      </c>
      <c r="F3629">
        <v>0.128884600787916</v>
      </c>
      <c r="G3629">
        <v>5.8670809033945802E-2</v>
      </c>
      <c r="H3629">
        <v>3.5272212183699303E-2</v>
      </c>
      <c r="I3629">
        <v>3.1195892291762901E-2</v>
      </c>
      <c r="J3629">
        <v>3.1012065867209799E-2</v>
      </c>
      <c r="K3629">
        <v>2.9927311091206402E-2</v>
      </c>
      <c r="L3629">
        <v>985.43194479068598</v>
      </c>
      <c r="M3629">
        <v>20.4660650167482</v>
      </c>
      <c r="N3629">
        <v>48.253562641125498</v>
      </c>
      <c r="O3629">
        <v>47.696927420486404</v>
      </c>
      <c r="P3629">
        <v>-0.10496034159581</v>
      </c>
      <c r="Q3629">
        <v>2.1573119918952301E-2</v>
      </c>
      <c r="R3629">
        <v>0.99401070602068997</v>
      </c>
      <c r="S3629" t="s">
        <v>7461</v>
      </c>
      <c r="T3629" t="s">
        <v>7662</v>
      </c>
      <c r="U3629" t="s">
        <v>7662</v>
      </c>
      <c r="V3629" t="s">
        <v>7662</v>
      </c>
      <c r="W3629">
        <v>6</v>
      </c>
      <c r="X3629" t="s">
        <v>11291</v>
      </c>
      <c r="Y3629">
        <v>0.30057116921235422</v>
      </c>
      <c r="Z3629" t="str">
        <f>HYPERLINK("Melting_Curves/meltCurve_tr_H0YEN5_H0YEN5_HUMAN_.pdf", "Melting_Curves/meltCurve_tr_H0YEN5_H0YEN5_HUMAN_.pdf")</f>
        <v>Melting_Curves/meltCurve_tr_H0YEN5_H0YEN5_HUMAN_.pdf</v>
      </c>
      <c r="AA3629" t="s">
        <v>15056</v>
      </c>
      <c r="AB3629" t="s">
        <v>18855</v>
      </c>
    </row>
    <row r="3630" spans="1:28" x14ac:dyDescent="0.25">
      <c r="A3630" t="s">
        <v>3634</v>
      </c>
      <c r="B3630">
        <v>0.98876768158843997</v>
      </c>
      <c r="C3630">
        <v>1.00689917550955</v>
      </c>
      <c r="D3630">
        <v>0.92618469928269798</v>
      </c>
      <c r="E3630">
        <v>0.76682811090317304</v>
      </c>
      <c r="F3630">
        <v>0.51255469042674995</v>
      </c>
      <c r="G3630">
        <v>0.254864478542627</v>
      </c>
      <c r="H3630">
        <v>0.102534217713278</v>
      </c>
      <c r="I3630">
        <v>5.4035485918180901E-2</v>
      </c>
      <c r="J3630">
        <v>5.4608889988512002E-2</v>
      </c>
      <c r="K3630">
        <v>4.9699758318945797E-2</v>
      </c>
      <c r="L3630">
        <v>962.47360831313199</v>
      </c>
      <c r="M3630">
        <v>18.1377722413133</v>
      </c>
      <c r="N3630">
        <v>53.2291768295471</v>
      </c>
      <c r="O3630">
        <v>52.432173709927397</v>
      </c>
      <c r="P3630">
        <v>-8.4127944498577398E-2</v>
      </c>
      <c r="Q3630">
        <v>2.7267602001954099E-2</v>
      </c>
      <c r="R3630">
        <v>0.99907167015083698</v>
      </c>
      <c r="S3630" t="s">
        <v>7462</v>
      </c>
      <c r="T3630" t="s">
        <v>7662</v>
      </c>
      <c r="U3630" t="s">
        <v>7662</v>
      </c>
      <c r="V3630" t="s">
        <v>7662</v>
      </c>
      <c r="W3630">
        <v>2</v>
      </c>
      <c r="X3630" t="s">
        <v>11292</v>
      </c>
      <c r="Y3630">
        <v>0.46659449016812488</v>
      </c>
      <c r="Z3630" t="str">
        <f>HYPERLINK("Melting_Curves/meltCurve_tr_H0YEP5_H0YEP5_HUMAN_.pdf", "Melting_Curves/meltCurve_tr_H0YEP5_H0YEP5_HUMAN_.pdf")</f>
        <v>Melting_Curves/meltCurve_tr_H0YEP5_H0YEP5_HUMAN_.pdf</v>
      </c>
      <c r="AA3630" t="s">
        <v>15057</v>
      </c>
      <c r="AB3630" t="s">
        <v>18856</v>
      </c>
    </row>
    <row r="3631" spans="1:28" x14ac:dyDescent="0.25">
      <c r="A3631" t="s">
        <v>3635</v>
      </c>
      <c r="B3631">
        <v>0.98876768158843997</v>
      </c>
      <c r="C3631">
        <v>1.21047084629645</v>
      </c>
      <c r="D3631">
        <v>0.89800074072302305</v>
      </c>
      <c r="E3631">
        <v>0.56118620157546295</v>
      </c>
      <c r="F3631">
        <v>0.24810789700685801</v>
      </c>
      <c r="G3631">
        <v>2.8960941969892198E-2</v>
      </c>
      <c r="H3631">
        <v>3.7386724521174503E-2</v>
      </c>
      <c r="I3631">
        <v>2.9187612552637299E-2</v>
      </c>
      <c r="J3631">
        <v>0</v>
      </c>
      <c r="K3631">
        <v>0</v>
      </c>
      <c r="L3631">
        <v>1357.0187728757801</v>
      </c>
      <c r="M3631">
        <v>26.872789618116201</v>
      </c>
      <c r="N3631">
        <v>50.535195353488099</v>
      </c>
      <c r="O3631">
        <v>50.220720728183103</v>
      </c>
      <c r="P3631">
        <v>-0.13246047333312999</v>
      </c>
      <c r="Q3631">
        <v>9.8246816128212192E-3</v>
      </c>
      <c r="R3631">
        <v>0.97473035235723104</v>
      </c>
      <c r="S3631" t="s">
        <v>7463</v>
      </c>
      <c r="T3631" t="s">
        <v>7662</v>
      </c>
      <c r="U3631" t="s">
        <v>7662</v>
      </c>
      <c r="V3631" t="s">
        <v>7662</v>
      </c>
      <c r="W3631">
        <v>1</v>
      </c>
      <c r="X3631" t="s">
        <v>11293</v>
      </c>
      <c r="Y3631">
        <v>0.36401789386607353</v>
      </c>
      <c r="Z3631" t="str">
        <f>HYPERLINK("Melting_Curves/meltCurve_tr_H0YEZ2_H0YEZ2_HUMAN_.pdf", "Melting_Curves/meltCurve_tr_H0YEZ2_H0YEZ2_HUMAN_.pdf")</f>
        <v>Melting_Curves/meltCurve_tr_H0YEZ2_H0YEZ2_HUMAN_.pdf</v>
      </c>
      <c r="AA3631" t="s">
        <v>15058</v>
      </c>
      <c r="AB3631" t="s">
        <v>18857</v>
      </c>
    </row>
    <row r="3632" spans="1:28" x14ac:dyDescent="0.25">
      <c r="A3632" t="s">
        <v>3636</v>
      </c>
      <c r="B3632">
        <v>0.98876768158843997</v>
      </c>
      <c r="C3632">
        <v>0.98179357752452101</v>
      </c>
      <c r="D3632">
        <v>0.92875106462238199</v>
      </c>
      <c r="E3632">
        <v>0.75290491927094305</v>
      </c>
      <c r="F3632">
        <v>0.78293367205651798</v>
      </c>
      <c r="G3632">
        <v>0.50683539196763805</v>
      </c>
      <c r="H3632">
        <v>0.29851024225067502</v>
      </c>
      <c r="I3632">
        <v>0.19408397994979801</v>
      </c>
      <c r="J3632">
        <v>0.17041435201286201</v>
      </c>
      <c r="K3632">
        <v>0.17505080911745899</v>
      </c>
      <c r="L3632">
        <v>687.93832301619</v>
      </c>
      <c r="M3632">
        <v>12.214132618709</v>
      </c>
      <c r="N3632">
        <v>56.885151905806097</v>
      </c>
      <c r="O3632">
        <v>54.877176436272997</v>
      </c>
      <c r="P3632">
        <v>-5.2492321863953001E-2</v>
      </c>
      <c r="Q3632">
        <v>5.6836107331989599E-2</v>
      </c>
      <c r="R3632">
        <v>0.98395838166819805</v>
      </c>
      <c r="S3632" t="s">
        <v>7464</v>
      </c>
      <c r="T3632" t="s">
        <v>7662</v>
      </c>
      <c r="U3632" t="s">
        <v>7662</v>
      </c>
      <c r="V3632" t="s">
        <v>7662</v>
      </c>
      <c r="W3632">
        <v>1</v>
      </c>
      <c r="X3632" t="s">
        <v>11294</v>
      </c>
      <c r="Y3632">
        <v>0.58811983463215989</v>
      </c>
      <c r="Z3632" t="str">
        <f>HYPERLINK("Melting_Curves/meltCurve_tr_H0YFI1_H0YFI1_HUMAN_.pdf", "Melting_Curves/meltCurve_tr_H0YFI1_H0YFI1_HUMAN_.pdf")</f>
        <v>Melting_Curves/meltCurve_tr_H0YFI1_H0YFI1_HUMAN_.pdf</v>
      </c>
      <c r="AA3632" t="s">
        <v>15059</v>
      </c>
      <c r="AB3632" t="s">
        <v>18858</v>
      </c>
    </row>
    <row r="3633" spans="1:28" x14ac:dyDescent="0.25">
      <c r="A3633" t="s">
        <v>3637</v>
      </c>
      <c r="B3633">
        <v>0.98876768158843997</v>
      </c>
      <c r="C3633">
        <v>0.86190487278278904</v>
      </c>
      <c r="D3633">
        <v>0.83635161792516199</v>
      </c>
      <c r="E3633">
        <v>0.44307398697846301</v>
      </c>
      <c r="F3633">
        <v>0.27250730309997201</v>
      </c>
      <c r="G3633">
        <v>0.228938843574201</v>
      </c>
      <c r="H3633">
        <v>0.139649939311838</v>
      </c>
      <c r="I3633">
        <v>0.10657898252251299</v>
      </c>
      <c r="J3633">
        <v>7.7439596838608404E-2</v>
      </c>
      <c r="K3633">
        <v>5.4973071731380101E-2</v>
      </c>
      <c r="L3633">
        <v>784.94964593274005</v>
      </c>
      <c r="M3633">
        <v>15.964675352757</v>
      </c>
      <c r="N3633">
        <v>49.705937545001198</v>
      </c>
      <c r="O3633">
        <v>48.415846361858598</v>
      </c>
      <c r="P3633">
        <v>-7.5899965054829405E-2</v>
      </c>
      <c r="Q3633">
        <v>7.9349779563815503E-2</v>
      </c>
      <c r="R3633">
        <v>0.98742096766313803</v>
      </c>
      <c r="S3633" t="s">
        <v>7465</v>
      </c>
      <c r="T3633" t="s">
        <v>7662</v>
      </c>
      <c r="U3633" t="s">
        <v>7662</v>
      </c>
      <c r="V3633" t="s">
        <v>7662</v>
      </c>
      <c r="W3633">
        <v>1</v>
      </c>
      <c r="X3633" t="s">
        <v>11295</v>
      </c>
      <c r="Y3633">
        <v>0.38077517228826269</v>
      </c>
      <c r="Z3633" t="str">
        <f>HYPERLINK("Melting_Curves/meltCurve_tr_H0YFP3_H0YFP3_HUMAN_.pdf", "Melting_Curves/meltCurve_tr_H0YFP3_H0YFP3_HUMAN_.pdf")</f>
        <v>Melting_Curves/meltCurve_tr_H0YFP3_H0YFP3_HUMAN_.pdf</v>
      </c>
      <c r="AA3633" t="s">
        <v>15060</v>
      </c>
      <c r="AB3633" t="s">
        <v>18859</v>
      </c>
    </row>
    <row r="3634" spans="1:28" x14ac:dyDescent="0.25">
      <c r="A3634" t="s">
        <v>3638</v>
      </c>
      <c r="B3634">
        <v>0.98876768158843997</v>
      </c>
      <c r="C3634">
        <v>1.0209130788521199</v>
      </c>
      <c r="D3634">
        <v>0.93753750595438901</v>
      </c>
      <c r="E3634">
        <v>0.82853381472509102</v>
      </c>
      <c r="F3634">
        <v>0.788716037067692</v>
      </c>
      <c r="G3634">
        <v>0.60592403115564797</v>
      </c>
      <c r="H3634">
        <v>0.479988398909661</v>
      </c>
      <c r="I3634">
        <v>0.49893191146980898</v>
      </c>
      <c r="J3634">
        <v>0.52173480309196796</v>
      </c>
      <c r="K3634">
        <v>0.42401045349493299</v>
      </c>
      <c r="L3634">
        <v>770.67300468567896</v>
      </c>
      <c r="M3634">
        <v>14.325285720576099</v>
      </c>
      <c r="N3634">
        <v>62.818468321193002</v>
      </c>
      <c r="O3634">
        <v>52.7822958303923</v>
      </c>
      <c r="P3634">
        <v>-3.8266804401857903E-2</v>
      </c>
      <c r="Q3634">
        <v>0.43608361883214602</v>
      </c>
      <c r="R3634">
        <v>0.97867557063608801</v>
      </c>
      <c r="S3634" t="s">
        <v>7466</v>
      </c>
      <c r="T3634" t="s">
        <v>7662</v>
      </c>
      <c r="U3634" t="s">
        <v>7662</v>
      </c>
      <c r="V3634" t="s">
        <v>7662</v>
      </c>
      <c r="W3634">
        <v>6</v>
      </c>
      <c r="X3634" t="s">
        <v>11296</v>
      </c>
      <c r="Y3634">
        <v>0.70782982602163425</v>
      </c>
      <c r="Z3634" t="str">
        <f>HYPERLINK("Melting_Curves/meltCurve_tr_H0YGR4_H0YGR4_HUMAN_.pdf", "Melting_Curves/meltCurve_tr_H0YGR4_H0YGR4_HUMAN_.pdf")</f>
        <v>Melting_Curves/meltCurve_tr_H0YGR4_H0YGR4_HUMAN_.pdf</v>
      </c>
      <c r="AA3634" t="s">
        <v>15061</v>
      </c>
      <c r="AB3634" t="s">
        <v>18860</v>
      </c>
    </row>
    <row r="3635" spans="1:28" x14ac:dyDescent="0.25">
      <c r="A3635" t="s">
        <v>3639</v>
      </c>
      <c r="B3635">
        <v>0.98876768158843997</v>
      </c>
      <c r="C3635">
        <v>1.0999344079404001</v>
      </c>
      <c r="D3635">
        <v>0.90766704302939805</v>
      </c>
      <c r="E3635">
        <v>0.79463421644672805</v>
      </c>
      <c r="F3635">
        <v>0.71245054451224299</v>
      </c>
      <c r="G3635">
        <v>0.230628726895859</v>
      </c>
      <c r="H3635">
        <v>7.97246470401516E-2</v>
      </c>
      <c r="I3635">
        <v>5.6716060576351701E-2</v>
      </c>
      <c r="J3635">
        <v>5.7124714539641297E-2</v>
      </c>
      <c r="K3635">
        <v>7.0264295436410495E-2</v>
      </c>
      <c r="L3635">
        <v>1231.4304913691401</v>
      </c>
      <c r="M3635">
        <v>22.743208945785899</v>
      </c>
      <c r="N3635">
        <v>54.3177758149643</v>
      </c>
      <c r="O3635">
        <v>53.731586015188903</v>
      </c>
      <c r="P3635">
        <v>-0.102127705706237</v>
      </c>
      <c r="Q3635">
        <v>3.48985824789841E-2</v>
      </c>
      <c r="R3635">
        <v>0.981591745288383</v>
      </c>
      <c r="S3635" t="s">
        <v>7467</v>
      </c>
      <c r="T3635" t="s">
        <v>7662</v>
      </c>
      <c r="U3635" t="s">
        <v>7662</v>
      </c>
      <c r="V3635" t="s">
        <v>7662</v>
      </c>
      <c r="W3635">
        <v>4</v>
      </c>
      <c r="X3635" t="s">
        <v>11297</v>
      </c>
      <c r="Y3635">
        <v>0.50050806275334614</v>
      </c>
      <c r="Z3635" t="str">
        <f>HYPERLINK("Melting_Curves/meltCurve_tr_H0YGX7_H0YGX7_HUMAN_.pdf", "Melting_Curves/meltCurve_tr_H0YGX7_H0YGX7_HUMAN_.pdf")</f>
        <v>Melting_Curves/meltCurve_tr_H0YGX7_H0YGX7_HUMAN_.pdf</v>
      </c>
      <c r="AA3635" t="s">
        <v>15062</v>
      </c>
      <c r="AB3635" t="s">
        <v>18861</v>
      </c>
    </row>
    <row r="3636" spans="1:28" x14ac:dyDescent="0.25">
      <c r="A3636" t="s">
        <v>3640</v>
      </c>
      <c r="B3636">
        <v>0.98876768158843997</v>
      </c>
      <c r="C3636">
        <v>1.0394000602970801</v>
      </c>
      <c r="D3636">
        <v>1.05160562244453</v>
      </c>
      <c r="E3636">
        <v>0.85698010083682297</v>
      </c>
      <c r="F3636">
        <v>0.47132686851093802</v>
      </c>
      <c r="G3636">
        <v>0.31044134054616901</v>
      </c>
      <c r="H3636">
        <v>0.19985404896449799</v>
      </c>
      <c r="I3636">
        <v>0.23484103359504699</v>
      </c>
      <c r="J3636">
        <v>0.232842138041398</v>
      </c>
      <c r="K3636">
        <v>0.15669777665381901</v>
      </c>
      <c r="L3636">
        <v>1813.7275447309601</v>
      </c>
      <c r="M3636">
        <v>34.840118346049401</v>
      </c>
      <c r="N3636">
        <v>52.916696205038903</v>
      </c>
      <c r="O3636">
        <v>51.887976147279304</v>
      </c>
      <c r="P3636">
        <v>-0.13163607701946101</v>
      </c>
      <c r="Q3636">
        <v>0.21581145906295701</v>
      </c>
      <c r="R3636">
        <v>0.98969227827499995</v>
      </c>
      <c r="S3636" t="s">
        <v>7468</v>
      </c>
      <c r="T3636" t="s">
        <v>7662</v>
      </c>
      <c r="U3636" t="s">
        <v>7662</v>
      </c>
      <c r="V3636" t="s">
        <v>7662</v>
      </c>
      <c r="W3636">
        <v>4</v>
      </c>
      <c r="X3636" t="s">
        <v>11298</v>
      </c>
      <c r="Y3636">
        <v>0.53474020106791231</v>
      </c>
      <c r="Z3636" t="str">
        <f>HYPERLINK("Melting_Curves/meltCurve_tr_H0YHC3_H0YHC3_HUMAN_.pdf", "Melting_Curves/meltCurve_tr_H0YHC3_H0YHC3_HUMAN_.pdf")</f>
        <v>Melting_Curves/meltCurve_tr_H0YHC3_H0YHC3_HUMAN_.pdf</v>
      </c>
      <c r="AA3636" t="s">
        <v>15063</v>
      </c>
      <c r="AB3636" t="s">
        <v>18862</v>
      </c>
    </row>
    <row r="3637" spans="1:28" x14ac:dyDescent="0.25">
      <c r="A3637" t="s">
        <v>3641</v>
      </c>
      <c r="B3637">
        <v>0.98876768158843997</v>
      </c>
      <c r="C3637">
        <v>1.0881205127270099</v>
      </c>
      <c r="D3637">
        <v>0.86398225953455998</v>
      </c>
      <c r="E3637">
        <v>0.81327572686968597</v>
      </c>
      <c r="F3637">
        <v>0.47364301009759502</v>
      </c>
      <c r="G3637">
        <v>0.28883190465887698</v>
      </c>
      <c r="H3637">
        <v>7.9478115951200606E-2</v>
      </c>
      <c r="I3637">
        <v>7.2059966450039203E-2</v>
      </c>
      <c r="J3637">
        <v>0.12622364188340701</v>
      </c>
      <c r="K3637">
        <v>0.12527024812090301</v>
      </c>
      <c r="L3637">
        <v>1094.8757054776599</v>
      </c>
      <c r="M3637">
        <v>20.815451168238098</v>
      </c>
      <c r="N3637">
        <v>53.089864761456901</v>
      </c>
      <c r="O3637">
        <v>52.120949412025602</v>
      </c>
      <c r="P3637">
        <v>-9.1107837074351106E-2</v>
      </c>
      <c r="Q3637">
        <v>8.7505958044755694E-2</v>
      </c>
      <c r="R3637">
        <v>0.98005292244823605</v>
      </c>
      <c r="S3637" t="s">
        <v>7469</v>
      </c>
      <c r="T3637" t="s">
        <v>7662</v>
      </c>
      <c r="U3637" t="s">
        <v>7662</v>
      </c>
      <c r="V3637" t="s">
        <v>7662</v>
      </c>
      <c r="W3637">
        <v>1</v>
      </c>
      <c r="X3637" t="s">
        <v>11299</v>
      </c>
      <c r="Y3637">
        <v>0.48246225079754601</v>
      </c>
      <c r="Z3637" t="str">
        <f>HYPERLINK("Melting_Curves/meltCurve_tr_H0YI02_H0YI02_HUMAN_.pdf", "Melting_Curves/meltCurve_tr_H0YI02_H0YI02_HUMAN_.pdf")</f>
        <v>Melting_Curves/meltCurve_tr_H0YI02_H0YI02_HUMAN_.pdf</v>
      </c>
      <c r="AA3637" t="s">
        <v>15064</v>
      </c>
      <c r="AB3637" t="s">
        <v>18863</v>
      </c>
    </row>
    <row r="3638" spans="1:28" x14ac:dyDescent="0.25">
      <c r="A3638" t="s">
        <v>3642</v>
      </c>
      <c r="B3638">
        <v>0.98876768158843997</v>
      </c>
      <c r="C3638">
        <v>1.00641874377115</v>
      </c>
      <c r="D3638">
        <v>0.84635258701276594</v>
      </c>
      <c r="E3638">
        <v>0.614871417574821</v>
      </c>
      <c r="F3638">
        <v>0.77755132983493402</v>
      </c>
      <c r="G3638">
        <v>0.46901414679463399</v>
      </c>
      <c r="H3638">
        <v>0.35369132136162701</v>
      </c>
      <c r="I3638">
        <v>0.36058311668295701</v>
      </c>
      <c r="J3638">
        <v>0.52945802267754205</v>
      </c>
      <c r="K3638">
        <v>0.52759482040637895</v>
      </c>
      <c r="L3638">
        <v>739.34680840936596</v>
      </c>
      <c r="M3638">
        <v>14.8350060856603</v>
      </c>
      <c r="N3638">
        <v>57.814757860862201</v>
      </c>
      <c r="O3638">
        <v>48.958674868024701</v>
      </c>
      <c r="P3638">
        <v>-4.2772475522142202E-2</v>
      </c>
      <c r="Q3638">
        <v>0.43542650323488102</v>
      </c>
      <c r="R3638">
        <v>0.84481973119537901</v>
      </c>
      <c r="S3638" t="s">
        <v>7470</v>
      </c>
      <c r="T3638" t="s">
        <v>7662</v>
      </c>
      <c r="U3638" t="s">
        <v>7662</v>
      </c>
      <c r="V3638" t="s">
        <v>7662</v>
      </c>
      <c r="W3638">
        <v>2</v>
      </c>
      <c r="X3638" t="s">
        <v>11300</v>
      </c>
      <c r="Y3638">
        <v>0.63437262613117362</v>
      </c>
      <c r="Z3638" t="str">
        <f>HYPERLINK("Melting_Curves/meltCurve_tr_H0YIX9_H0YIX9_HUMAN_.pdf", "Melting_Curves/meltCurve_tr_H0YIX9_H0YIX9_HUMAN_.pdf")</f>
        <v>Melting_Curves/meltCurve_tr_H0YIX9_H0YIX9_HUMAN_.pdf</v>
      </c>
      <c r="AA3638" t="s">
        <v>15065</v>
      </c>
      <c r="AB3638" t="s">
        <v>18864</v>
      </c>
    </row>
    <row r="3639" spans="1:28" x14ac:dyDescent="0.25">
      <c r="A3639" t="s">
        <v>3643</v>
      </c>
      <c r="B3639">
        <v>0.98876768158843997</v>
      </c>
      <c r="C3639">
        <v>0.95041788866516896</v>
      </c>
      <c r="D3639">
        <v>0.77698658388791997</v>
      </c>
      <c r="E3639">
        <v>0.49662803103162401</v>
      </c>
      <c r="F3639">
        <v>0.28519054194231303</v>
      </c>
      <c r="G3639">
        <v>0.14780847227489999</v>
      </c>
      <c r="H3639">
        <v>7.2001759027938803E-2</v>
      </c>
      <c r="I3639">
        <v>5.7187223047965099E-2</v>
      </c>
      <c r="J3639">
        <v>6.5207402181710394E-2</v>
      </c>
      <c r="K3639">
        <v>4.32242070512815E-2</v>
      </c>
      <c r="L3639">
        <v>817.58597591991895</v>
      </c>
      <c r="M3639">
        <v>16.477588666340001</v>
      </c>
      <c r="N3639">
        <v>49.865612347183301</v>
      </c>
      <c r="O3639">
        <v>48.904529246152499</v>
      </c>
      <c r="P3639">
        <v>-8.0931055767138702E-2</v>
      </c>
      <c r="Q3639">
        <v>3.9272482404961E-2</v>
      </c>
      <c r="R3639">
        <v>0.99921457794475899</v>
      </c>
      <c r="S3639" t="s">
        <v>7471</v>
      </c>
      <c r="T3639" t="s">
        <v>7662</v>
      </c>
      <c r="U3639" t="s">
        <v>7662</v>
      </c>
      <c r="V3639" t="s">
        <v>7662</v>
      </c>
      <c r="W3639">
        <v>13</v>
      </c>
      <c r="X3639" t="s">
        <v>11301</v>
      </c>
      <c r="Y3639">
        <v>0.36678259353348253</v>
      </c>
      <c r="Z3639" t="str">
        <f>HYPERLINK("Melting_Curves/meltCurve_tr_H0YL72_H0YL72_HUMAN_.pdf", "Melting_Curves/meltCurve_tr_H0YL72_H0YL72_HUMAN_.pdf")</f>
        <v>Melting_Curves/meltCurve_tr_H0YL72_H0YL72_HUMAN_.pdf</v>
      </c>
      <c r="AA3639" t="s">
        <v>15066</v>
      </c>
      <c r="AB3639" t="s">
        <v>18865</v>
      </c>
    </row>
    <row r="3640" spans="1:28" x14ac:dyDescent="0.25">
      <c r="A3640" t="s">
        <v>3644</v>
      </c>
      <c r="B3640">
        <v>0.98876768158843997</v>
      </c>
      <c r="C3640">
        <v>1.10486957351916</v>
      </c>
      <c r="D3640">
        <v>0.84821643510947398</v>
      </c>
      <c r="E3640">
        <v>0.64878319588452005</v>
      </c>
      <c r="F3640">
        <v>0.53932904077467803</v>
      </c>
      <c r="G3640">
        <v>0.35656695152581303</v>
      </c>
      <c r="H3640">
        <v>0.29729005959731503</v>
      </c>
      <c r="I3640">
        <v>0.262202623470422</v>
      </c>
      <c r="J3640">
        <v>0.37479853455317902</v>
      </c>
      <c r="K3640">
        <v>0.30525545343826799</v>
      </c>
      <c r="L3640">
        <v>958.76265400676903</v>
      </c>
      <c r="M3640">
        <v>19.066152390646</v>
      </c>
      <c r="N3640">
        <v>52.849318691629101</v>
      </c>
      <c r="O3640">
        <v>49.742723717863797</v>
      </c>
      <c r="P3640">
        <v>-6.6918592245974101E-2</v>
      </c>
      <c r="Q3640">
        <v>0.30167723995522899</v>
      </c>
      <c r="R3640">
        <v>0.96523626610407798</v>
      </c>
      <c r="S3640" t="s">
        <v>7472</v>
      </c>
      <c r="T3640" t="s">
        <v>7662</v>
      </c>
      <c r="U3640" t="s">
        <v>7662</v>
      </c>
      <c r="V3640" t="s">
        <v>7662</v>
      </c>
      <c r="W3640">
        <v>5</v>
      </c>
      <c r="X3640" t="s">
        <v>11302</v>
      </c>
      <c r="Y3640">
        <v>0.55175549327658202</v>
      </c>
      <c r="Z3640" t="str">
        <f>HYPERLINK("Melting_Curves/meltCurve_tr_H0YL91_H0YL91_HUMAN_.pdf", "Melting_Curves/meltCurve_tr_H0YL91_H0YL91_HUMAN_.pdf")</f>
        <v>Melting_Curves/meltCurve_tr_H0YL91_H0YL91_HUMAN_.pdf</v>
      </c>
      <c r="AA3640" t="s">
        <v>15067</v>
      </c>
      <c r="AB3640" t="s">
        <v>18866</v>
      </c>
    </row>
    <row r="3641" spans="1:28" x14ac:dyDescent="0.25">
      <c r="A3641" t="s">
        <v>3645</v>
      </c>
      <c r="B3641">
        <v>0.98876768158843997</v>
      </c>
      <c r="C3641">
        <v>0.96180823336201904</v>
      </c>
      <c r="D3641">
        <v>1.14676656839767</v>
      </c>
      <c r="E3641">
        <v>1.34226531851275</v>
      </c>
      <c r="F3641">
        <v>0.56801989219390203</v>
      </c>
      <c r="G3641">
        <v>0.48362302474240598</v>
      </c>
      <c r="H3641">
        <v>0.270246749325392</v>
      </c>
      <c r="I3641">
        <v>9.3061395055888299E-2</v>
      </c>
      <c r="J3641">
        <v>7.5902158999202801E-2</v>
      </c>
      <c r="K3641">
        <v>2.3961964881728599E-2</v>
      </c>
      <c r="L3641">
        <v>1253.1565503801201</v>
      </c>
      <c r="M3641">
        <v>22.296217313795498</v>
      </c>
      <c r="N3641">
        <v>56.487452606831198</v>
      </c>
      <c r="O3641">
        <v>55.758610966751299</v>
      </c>
      <c r="P3641">
        <v>-9.4694576812447806E-2</v>
      </c>
      <c r="Q3641">
        <v>5.2767112290009903E-2</v>
      </c>
      <c r="R3641">
        <v>0.88264243252614605</v>
      </c>
      <c r="S3641" t="s">
        <v>7473</v>
      </c>
      <c r="T3641" t="s">
        <v>7662</v>
      </c>
      <c r="U3641" t="s">
        <v>7662</v>
      </c>
      <c r="V3641" t="s">
        <v>7662</v>
      </c>
      <c r="W3641">
        <v>20</v>
      </c>
      <c r="X3641" t="s">
        <v>11303</v>
      </c>
      <c r="Y3641">
        <v>0.57480296569824518</v>
      </c>
      <c r="Z3641" t="str">
        <f>HYPERLINK("Melting_Curves/meltCurve_tr_H0YLA4_H0YLA4_HUMAN_.pdf", "Melting_Curves/meltCurve_tr_H0YLA4_H0YLA4_HUMAN_.pdf")</f>
        <v>Melting_Curves/meltCurve_tr_H0YLA4_H0YLA4_HUMAN_.pdf</v>
      </c>
      <c r="AA3641" t="s">
        <v>12830</v>
      </c>
      <c r="AB3641" t="s">
        <v>16597</v>
      </c>
    </row>
    <row r="3642" spans="1:28" x14ac:dyDescent="0.25">
      <c r="A3642" t="s">
        <v>3646</v>
      </c>
      <c r="B3642">
        <v>0.98876768158843997</v>
      </c>
      <c r="C3642">
        <v>0.89033434693442703</v>
      </c>
      <c r="D3642">
        <v>0.78640408029972497</v>
      </c>
      <c r="E3642">
        <v>0.55098445054432599</v>
      </c>
      <c r="F3642">
        <v>0.89811256605881296</v>
      </c>
      <c r="G3642">
        <v>0.66951271298917803</v>
      </c>
      <c r="H3642">
        <v>0.52170421391525401</v>
      </c>
      <c r="I3642">
        <v>0.42281469297440299</v>
      </c>
      <c r="J3642">
        <v>0.954344289440896</v>
      </c>
      <c r="K3642">
        <v>1.05458035815717</v>
      </c>
      <c r="L3642">
        <v>1561.03451387634</v>
      </c>
      <c r="M3642">
        <v>35.899896971758999</v>
      </c>
      <c r="O3642">
        <v>43.348730948708997</v>
      </c>
      <c r="P3642">
        <v>-5.6473106330895299E-2</v>
      </c>
      <c r="Q3642">
        <v>0.72723832995142801</v>
      </c>
      <c r="R3642">
        <v>0.17372317929879799</v>
      </c>
      <c r="S3642" t="s">
        <v>7474</v>
      </c>
      <c r="T3642" t="s">
        <v>7662</v>
      </c>
      <c r="U3642" t="s">
        <v>7662</v>
      </c>
      <c r="V3642" t="s">
        <v>7662</v>
      </c>
      <c r="W3642">
        <v>2</v>
      </c>
      <c r="X3642" t="s">
        <v>11304</v>
      </c>
      <c r="Y3642">
        <v>0.76030707619831039</v>
      </c>
      <c r="Z3642" t="str">
        <f>HYPERLINK("Melting_Curves/meltCurve_tr_H0YLD8_H0YLD8_HUMAN_.pdf", "Melting_Curves/meltCurve_tr_H0YLD8_H0YLD8_HUMAN_.pdf")</f>
        <v>Melting_Curves/meltCurve_tr_H0YLD8_H0YLD8_HUMAN_.pdf</v>
      </c>
      <c r="AA3642" t="s">
        <v>15068</v>
      </c>
      <c r="AB3642" t="s">
        <v>18867</v>
      </c>
    </row>
    <row r="3643" spans="1:28" x14ac:dyDescent="0.25">
      <c r="A3643" t="s">
        <v>3647</v>
      </c>
      <c r="B3643">
        <v>0.98876768158843997</v>
      </c>
      <c r="C3643">
        <v>0.92201731611969795</v>
      </c>
      <c r="D3643">
        <v>1.07219460504997</v>
      </c>
      <c r="E3643">
        <v>1.0818861703634099</v>
      </c>
      <c r="F3643">
        <v>0.69137578059439497</v>
      </c>
      <c r="G3643">
        <v>0.59469529484137795</v>
      </c>
      <c r="H3643">
        <v>0.62022946098182896</v>
      </c>
      <c r="I3643">
        <v>0.83896662561593105</v>
      </c>
      <c r="J3643">
        <v>0.82420034007697496</v>
      </c>
      <c r="K3643">
        <v>0.99774722235285396</v>
      </c>
      <c r="L3643">
        <v>5328.4643838453803</v>
      </c>
      <c r="M3643">
        <v>103.47904442304799</v>
      </c>
      <c r="O3643">
        <v>51.473949119558299</v>
      </c>
      <c r="P3643">
        <v>-0.120380569560343</v>
      </c>
      <c r="Q3643">
        <v>0.76047466812104503</v>
      </c>
      <c r="R3643">
        <v>0.51921541826696205</v>
      </c>
      <c r="S3643" t="s">
        <v>7475</v>
      </c>
      <c r="T3643" t="s">
        <v>7662</v>
      </c>
      <c r="U3643" t="s">
        <v>7662</v>
      </c>
      <c r="V3643" t="s">
        <v>7662</v>
      </c>
      <c r="W3643">
        <v>12</v>
      </c>
      <c r="X3643" t="s">
        <v>11305</v>
      </c>
      <c r="Y3643">
        <v>0.85236468575718927</v>
      </c>
      <c r="Z3643" t="str">
        <f>HYPERLINK("Melting_Curves/meltCurve_tr_H0YMB3_H0YMB3_HUMAN_.pdf", "Melting_Curves/meltCurve_tr_H0YMB3_H0YMB3_HUMAN_.pdf")</f>
        <v>Melting_Curves/meltCurve_tr_H0YMB3_H0YMB3_HUMAN_.pdf</v>
      </c>
      <c r="AA3643" t="s">
        <v>15069</v>
      </c>
      <c r="AB3643" t="s">
        <v>18868</v>
      </c>
    </row>
    <row r="3644" spans="1:28" x14ac:dyDescent="0.25">
      <c r="A3644" t="s">
        <v>3648</v>
      </c>
      <c r="B3644">
        <v>0.98876768158843997</v>
      </c>
      <c r="C3644">
        <v>1.08752276743256</v>
      </c>
      <c r="D3644">
        <v>0.95256623951907105</v>
      </c>
      <c r="E3644">
        <v>0.71567221064522402</v>
      </c>
      <c r="F3644">
        <v>0.55916626961872495</v>
      </c>
      <c r="G3644">
        <v>0.119242090821378</v>
      </c>
      <c r="H3644">
        <v>8.1277900876891795E-2</v>
      </c>
      <c r="I3644">
        <v>5.3193391931147797E-2</v>
      </c>
      <c r="J3644">
        <v>6.4710653361379794E-2</v>
      </c>
      <c r="K3644">
        <v>7.3514149611839996E-2</v>
      </c>
      <c r="L3644">
        <v>1192.7013268031601</v>
      </c>
      <c r="M3644">
        <v>22.671652953151199</v>
      </c>
      <c r="N3644">
        <v>52.8223372004339</v>
      </c>
      <c r="O3644">
        <v>52.2034566909972</v>
      </c>
      <c r="P3644">
        <v>-0.103796215920819</v>
      </c>
      <c r="Q3644">
        <v>4.4019908725910897E-2</v>
      </c>
      <c r="R3644">
        <v>0.98613619732650004</v>
      </c>
      <c r="S3644" t="s">
        <v>7476</v>
      </c>
      <c r="T3644" t="s">
        <v>7662</v>
      </c>
      <c r="U3644" t="s">
        <v>7662</v>
      </c>
      <c r="V3644" t="s">
        <v>7662</v>
      </c>
      <c r="W3644">
        <v>8</v>
      </c>
      <c r="X3644" t="s">
        <v>11306</v>
      </c>
      <c r="Y3644">
        <v>0.45630802911773471</v>
      </c>
      <c r="Z3644" t="str">
        <f>HYPERLINK("Melting_Curves/meltCurve_tr_H0YMD0_H0YMD0_HUMAN_.pdf", "Melting_Curves/meltCurve_tr_H0YMD0_H0YMD0_HUMAN_.pdf")</f>
        <v>Melting_Curves/meltCurve_tr_H0YMD0_H0YMD0_HUMAN_.pdf</v>
      </c>
      <c r="AA3644" t="s">
        <v>15070</v>
      </c>
      <c r="AB3644" t="s">
        <v>18869</v>
      </c>
    </row>
    <row r="3645" spans="1:28" x14ac:dyDescent="0.25">
      <c r="A3645" t="s">
        <v>3649</v>
      </c>
      <c r="B3645">
        <v>0.98876768158843997</v>
      </c>
      <c r="C3645">
        <v>1.1514548967031899</v>
      </c>
      <c r="D3645">
        <v>0.88882590009954099</v>
      </c>
      <c r="E3645">
        <v>0.851800531872696</v>
      </c>
      <c r="F3645">
        <v>1.01027512130727</v>
      </c>
      <c r="G3645">
        <v>0.748783271686559</v>
      </c>
      <c r="H3645">
        <v>0.57359956376397703</v>
      </c>
      <c r="I3645">
        <v>0.61946745960494998</v>
      </c>
      <c r="J3645">
        <v>0.75235613648743205</v>
      </c>
      <c r="K3645">
        <v>0.91197288104417495</v>
      </c>
      <c r="L3645">
        <v>14136.725933207799</v>
      </c>
      <c r="M3645">
        <v>250</v>
      </c>
      <c r="O3645">
        <v>56.543285124670803</v>
      </c>
      <c r="P3645">
        <v>-0.31574371291158598</v>
      </c>
      <c r="Q3645">
        <v>0.71434901186113198</v>
      </c>
      <c r="R3645">
        <v>0.56347916059250902</v>
      </c>
      <c r="S3645" t="s">
        <v>7477</v>
      </c>
      <c r="T3645" t="s">
        <v>7662</v>
      </c>
      <c r="U3645" t="s">
        <v>7662</v>
      </c>
      <c r="V3645" t="s">
        <v>7662</v>
      </c>
      <c r="W3645">
        <v>11</v>
      </c>
      <c r="X3645" t="s">
        <v>11307</v>
      </c>
      <c r="Y3645">
        <v>0.87193200629199008</v>
      </c>
      <c r="Z3645" t="str">
        <f>HYPERLINK("Melting_Curves/meltCurve_tr_H0YN26_H0YN26_HUMAN_.pdf", "Melting_Curves/meltCurve_tr_H0YN26_H0YN26_HUMAN_.pdf")</f>
        <v>Melting_Curves/meltCurve_tr_H0YN26_H0YN26_HUMAN_.pdf</v>
      </c>
      <c r="AA3645" t="s">
        <v>15071</v>
      </c>
      <c r="AB3645" t="s">
        <v>18870</v>
      </c>
    </row>
    <row r="3646" spans="1:28" x14ac:dyDescent="0.25">
      <c r="A3646" t="s">
        <v>3650</v>
      </c>
      <c r="B3646">
        <v>0.98876768158843997</v>
      </c>
      <c r="C3646">
        <v>0.89660483298010996</v>
      </c>
      <c r="D3646">
        <v>1.04097918781684</v>
      </c>
      <c r="E3646">
        <v>0.70759915916237903</v>
      </c>
      <c r="F3646">
        <v>0.87166145454921096</v>
      </c>
      <c r="G3646">
        <v>0.51238062463690104</v>
      </c>
      <c r="H3646">
        <v>0.420712699439305</v>
      </c>
      <c r="I3646">
        <v>0.425740847443564</v>
      </c>
      <c r="J3646">
        <v>0.50583397232655603</v>
      </c>
      <c r="K3646">
        <v>0.61984163918766699</v>
      </c>
      <c r="L3646">
        <v>993.80455636723298</v>
      </c>
      <c r="M3646">
        <v>18.998720352524298</v>
      </c>
      <c r="N3646">
        <v>63.200947316294098</v>
      </c>
      <c r="O3646">
        <v>51.739809138534902</v>
      </c>
      <c r="P3646">
        <v>-4.7638718553231901E-2</v>
      </c>
      <c r="Q3646">
        <v>0.48107643266532601</v>
      </c>
      <c r="R3646">
        <v>0.80664412715751199</v>
      </c>
      <c r="S3646" t="s">
        <v>7478</v>
      </c>
      <c r="T3646" t="s">
        <v>7662</v>
      </c>
      <c r="U3646" t="s">
        <v>7662</v>
      </c>
      <c r="V3646" t="s">
        <v>7662</v>
      </c>
      <c r="W3646">
        <v>1</v>
      </c>
      <c r="X3646" t="s">
        <v>11308</v>
      </c>
      <c r="Y3646">
        <v>0.70183450773096923</v>
      </c>
      <c r="Z3646" t="str">
        <f>HYPERLINK("Melting_Curves/meltCurve_tr_H0YN78_H0YN78_HUMAN_.pdf", "Melting_Curves/meltCurve_tr_H0YN78_H0YN78_HUMAN_.pdf")</f>
        <v>Melting_Curves/meltCurve_tr_H0YN78_H0YN78_HUMAN_.pdf</v>
      </c>
      <c r="AA3646" t="s">
        <v>15072</v>
      </c>
      <c r="AB3646" t="s">
        <v>18871</v>
      </c>
    </row>
    <row r="3647" spans="1:28" x14ac:dyDescent="0.25">
      <c r="A3647" t="s">
        <v>3651</v>
      </c>
      <c r="B3647">
        <v>0.98876768158843997</v>
      </c>
      <c r="C3647">
        <v>0.94330623751797804</v>
      </c>
      <c r="D3647">
        <v>0.94670452679973205</v>
      </c>
      <c r="E3647">
        <v>0.68531825265769697</v>
      </c>
      <c r="F3647">
        <v>0.56338904074861096</v>
      </c>
      <c r="G3647">
        <v>0</v>
      </c>
      <c r="H3647">
        <v>9.6803667706870905E-2</v>
      </c>
      <c r="I3647">
        <v>7.7892864204181997E-2</v>
      </c>
      <c r="J3647">
        <v>4.3333736187805998E-2</v>
      </c>
      <c r="K3647">
        <v>4.6515832727180503E-2</v>
      </c>
      <c r="L3647">
        <v>1229.94878413026</v>
      </c>
      <c r="M3647">
        <v>23.511885667894099</v>
      </c>
      <c r="N3647">
        <v>52.456482391514797</v>
      </c>
      <c r="O3647">
        <v>51.937765696392503</v>
      </c>
      <c r="P3647">
        <v>-0.109621983466796</v>
      </c>
      <c r="Q3647">
        <v>3.1396420146851303E-2</v>
      </c>
      <c r="R3647">
        <v>0.97037363027417101</v>
      </c>
      <c r="S3647" t="s">
        <v>7479</v>
      </c>
      <c r="T3647" t="s">
        <v>7662</v>
      </c>
      <c r="U3647" t="s">
        <v>7662</v>
      </c>
      <c r="V3647" t="s">
        <v>7662</v>
      </c>
      <c r="W3647">
        <v>5</v>
      </c>
      <c r="X3647" t="s">
        <v>11309</v>
      </c>
      <c r="Y3647">
        <v>0.43886662058862019</v>
      </c>
      <c r="Z3647" t="str">
        <f>HYPERLINK("Melting_Curves/meltCurve_tr_H0YN81_H0YN81_HUMAN_.pdf", "Melting_Curves/meltCurve_tr_H0YN81_H0YN81_HUMAN_.pdf")</f>
        <v>Melting_Curves/meltCurve_tr_H0YN81_H0YN81_HUMAN_.pdf</v>
      </c>
      <c r="AA3647" t="s">
        <v>15073</v>
      </c>
      <c r="AB3647" t="s">
        <v>18872</v>
      </c>
    </row>
    <row r="3648" spans="1:28" x14ac:dyDescent="0.25">
      <c r="A3648" t="s">
        <v>3652</v>
      </c>
      <c r="B3648">
        <v>0.98876768158843997</v>
      </c>
      <c r="C3648">
        <v>1.0287841531594</v>
      </c>
      <c r="D3648">
        <v>0.94364413469181996</v>
      </c>
      <c r="E3648">
        <v>0.84925333135863501</v>
      </c>
      <c r="F3648">
        <v>0.24331136857090499</v>
      </c>
      <c r="G3648">
        <v>0.10450877383477</v>
      </c>
      <c r="H3648">
        <v>5.12590340068299E-2</v>
      </c>
      <c r="I3648">
        <v>4.1566612944707697E-2</v>
      </c>
      <c r="J3648">
        <v>4.4255746661449602E-2</v>
      </c>
      <c r="K3648">
        <v>3.9176559868590401E-2</v>
      </c>
      <c r="L3648">
        <v>2626.7489127311201</v>
      </c>
      <c r="M3648">
        <v>50.9096664935836</v>
      </c>
      <c r="N3648">
        <v>51.711812403152699</v>
      </c>
      <c r="O3648">
        <v>51.5168445995903</v>
      </c>
      <c r="P3648">
        <v>-0.23377223953248399</v>
      </c>
      <c r="Q3648">
        <v>5.3759384295929802E-2</v>
      </c>
      <c r="R3648">
        <v>0.99658749148861303</v>
      </c>
      <c r="S3648" t="s">
        <v>7480</v>
      </c>
      <c r="T3648" t="s">
        <v>7662</v>
      </c>
      <c r="U3648" t="s">
        <v>7662</v>
      </c>
      <c r="V3648" t="s">
        <v>7662</v>
      </c>
      <c r="W3648">
        <v>13</v>
      </c>
      <c r="X3648" t="s">
        <v>11310</v>
      </c>
      <c r="Y3648">
        <v>0.42159825360313008</v>
      </c>
      <c r="Z3648" t="str">
        <f>HYPERLINK("Melting_Curves/meltCurve_tr_H3BLU7_H3BLU7_HUMAN_.pdf", "Melting_Curves/meltCurve_tr_H3BLU7_H3BLU7_HUMAN_.pdf")</f>
        <v>Melting_Curves/meltCurve_tr_H3BLU7_H3BLU7_HUMAN_.pdf</v>
      </c>
      <c r="AA3648" t="s">
        <v>15074</v>
      </c>
      <c r="AB3648" t="s">
        <v>18873</v>
      </c>
    </row>
    <row r="3649" spans="1:28" x14ac:dyDescent="0.25">
      <c r="A3649" t="s">
        <v>3653</v>
      </c>
      <c r="B3649">
        <v>0.98876768158843997</v>
      </c>
      <c r="C3649">
        <v>1.20251846248094</v>
      </c>
      <c r="D3649">
        <v>0.91001106640206897</v>
      </c>
      <c r="E3649">
        <v>0.81695044726009203</v>
      </c>
      <c r="F3649">
        <v>0.86004671769449703</v>
      </c>
      <c r="G3649">
        <v>0.63570706861274395</v>
      </c>
      <c r="H3649">
        <v>0.50161942678304705</v>
      </c>
      <c r="I3649">
        <v>0.56787534747989299</v>
      </c>
      <c r="J3649">
        <v>0.73894950413522997</v>
      </c>
      <c r="K3649">
        <v>0.64965864570762999</v>
      </c>
      <c r="L3649">
        <v>1081.7980796696199</v>
      </c>
      <c r="M3649">
        <v>20.844025069674299</v>
      </c>
      <c r="O3649">
        <v>51.429060491075802</v>
      </c>
      <c r="P3649">
        <v>-3.9348233512907303E-2</v>
      </c>
      <c r="Q3649">
        <v>0.61167063703040803</v>
      </c>
      <c r="R3649">
        <v>0.76393347384560595</v>
      </c>
      <c r="S3649" t="s">
        <v>7481</v>
      </c>
      <c r="T3649" t="s">
        <v>7662</v>
      </c>
      <c r="U3649" t="s">
        <v>7662</v>
      </c>
      <c r="V3649" t="s">
        <v>7662</v>
      </c>
      <c r="W3649">
        <v>3</v>
      </c>
      <c r="X3649" t="s">
        <v>11311</v>
      </c>
      <c r="Y3649">
        <v>0.77069129235134248</v>
      </c>
      <c r="Z3649" t="str">
        <f>HYPERLINK("Melting_Curves/meltCurve_tr_H3BM67_H3BM67_HUMAN_.pdf", "Melting_Curves/meltCurve_tr_H3BM67_H3BM67_HUMAN_.pdf")</f>
        <v>Melting_Curves/meltCurve_tr_H3BM67_H3BM67_HUMAN_.pdf</v>
      </c>
      <c r="AA3649" t="s">
        <v>15075</v>
      </c>
      <c r="AB3649" t="s">
        <v>18874</v>
      </c>
    </row>
    <row r="3650" spans="1:28" x14ac:dyDescent="0.25">
      <c r="A3650" t="s">
        <v>3654</v>
      </c>
      <c r="B3650">
        <v>0.98876768158843997</v>
      </c>
      <c r="C3650">
        <v>0.76536232883123101</v>
      </c>
      <c r="D3650">
        <v>0.90534553094457304</v>
      </c>
      <c r="E3650">
        <v>0.51583727856368</v>
      </c>
      <c r="F3650">
        <v>0.111151479986676</v>
      </c>
      <c r="G3650">
        <v>7.20011140396314E-2</v>
      </c>
      <c r="H3650">
        <v>3.9279052574259399E-2</v>
      </c>
      <c r="I3650">
        <v>2.2540758399255002E-2</v>
      </c>
      <c r="J3650">
        <v>3.72455611851394E-2</v>
      </c>
      <c r="K3650">
        <v>6.0457777351078497E-2</v>
      </c>
      <c r="L3650">
        <v>1354.74338337565</v>
      </c>
      <c r="M3650">
        <v>27.277722417467501</v>
      </c>
      <c r="N3650">
        <v>49.783742555280497</v>
      </c>
      <c r="O3650">
        <v>49.4002070713507</v>
      </c>
      <c r="P3650">
        <v>-0.13369185315451401</v>
      </c>
      <c r="Q3650">
        <v>3.1540495620782497E-2</v>
      </c>
      <c r="R3650">
        <v>0.96034719393874302</v>
      </c>
      <c r="S3650" t="s">
        <v>7482</v>
      </c>
      <c r="T3650" t="s">
        <v>7662</v>
      </c>
      <c r="U3650" t="s">
        <v>7662</v>
      </c>
      <c r="V3650" t="s">
        <v>7662</v>
      </c>
      <c r="W3650">
        <v>1</v>
      </c>
      <c r="X3650" t="s">
        <v>11312</v>
      </c>
      <c r="Y3650">
        <v>0.35076870755436929</v>
      </c>
      <c r="Z3650" t="str">
        <f>HYPERLINK("Melting_Curves/meltCurve_tr_H3BM79_H3BM79_HUMAN_.pdf", "Melting_Curves/meltCurve_tr_H3BM79_H3BM79_HUMAN_.pdf")</f>
        <v>Melting_Curves/meltCurve_tr_H3BM79_H3BM79_HUMAN_.pdf</v>
      </c>
      <c r="AA3650" t="s">
        <v>15076</v>
      </c>
      <c r="AB3650" t="s">
        <v>18875</v>
      </c>
    </row>
    <row r="3651" spans="1:28" x14ac:dyDescent="0.25">
      <c r="A3651" t="s">
        <v>3655</v>
      </c>
      <c r="B3651">
        <v>0.98876768158843997</v>
      </c>
      <c r="C3651">
        <v>0.90488213937094197</v>
      </c>
      <c r="D3651">
        <v>0.79405265450301199</v>
      </c>
      <c r="E3651">
        <v>0.358469101659671</v>
      </c>
      <c r="F3651">
        <v>0.13918702772090299</v>
      </c>
      <c r="G3651">
        <v>0.111903816964843</v>
      </c>
      <c r="H3651">
        <v>6.0363788022087701E-2</v>
      </c>
      <c r="I3651">
        <v>4.58423447762972E-2</v>
      </c>
      <c r="J3651">
        <v>4.5407560683620403E-2</v>
      </c>
      <c r="K3651">
        <v>0</v>
      </c>
      <c r="L3651">
        <v>1055.8698778340399</v>
      </c>
      <c r="M3651">
        <v>21.7952822747048</v>
      </c>
      <c r="N3651">
        <v>48.617740644019598</v>
      </c>
      <c r="O3651">
        <v>48.042592452031201</v>
      </c>
      <c r="P3651">
        <v>-0.10919049550933201</v>
      </c>
      <c r="Q3651">
        <v>3.72829396470215E-2</v>
      </c>
      <c r="R3651">
        <v>0.99560167260009802</v>
      </c>
      <c r="S3651" t="s">
        <v>7483</v>
      </c>
      <c r="T3651" t="s">
        <v>7662</v>
      </c>
      <c r="U3651" t="s">
        <v>7662</v>
      </c>
      <c r="V3651" t="s">
        <v>7662</v>
      </c>
      <c r="W3651">
        <v>2</v>
      </c>
      <c r="X3651" t="s">
        <v>11313</v>
      </c>
      <c r="Y3651">
        <v>0.319627971876359</v>
      </c>
      <c r="Z3651" t="str">
        <f>HYPERLINK("Melting_Curves/meltCurve_tr_H3BMM5_H3BMM5_HUMAN_.pdf", "Melting_Curves/meltCurve_tr_H3BMM5_H3BMM5_HUMAN_.pdf")</f>
        <v>Melting_Curves/meltCurve_tr_H3BMM5_H3BMM5_HUMAN_.pdf</v>
      </c>
      <c r="AB3651" t="s">
        <v>18723</v>
      </c>
    </row>
    <row r="3652" spans="1:28" x14ac:dyDescent="0.25">
      <c r="A3652" t="s">
        <v>3656</v>
      </c>
      <c r="B3652">
        <v>0.98876768158843997</v>
      </c>
      <c r="C3652">
        <v>0.83723117099449895</v>
      </c>
      <c r="D3652">
        <v>0.86490678536409704</v>
      </c>
      <c r="E3652">
        <v>0.81622313936146795</v>
      </c>
      <c r="F3652">
        <v>0.41115873917264401</v>
      </c>
      <c r="G3652">
        <v>0.41938830645199998</v>
      </c>
      <c r="H3652">
        <v>0.25900558048108302</v>
      </c>
      <c r="I3652">
        <v>0.32324948890606497</v>
      </c>
      <c r="J3652">
        <v>0.36371815522980699</v>
      </c>
      <c r="K3652">
        <v>0.38916595342192201</v>
      </c>
      <c r="L3652">
        <v>2482.3567646301299</v>
      </c>
      <c r="M3652">
        <v>48.792824353063899</v>
      </c>
      <c r="N3652">
        <v>52.145067163468497</v>
      </c>
      <c r="O3652">
        <v>50.790207766914698</v>
      </c>
      <c r="P3652">
        <v>-0.15668972694657801</v>
      </c>
      <c r="Q3652">
        <v>0.34758469962565902</v>
      </c>
      <c r="R3652">
        <v>0.91197660344196396</v>
      </c>
      <c r="S3652" t="s">
        <v>7484</v>
      </c>
      <c r="T3652" t="s">
        <v>7662</v>
      </c>
      <c r="U3652" t="s">
        <v>7662</v>
      </c>
      <c r="V3652" t="s">
        <v>7662</v>
      </c>
      <c r="W3652">
        <v>2</v>
      </c>
      <c r="X3652" t="s">
        <v>11314</v>
      </c>
      <c r="Y3652">
        <v>0.58563281116453736</v>
      </c>
      <c r="Z3652" t="str">
        <f>HYPERLINK("Melting_Curves/meltCurve_tr_H3BNC0_H3BNC0_HUMAN_.pdf", "Melting_Curves/meltCurve_tr_H3BNC0_H3BNC0_HUMAN_.pdf")</f>
        <v>Melting_Curves/meltCurve_tr_H3BNC0_H3BNC0_HUMAN_.pdf</v>
      </c>
      <c r="AA3652" t="s">
        <v>15077</v>
      </c>
      <c r="AB3652" t="s">
        <v>18876</v>
      </c>
    </row>
    <row r="3653" spans="1:28" x14ac:dyDescent="0.25">
      <c r="A3653" t="s">
        <v>3657</v>
      </c>
      <c r="B3653">
        <v>0.98876768158843997</v>
      </c>
      <c r="C3653">
        <v>1.01404363722512</v>
      </c>
      <c r="D3653">
        <v>0.77488940191453903</v>
      </c>
      <c r="E3653">
        <v>0.54330520985285002</v>
      </c>
      <c r="F3653">
        <v>0.28970633593962197</v>
      </c>
      <c r="G3653">
        <v>0.13415014502471501</v>
      </c>
      <c r="H3653">
        <v>9.8074441993525802E-2</v>
      </c>
      <c r="I3653">
        <v>8.6978161744936597E-2</v>
      </c>
      <c r="J3653">
        <v>0.106407284030472</v>
      </c>
      <c r="K3653">
        <v>9.5675177348708507E-2</v>
      </c>
      <c r="L3653">
        <v>933.47546712199596</v>
      </c>
      <c r="M3653">
        <v>18.803254600635999</v>
      </c>
      <c r="N3653">
        <v>50.113943363437699</v>
      </c>
      <c r="O3653">
        <v>49.093073843844202</v>
      </c>
      <c r="P3653">
        <v>-8.8022565445887296E-2</v>
      </c>
      <c r="Q3653">
        <v>8.0772145683975796E-2</v>
      </c>
      <c r="R3653">
        <v>0.99332632680619404</v>
      </c>
      <c r="S3653" t="s">
        <v>7485</v>
      </c>
      <c r="T3653" t="s">
        <v>7662</v>
      </c>
      <c r="U3653" t="s">
        <v>7662</v>
      </c>
      <c r="V3653" t="s">
        <v>7662</v>
      </c>
      <c r="W3653">
        <v>5</v>
      </c>
      <c r="X3653" t="s">
        <v>11315</v>
      </c>
      <c r="Y3653">
        <v>0.39075567499383779</v>
      </c>
      <c r="Z3653" t="str">
        <f>HYPERLINK("Melting_Curves/meltCurve_tr_H3BPB8_H3BPB8_HUMAN_.pdf", "Melting_Curves/meltCurve_tr_H3BPB8_H3BPB8_HUMAN_.pdf")</f>
        <v>Melting_Curves/meltCurve_tr_H3BPB8_H3BPB8_HUMAN_.pdf</v>
      </c>
      <c r="AA3653" t="s">
        <v>15078</v>
      </c>
      <c r="AB3653" t="s">
        <v>18877</v>
      </c>
    </row>
    <row r="3654" spans="1:28" x14ac:dyDescent="0.25">
      <c r="A3654" t="s">
        <v>3658</v>
      </c>
      <c r="B3654">
        <v>0.98876768158843997</v>
      </c>
      <c r="C3654">
        <v>0.87279608925292096</v>
      </c>
      <c r="D3654">
        <v>1.1254974807226501</v>
      </c>
      <c r="E3654">
        <v>0.91344916562769296</v>
      </c>
      <c r="F3654">
        <v>0.27922283234169998</v>
      </c>
      <c r="G3654">
        <v>0.146376908259298</v>
      </c>
      <c r="H3654">
        <v>9.4095887687513299E-2</v>
      </c>
      <c r="I3654">
        <v>8.9241268777612001E-2</v>
      </c>
      <c r="J3654">
        <v>0.11703874730576</v>
      </c>
      <c r="K3654">
        <v>0.102588446585063</v>
      </c>
      <c r="L3654">
        <v>3237.0201438683798</v>
      </c>
      <c r="M3654">
        <v>62.511917540204401</v>
      </c>
      <c r="N3654">
        <v>51.987137927789902</v>
      </c>
      <c r="O3654">
        <v>51.729527706014601</v>
      </c>
      <c r="P3654">
        <v>-0.26915264907604802</v>
      </c>
      <c r="Q3654">
        <v>0.109089165124201</v>
      </c>
      <c r="R3654">
        <v>0.98048112669616905</v>
      </c>
      <c r="S3654" t="s">
        <v>7486</v>
      </c>
      <c r="T3654" t="s">
        <v>7662</v>
      </c>
      <c r="U3654" t="s">
        <v>7662</v>
      </c>
      <c r="V3654" t="s">
        <v>7662</v>
      </c>
      <c r="W3654">
        <v>67</v>
      </c>
      <c r="X3654" t="s">
        <v>11316</v>
      </c>
      <c r="Y3654">
        <v>0.46029211204047848</v>
      </c>
      <c r="Z3654" t="str">
        <f>HYPERLINK("Melting_Curves/meltCurve_tr_H3BPE1_H3BPE1_HUMAN_.pdf", "Melting_Curves/meltCurve_tr_H3BPE1_H3BPE1_HUMAN_.pdf")</f>
        <v>Melting_Curves/meltCurve_tr_H3BPE1_H3BPE1_HUMAN_.pdf</v>
      </c>
      <c r="AA3654" t="s">
        <v>15079</v>
      </c>
      <c r="AB3654" t="s">
        <v>18878</v>
      </c>
    </row>
    <row r="3655" spans="1:28" x14ac:dyDescent="0.25">
      <c r="A3655" t="s">
        <v>3659</v>
      </c>
      <c r="B3655">
        <v>0.98876768158843997</v>
      </c>
      <c r="C3655">
        <v>0.99327091110224297</v>
      </c>
      <c r="D3655">
        <v>0.99236164912873903</v>
      </c>
      <c r="E3655">
        <v>0.74427063380812097</v>
      </c>
      <c r="F3655">
        <v>0.64274397078302303</v>
      </c>
      <c r="G3655">
        <v>0.31084284589758998</v>
      </c>
      <c r="H3655">
        <v>0.18111353120451301</v>
      </c>
      <c r="I3655">
        <v>0.112299611563091</v>
      </c>
      <c r="J3655">
        <v>0.15722690683961699</v>
      </c>
      <c r="K3655">
        <v>0.115598787009097</v>
      </c>
      <c r="L3655">
        <v>967.34374131211302</v>
      </c>
      <c r="M3655">
        <v>18.063973021897301</v>
      </c>
      <c r="N3655">
        <v>54.217220203580801</v>
      </c>
      <c r="O3655">
        <v>52.907629492420803</v>
      </c>
      <c r="P3655">
        <v>-7.6864195811963895E-2</v>
      </c>
      <c r="Q3655">
        <v>9.9532280943044005E-2</v>
      </c>
      <c r="R3655">
        <v>0.99249898687445204</v>
      </c>
      <c r="S3655" t="s">
        <v>7487</v>
      </c>
      <c r="T3655" t="s">
        <v>7662</v>
      </c>
      <c r="U3655" t="s">
        <v>7662</v>
      </c>
      <c r="V3655" t="s">
        <v>7662</v>
      </c>
      <c r="W3655">
        <v>1</v>
      </c>
      <c r="X3655" t="s">
        <v>11317</v>
      </c>
      <c r="Y3655">
        <v>0.52076727782839849</v>
      </c>
      <c r="Z3655" t="str">
        <f>HYPERLINK("Melting_Curves/meltCurve_tr_H3BPN3_H3BPN3_HUMAN_.pdf", "Melting_Curves/meltCurve_tr_H3BPN3_H3BPN3_HUMAN_.pdf")</f>
        <v>Melting_Curves/meltCurve_tr_H3BPN3_H3BPN3_HUMAN_.pdf</v>
      </c>
      <c r="AA3655" t="s">
        <v>15080</v>
      </c>
      <c r="AB3655" t="s">
        <v>18879</v>
      </c>
    </row>
    <row r="3656" spans="1:28" x14ac:dyDescent="0.25">
      <c r="A3656" t="s">
        <v>3660</v>
      </c>
      <c r="B3656">
        <v>0.98876768158843997</v>
      </c>
      <c r="C3656">
        <v>1.02631892721778</v>
      </c>
      <c r="D3656">
        <v>1.4757577654349801</v>
      </c>
      <c r="E3656">
        <v>1.4981526011248101</v>
      </c>
      <c r="F3656">
        <v>0.29611402258326402</v>
      </c>
      <c r="G3656">
        <v>0.137407099252606</v>
      </c>
      <c r="H3656">
        <v>5.7056736861423499E-2</v>
      </c>
      <c r="I3656">
        <v>5.1730617906950799E-2</v>
      </c>
      <c r="J3656">
        <v>4.73938243631392E-2</v>
      </c>
      <c r="K3656">
        <v>6.00012283231285E-2</v>
      </c>
      <c r="L3656">
        <v>13189.6468712899</v>
      </c>
      <c r="M3656">
        <v>250</v>
      </c>
      <c r="N3656">
        <v>52.790766692948402</v>
      </c>
      <c r="O3656">
        <v>52.755211281432203</v>
      </c>
      <c r="P3656">
        <v>-1.1009367711893101</v>
      </c>
      <c r="Q3656">
        <v>7.0717569472146302E-2</v>
      </c>
      <c r="R3656">
        <v>0.85820998090286704</v>
      </c>
      <c r="S3656" t="s">
        <v>7488</v>
      </c>
      <c r="T3656" t="s">
        <v>7662</v>
      </c>
      <c r="U3656" t="s">
        <v>7662</v>
      </c>
      <c r="V3656" t="s">
        <v>7662</v>
      </c>
      <c r="W3656">
        <v>1</v>
      </c>
      <c r="X3656" t="s">
        <v>11318</v>
      </c>
      <c r="Y3656">
        <v>0.46601465180734541</v>
      </c>
      <c r="Z3656" t="str">
        <f>HYPERLINK("Melting_Curves/meltCurve_tr_H3BPZ6_H3BPZ6_HUMAN_.pdf", "Melting_Curves/meltCurve_tr_H3BPZ6_H3BPZ6_HUMAN_.pdf")</f>
        <v>Melting_Curves/meltCurve_tr_H3BPZ6_H3BPZ6_HUMAN_.pdf</v>
      </c>
      <c r="AA3656" t="s">
        <v>15081</v>
      </c>
      <c r="AB3656" t="s">
        <v>18880</v>
      </c>
    </row>
    <row r="3657" spans="1:28" x14ac:dyDescent="0.25">
      <c r="A3657" t="s">
        <v>3661</v>
      </c>
      <c r="B3657">
        <v>0.98876768158843997</v>
      </c>
      <c r="C3657">
        <v>0.84092749156971203</v>
      </c>
      <c r="D3657">
        <v>0.96545038503045599</v>
      </c>
      <c r="E3657">
        <v>0.68602506297399501</v>
      </c>
      <c r="F3657">
        <v>0.814859242379809</v>
      </c>
      <c r="G3657">
        <v>0.72710646012760904</v>
      </c>
      <c r="H3657">
        <v>0.49524995287296703</v>
      </c>
      <c r="I3657">
        <v>0.47803782696828001</v>
      </c>
      <c r="J3657">
        <v>0.56877707236710295</v>
      </c>
      <c r="K3657">
        <v>0.51683352922768</v>
      </c>
      <c r="L3657">
        <v>401.31832454920698</v>
      </c>
      <c r="M3657">
        <v>7.3373286820221599</v>
      </c>
      <c r="N3657">
        <v>69.081095736759593</v>
      </c>
      <c r="O3657">
        <v>51.072514859589504</v>
      </c>
      <c r="P3657">
        <v>-2.1888754511133202E-2</v>
      </c>
      <c r="Q3657">
        <v>0.39150986051481301</v>
      </c>
      <c r="R3657">
        <v>0.826169375557539</v>
      </c>
      <c r="S3657" t="s">
        <v>7489</v>
      </c>
      <c r="T3657" t="s">
        <v>7662</v>
      </c>
      <c r="U3657" t="s">
        <v>7662</v>
      </c>
      <c r="V3657" t="s">
        <v>7662</v>
      </c>
      <c r="W3657">
        <v>1</v>
      </c>
      <c r="X3657" t="s">
        <v>11319</v>
      </c>
      <c r="Y3657">
        <v>0.70761616906347791</v>
      </c>
      <c r="Z3657" t="str">
        <f>HYPERLINK("Melting_Curves/meltCurve_tr_H3BQ58_H3BQ58_HUMAN_.pdf", "Melting_Curves/meltCurve_tr_H3BQ58_H3BQ58_HUMAN_.pdf")</f>
        <v>Melting_Curves/meltCurve_tr_H3BQ58_H3BQ58_HUMAN_.pdf</v>
      </c>
      <c r="AA3657" t="s">
        <v>15082</v>
      </c>
      <c r="AB3657" t="s">
        <v>18881</v>
      </c>
    </row>
    <row r="3658" spans="1:28" x14ac:dyDescent="0.25">
      <c r="A3658" t="s">
        <v>3662</v>
      </c>
      <c r="B3658">
        <v>0.98876768158843997</v>
      </c>
      <c r="C3658">
        <v>0.91034535571795305</v>
      </c>
      <c r="D3658">
        <v>0.77896001262703896</v>
      </c>
      <c r="E3658">
        <v>0.69181389932692805</v>
      </c>
      <c r="F3658">
        <v>0.57924130302108801</v>
      </c>
      <c r="G3658">
        <v>0.28574524999709799</v>
      </c>
      <c r="H3658">
        <v>0.14008676200349099</v>
      </c>
      <c r="I3658">
        <v>0.13347133787433799</v>
      </c>
      <c r="J3658">
        <v>0.13444012195954</v>
      </c>
      <c r="K3658">
        <v>0.126752334077817</v>
      </c>
      <c r="L3658">
        <v>599.21093813677703</v>
      </c>
      <c r="M3658">
        <v>11.3585524614649</v>
      </c>
      <c r="N3658">
        <v>53.074587121493799</v>
      </c>
      <c r="O3658">
        <v>51.198391560321397</v>
      </c>
      <c r="P3658">
        <v>-5.3641431916938501E-2</v>
      </c>
      <c r="Q3658">
        <v>3.3138960178382797E-2</v>
      </c>
      <c r="R3658">
        <v>0.98231050524091201</v>
      </c>
      <c r="S3658" t="s">
        <v>7490</v>
      </c>
      <c r="T3658" t="s">
        <v>7662</v>
      </c>
      <c r="U3658" t="s">
        <v>7662</v>
      </c>
      <c r="V3658" t="s">
        <v>7662</v>
      </c>
      <c r="W3658">
        <v>2</v>
      </c>
      <c r="X3658" t="s">
        <v>11320</v>
      </c>
      <c r="Y3658">
        <v>0.47403152123361758</v>
      </c>
      <c r="Z3658" t="str">
        <f>HYPERLINK("Melting_Curves/meltCurve_tr_H3BQH3_H3BQH3_HUMAN_.pdf", "Melting_Curves/meltCurve_tr_H3BQH3_H3BQH3_HUMAN_.pdf")</f>
        <v>Melting_Curves/meltCurve_tr_H3BQH3_H3BQH3_HUMAN_.pdf</v>
      </c>
      <c r="AA3658" t="s">
        <v>15083</v>
      </c>
      <c r="AB3658" t="s">
        <v>18882</v>
      </c>
    </row>
    <row r="3659" spans="1:28" x14ac:dyDescent="0.25">
      <c r="A3659" t="s">
        <v>3663</v>
      </c>
      <c r="B3659">
        <v>0.98876768158843997</v>
      </c>
      <c r="C3659">
        <v>1.10933629199002</v>
      </c>
      <c r="D3659">
        <v>1.01583758827219</v>
      </c>
      <c r="E3659">
        <v>0.76046181974412397</v>
      </c>
      <c r="F3659">
        <v>0.93743948584807402</v>
      </c>
      <c r="G3659">
        <v>0.65214377276336899</v>
      </c>
      <c r="H3659">
        <v>0.53220583515125197</v>
      </c>
      <c r="I3659">
        <v>0.48357033502083901</v>
      </c>
      <c r="J3659">
        <v>0.90875172120078596</v>
      </c>
      <c r="K3659">
        <v>0.859275925427749</v>
      </c>
      <c r="L3659">
        <v>1183.0583556660499</v>
      </c>
      <c r="M3659">
        <v>23.327500275479</v>
      </c>
      <c r="O3659">
        <v>50.3468875061848</v>
      </c>
      <c r="P3659">
        <v>-3.5037800869211697E-2</v>
      </c>
      <c r="Q3659">
        <v>0.69752211057740998</v>
      </c>
      <c r="R3659">
        <v>0.49276969792650199</v>
      </c>
      <c r="S3659" t="s">
        <v>7491</v>
      </c>
      <c r="T3659" t="s">
        <v>7662</v>
      </c>
      <c r="U3659" t="s">
        <v>7662</v>
      </c>
      <c r="V3659" t="s">
        <v>7662</v>
      </c>
      <c r="W3659">
        <v>2</v>
      </c>
      <c r="X3659" t="s">
        <v>11321</v>
      </c>
      <c r="Y3659">
        <v>0.8086811774772894</v>
      </c>
      <c r="Z3659" t="str">
        <f>HYPERLINK("Melting_Curves/meltCurve_tr_H3BQP5_H3BQP5_HUMAN_.pdf", "Melting_Curves/meltCurve_tr_H3BQP5_H3BQP5_HUMAN_.pdf")</f>
        <v>Melting_Curves/meltCurve_tr_H3BQP5_H3BQP5_HUMAN_.pdf</v>
      </c>
      <c r="AA3659" t="s">
        <v>15084</v>
      </c>
      <c r="AB3659" t="s">
        <v>18883</v>
      </c>
    </row>
    <row r="3660" spans="1:28" x14ac:dyDescent="0.25">
      <c r="A3660" t="s">
        <v>3664</v>
      </c>
      <c r="B3660">
        <v>0.98876768158843997</v>
      </c>
      <c r="C3660">
        <v>0.85670916563701105</v>
      </c>
      <c r="D3660">
        <v>0.86212343367497002</v>
      </c>
      <c r="E3660">
        <v>0.39700104142210202</v>
      </c>
      <c r="F3660">
        <v>0.237664809736231</v>
      </c>
      <c r="G3660">
        <v>7.6581805466880204E-2</v>
      </c>
      <c r="H3660">
        <v>6.0297349114254703E-2</v>
      </c>
      <c r="I3660">
        <v>5.5027699216678001E-2</v>
      </c>
      <c r="J3660">
        <v>5.5151151415432698E-2</v>
      </c>
      <c r="K3660">
        <v>6.2021611707823797E-2</v>
      </c>
      <c r="L3660">
        <v>1013.19370800926</v>
      </c>
      <c r="M3660">
        <v>20.675330202361401</v>
      </c>
      <c r="N3660">
        <v>49.245558353183597</v>
      </c>
      <c r="O3660">
        <v>48.553433735971403</v>
      </c>
      <c r="P3660">
        <v>-0.101345359545743</v>
      </c>
      <c r="Q3660">
        <v>4.8039598244145297E-2</v>
      </c>
      <c r="R3660">
        <v>0.98920111980482395</v>
      </c>
      <c r="S3660" t="s">
        <v>7492</v>
      </c>
      <c r="T3660" t="s">
        <v>7662</v>
      </c>
      <c r="U3660" t="s">
        <v>7662</v>
      </c>
      <c r="V3660" t="s">
        <v>7662</v>
      </c>
      <c r="W3660">
        <v>2</v>
      </c>
      <c r="X3660" t="s">
        <v>11322</v>
      </c>
      <c r="Y3660">
        <v>0.34624714003252</v>
      </c>
      <c r="Z3660" t="str">
        <f>HYPERLINK("Melting_Curves/meltCurve_tr_H3BQV3_H3BQV3_HUMAN_.pdf", "Melting_Curves/meltCurve_tr_H3BQV3_H3BQV3_HUMAN_.pdf")</f>
        <v>Melting_Curves/meltCurve_tr_H3BQV3_H3BQV3_HUMAN_.pdf</v>
      </c>
      <c r="AA3660" t="s">
        <v>15085</v>
      </c>
      <c r="AB3660" t="s">
        <v>18884</v>
      </c>
    </row>
    <row r="3661" spans="1:28" x14ac:dyDescent="0.25">
      <c r="A3661" t="s">
        <v>3665</v>
      </c>
      <c r="B3661">
        <v>0.98876768158843997</v>
      </c>
      <c r="C3661">
        <v>1.00462980516413</v>
      </c>
      <c r="D3661">
        <v>0.94173807957761402</v>
      </c>
      <c r="E3661">
        <v>0.64211309406495698</v>
      </c>
      <c r="F3661">
        <v>0.49319940186328898</v>
      </c>
      <c r="G3661">
        <v>0.29159061904042</v>
      </c>
      <c r="H3661">
        <v>0.21467683888525599</v>
      </c>
      <c r="I3661">
        <v>0.23879303211897501</v>
      </c>
      <c r="J3661">
        <v>0.29070599338323599</v>
      </c>
      <c r="K3661">
        <v>0.35585632456212402</v>
      </c>
      <c r="L3661">
        <v>1189.6469059014401</v>
      </c>
      <c r="M3661">
        <v>23.596519873142899</v>
      </c>
      <c r="N3661">
        <v>52.138792719261303</v>
      </c>
      <c r="O3661">
        <v>50.0582949939729</v>
      </c>
      <c r="P3661">
        <v>-8.5945605935135005E-2</v>
      </c>
      <c r="Q3661">
        <v>0.27070306311083198</v>
      </c>
      <c r="R3661">
        <v>0.98151679622014298</v>
      </c>
      <c r="S3661" t="s">
        <v>7493</v>
      </c>
      <c r="T3661" t="s">
        <v>7662</v>
      </c>
      <c r="U3661" t="s">
        <v>7662</v>
      </c>
      <c r="V3661" t="s">
        <v>7662</v>
      </c>
      <c r="W3661">
        <v>10</v>
      </c>
      <c r="X3661" t="s">
        <v>11323</v>
      </c>
      <c r="Y3661">
        <v>0.53126256239776615</v>
      </c>
      <c r="Z3661" t="str">
        <f>HYPERLINK("Melting_Curves/meltCurve_tr_H3BQZ7_H3BQZ7_HUMAN_.pdf", "Melting_Curves/meltCurve_tr_H3BQZ7_H3BQZ7_HUMAN_.pdf")</f>
        <v>Melting_Curves/meltCurve_tr_H3BQZ7_H3BQZ7_HUMAN_.pdf</v>
      </c>
      <c r="AA3661" t="s">
        <v>15086</v>
      </c>
      <c r="AB3661" t="s">
        <v>18885</v>
      </c>
    </row>
    <row r="3662" spans="1:28" x14ac:dyDescent="0.25">
      <c r="A3662" t="s">
        <v>3666</v>
      </c>
      <c r="B3662">
        <v>0.98876768158843997</v>
      </c>
      <c r="C3662">
        <v>1.2090569008929</v>
      </c>
      <c r="D3662">
        <v>0.87152866589163502</v>
      </c>
      <c r="E3662">
        <v>0.79213332180534701</v>
      </c>
      <c r="F3662">
        <v>1.0530945348707199</v>
      </c>
      <c r="G3662">
        <v>0.76891134809109896</v>
      </c>
      <c r="H3662">
        <v>0.61742153717831205</v>
      </c>
      <c r="I3662">
        <v>0.70105041109160404</v>
      </c>
      <c r="J3662">
        <v>1.0010737925964299</v>
      </c>
      <c r="K3662">
        <v>1.0562076020012201</v>
      </c>
      <c r="L3662">
        <v>11403.6855779778</v>
      </c>
      <c r="M3662">
        <v>250</v>
      </c>
      <c r="O3662">
        <v>45.611823718202601</v>
      </c>
      <c r="P3662">
        <v>-0.19772984505703201</v>
      </c>
      <c r="Q3662">
        <v>0.85569890019876504</v>
      </c>
      <c r="R3662">
        <v>0.23782029178997299</v>
      </c>
      <c r="S3662" t="s">
        <v>7494</v>
      </c>
      <c r="T3662" t="s">
        <v>7662</v>
      </c>
      <c r="U3662" t="s">
        <v>7662</v>
      </c>
      <c r="V3662" t="s">
        <v>7662</v>
      </c>
      <c r="W3662">
        <v>12</v>
      </c>
      <c r="X3662" t="s">
        <v>11324</v>
      </c>
      <c r="Y3662">
        <v>0.88271756831518211</v>
      </c>
      <c r="Z3662" t="str">
        <f>HYPERLINK("Melting_Curves/meltCurve_tr_H3BRF9_H3BRF9_HUMAN_.pdf", "Melting_Curves/meltCurve_tr_H3BRF9_H3BRF9_HUMAN_.pdf")</f>
        <v>Melting_Curves/meltCurve_tr_H3BRF9_H3BRF9_HUMAN_.pdf</v>
      </c>
      <c r="AA3662" t="s">
        <v>15087</v>
      </c>
      <c r="AB3662" t="s">
        <v>18886</v>
      </c>
    </row>
    <row r="3663" spans="1:28" x14ac:dyDescent="0.25">
      <c r="A3663" t="s">
        <v>3667</v>
      </c>
      <c r="B3663">
        <v>0.98876768158843997</v>
      </c>
      <c r="C3663">
        <v>1.1074501920014901</v>
      </c>
      <c r="D3663">
        <v>0.87471728803712001</v>
      </c>
      <c r="E3663">
        <v>0.742732262347511</v>
      </c>
      <c r="F3663">
        <v>0.84335845962436395</v>
      </c>
      <c r="G3663">
        <v>0.51305987836794598</v>
      </c>
      <c r="H3663">
        <v>0.221226678333591</v>
      </c>
      <c r="I3663">
        <v>0.12444159550395099</v>
      </c>
      <c r="J3663">
        <v>9.4800009096114093E-2</v>
      </c>
      <c r="K3663">
        <v>0.11036324314698</v>
      </c>
      <c r="L3663">
        <v>813.82931177943397</v>
      </c>
      <c r="M3663">
        <v>14.3428233961919</v>
      </c>
      <c r="N3663">
        <v>56.741245554355203</v>
      </c>
      <c r="O3663">
        <v>55.672405843518298</v>
      </c>
      <c r="P3663">
        <v>-6.4414995274595599E-2</v>
      </c>
      <c r="Q3663">
        <v>0</v>
      </c>
      <c r="R3663">
        <v>0.958900753406422</v>
      </c>
      <c r="S3663" t="s">
        <v>7495</v>
      </c>
      <c r="T3663" t="s">
        <v>7662</v>
      </c>
      <c r="U3663" t="s">
        <v>7662</v>
      </c>
      <c r="V3663" t="s">
        <v>7662</v>
      </c>
      <c r="W3663">
        <v>6</v>
      </c>
      <c r="X3663" t="s">
        <v>11325</v>
      </c>
      <c r="Y3663">
        <v>0.57484349051104133</v>
      </c>
      <c r="Z3663" t="str">
        <f>HYPERLINK("Melting_Curves/meltCurve_tr_H3BRL3_H3BRL3_HUMAN_.pdf", "Melting_Curves/meltCurve_tr_H3BRL3_H3BRL3_HUMAN_.pdf")</f>
        <v>Melting_Curves/meltCurve_tr_H3BRL3_H3BRL3_HUMAN_.pdf</v>
      </c>
      <c r="AA3663" t="s">
        <v>15088</v>
      </c>
      <c r="AB3663" t="s">
        <v>18887</v>
      </c>
    </row>
    <row r="3664" spans="1:28" x14ac:dyDescent="0.25">
      <c r="A3664" t="s">
        <v>3668</v>
      </c>
      <c r="B3664">
        <v>0.98876768158843997</v>
      </c>
      <c r="C3664">
        <v>0.92005100014816099</v>
      </c>
      <c r="D3664">
        <v>0.90474325742291095</v>
      </c>
      <c r="E3664">
        <v>0.80237669373044895</v>
      </c>
      <c r="F3664">
        <v>0.61093642232692402</v>
      </c>
      <c r="G3664">
        <v>0.48206598351261398</v>
      </c>
      <c r="H3664">
        <v>0.41116077642847298</v>
      </c>
      <c r="I3664">
        <v>0.446831218497108</v>
      </c>
      <c r="J3664">
        <v>0.59466701211038098</v>
      </c>
      <c r="K3664">
        <v>0.61441292533949499</v>
      </c>
      <c r="L3664">
        <v>1215.4473263453399</v>
      </c>
      <c r="M3664">
        <v>24.213188325885898</v>
      </c>
      <c r="O3664">
        <v>49.859098828593403</v>
      </c>
      <c r="P3664">
        <v>-6.0055571182036603E-2</v>
      </c>
      <c r="Q3664">
        <v>0.50534874211008496</v>
      </c>
      <c r="R3664">
        <v>0.88818187806295201</v>
      </c>
      <c r="S3664" t="s">
        <v>7496</v>
      </c>
      <c r="T3664" t="s">
        <v>7662</v>
      </c>
      <c r="U3664" t="s">
        <v>7662</v>
      </c>
      <c r="V3664" t="s">
        <v>7662</v>
      </c>
      <c r="W3664">
        <v>3</v>
      </c>
      <c r="X3664" t="s">
        <v>11326</v>
      </c>
      <c r="Y3664">
        <v>0.67821543735546574</v>
      </c>
      <c r="Z3664" t="str">
        <f>HYPERLINK("Melting_Curves/meltCurve_tr_H3BRQ0_H3BRQ0_HUMAN_.pdf", "Melting_Curves/meltCurve_tr_H3BRQ0_H3BRQ0_HUMAN_.pdf")</f>
        <v>Melting_Curves/meltCurve_tr_H3BRQ0_H3BRQ0_HUMAN_.pdf</v>
      </c>
      <c r="AA3664" t="s">
        <v>15089</v>
      </c>
      <c r="AB3664" t="s">
        <v>18888</v>
      </c>
    </row>
    <row r="3665" spans="1:28" x14ac:dyDescent="0.25">
      <c r="A3665" t="s">
        <v>3669</v>
      </c>
      <c r="B3665">
        <v>0.98876768158843997</v>
      </c>
      <c r="C3665">
        <v>1.0639559037411499</v>
      </c>
      <c r="D3665">
        <v>1.0013070645642601</v>
      </c>
      <c r="E3665">
        <v>0.59617192768679705</v>
      </c>
      <c r="F3665">
        <v>0.43926250447981702</v>
      </c>
      <c r="G3665">
        <v>0.331315072758471</v>
      </c>
      <c r="H3665">
        <v>0.24002875927496001</v>
      </c>
      <c r="I3665">
        <v>0.26982551778295899</v>
      </c>
      <c r="J3665">
        <v>0.28794682966874902</v>
      </c>
      <c r="K3665">
        <v>0.32438249206363001</v>
      </c>
      <c r="L3665">
        <v>1538.4121093876399</v>
      </c>
      <c r="M3665">
        <v>30.831333413109199</v>
      </c>
      <c r="N3665">
        <v>51.357385367696303</v>
      </c>
      <c r="O3665">
        <v>49.689155427999196</v>
      </c>
      <c r="P3665">
        <v>-0.109851107461668</v>
      </c>
      <c r="Q3665">
        <v>0.29184003690875798</v>
      </c>
      <c r="R3665">
        <v>0.98408720913166703</v>
      </c>
      <c r="S3665" t="s">
        <v>7497</v>
      </c>
      <c r="T3665" t="s">
        <v>7662</v>
      </c>
      <c r="U3665" t="s">
        <v>7662</v>
      </c>
      <c r="V3665" t="s">
        <v>7662</v>
      </c>
      <c r="W3665">
        <v>16</v>
      </c>
      <c r="X3665" t="s">
        <v>11327</v>
      </c>
      <c r="Y3665">
        <v>0.52961541611016272</v>
      </c>
      <c r="Z3665" t="str">
        <f>HYPERLINK("Melting_Curves/meltCurve_tr_H3BRV0_H3BRV0_HUMAN_.pdf", "Melting_Curves/meltCurve_tr_H3BRV0_H3BRV0_HUMAN_.pdf")</f>
        <v>Melting_Curves/meltCurve_tr_H3BRV0_H3BRV0_HUMAN_.pdf</v>
      </c>
      <c r="AA3665" t="s">
        <v>15090</v>
      </c>
      <c r="AB3665" t="s">
        <v>18889</v>
      </c>
    </row>
    <row r="3666" spans="1:28" x14ac:dyDescent="0.25">
      <c r="A3666" t="s">
        <v>3670</v>
      </c>
      <c r="B3666">
        <v>0.98876768158843997</v>
      </c>
      <c r="C3666">
        <v>0.92726597528842103</v>
      </c>
      <c r="D3666">
        <v>0.97152315300341097</v>
      </c>
      <c r="E3666">
        <v>0.86334307931375798</v>
      </c>
      <c r="F3666">
        <v>0.61978527831188901</v>
      </c>
      <c r="G3666">
        <v>0.22426513941586701</v>
      </c>
      <c r="H3666">
        <v>0.111372955879058</v>
      </c>
      <c r="I3666">
        <v>9.2312039120634307E-2</v>
      </c>
      <c r="J3666">
        <v>0.11317252141228901</v>
      </c>
      <c r="K3666">
        <v>9.3644796601224906E-2</v>
      </c>
      <c r="L3666">
        <v>1432.0770407903799</v>
      </c>
      <c r="M3666">
        <v>26.763391769484901</v>
      </c>
      <c r="N3666">
        <v>53.902929119730999</v>
      </c>
      <c r="O3666">
        <v>53.212733432853703</v>
      </c>
      <c r="P3666">
        <v>-0.11456511114571</v>
      </c>
      <c r="Q3666">
        <v>8.8865739726618001E-2</v>
      </c>
      <c r="R3666">
        <v>0.99544777145187402</v>
      </c>
      <c r="S3666" t="s">
        <v>7498</v>
      </c>
      <c r="T3666" t="s">
        <v>7662</v>
      </c>
      <c r="U3666" t="s">
        <v>7662</v>
      </c>
      <c r="V3666" t="s">
        <v>7662</v>
      </c>
      <c r="W3666">
        <v>12</v>
      </c>
      <c r="X3666" t="s">
        <v>11328</v>
      </c>
      <c r="Y3666">
        <v>0.5065506753966722</v>
      </c>
      <c r="Z3666" t="str">
        <f>HYPERLINK("Melting_Curves/meltCurve_tr_H3BS10_H3BS10_HUMAN_.pdf", "Melting_Curves/meltCurve_tr_H3BS10_H3BS10_HUMAN_.pdf")</f>
        <v>Melting_Curves/meltCurve_tr_H3BS10_H3BS10_HUMAN_.pdf</v>
      </c>
      <c r="AA3666" t="s">
        <v>15091</v>
      </c>
      <c r="AB3666" t="s">
        <v>18890</v>
      </c>
    </row>
    <row r="3667" spans="1:28" x14ac:dyDescent="0.25">
      <c r="A3667" t="s">
        <v>3671</v>
      </c>
      <c r="B3667">
        <v>0.98876768158843997</v>
      </c>
      <c r="C3667">
        <v>1.1804257454192799</v>
      </c>
      <c r="D3667">
        <v>0.93453468723838995</v>
      </c>
      <c r="E3667">
        <v>0.63928871497354001</v>
      </c>
      <c r="F3667">
        <v>0.80511072728164401</v>
      </c>
      <c r="G3667">
        <v>0.33792071532902201</v>
      </c>
      <c r="H3667">
        <v>6.4935240211901196E-2</v>
      </c>
      <c r="I3667">
        <v>7.4262831325538306E-2</v>
      </c>
      <c r="J3667">
        <v>3.9482953530347399E-2</v>
      </c>
      <c r="K3667">
        <v>4.2889231215856097E-2</v>
      </c>
      <c r="L3667">
        <v>939.534082995414</v>
      </c>
      <c r="M3667">
        <v>17.144646637344898</v>
      </c>
      <c r="N3667">
        <v>54.800411885910002</v>
      </c>
      <c r="O3667">
        <v>54.071178110862597</v>
      </c>
      <c r="P3667">
        <v>-7.9273615429269695E-2</v>
      </c>
      <c r="Q3667">
        <v>0</v>
      </c>
      <c r="R3667">
        <v>0.93929663831009602</v>
      </c>
      <c r="S3667" t="s">
        <v>7499</v>
      </c>
      <c r="T3667" t="s">
        <v>7662</v>
      </c>
      <c r="U3667" t="s">
        <v>7662</v>
      </c>
      <c r="V3667" t="s">
        <v>7662</v>
      </c>
      <c r="W3667">
        <v>1</v>
      </c>
      <c r="X3667" t="s">
        <v>11329</v>
      </c>
      <c r="Y3667">
        <v>0.50999146504477588</v>
      </c>
      <c r="Z3667" t="str">
        <f>HYPERLINK("Melting_Curves/meltCurve_tr_H3BSW0_H3BSW0_HUMAN_.pdf", "Melting_Curves/meltCurve_tr_H3BSW0_H3BSW0_HUMAN_.pdf")</f>
        <v>Melting_Curves/meltCurve_tr_H3BSW0_H3BSW0_HUMAN_.pdf</v>
      </c>
      <c r="AA3667" t="s">
        <v>15092</v>
      </c>
      <c r="AB3667" t="s">
        <v>18891</v>
      </c>
    </row>
    <row r="3668" spans="1:28" x14ac:dyDescent="0.25">
      <c r="A3668" t="s">
        <v>3672</v>
      </c>
      <c r="B3668">
        <v>0.98876768158843997</v>
      </c>
      <c r="C3668">
        <v>0.92847507358012804</v>
      </c>
      <c r="D3668">
        <v>0.71656551725182205</v>
      </c>
      <c r="E3668">
        <v>0.274383131609516</v>
      </c>
      <c r="F3668">
        <v>0.16913643074426701</v>
      </c>
      <c r="G3668">
        <v>0.100172199790436</v>
      </c>
      <c r="H3668">
        <v>6.8363927982297998E-2</v>
      </c>
      <c r="I3668">
        <v>7.3687667563728201E-2</v>
      </c>
      <c r="J3668">
        <v>8.1741078262710806E-2</v>
      </c>
      <c r="K3668">
        <v>9.1261177821399295E-2</v>
      </c>
      <c r="L3668">
        <v>1146.58530919997</v>
      </c>
      <c r="M3668">
        <v>24.155712624186101</v>
      </c>
      <c r="N3668">
        <v>47.812907540471599</v>
      </c>
      <c r="O3668">
        <v>47.144708325280099</v>
      </c>
      <c r="P3668">
        <v>-0.117810273290524</v>
      </c>
      <c r="Q3668">
        <v>8.0292977376110006E-2</v>
      </c>
      <c r="R3668">
        <v>0.99905540269764703</v>
      </c>
      <c r="S3668" t="s">
        <v>7500</v>
      </c>
      <c r="T3668" t="s">
        <v>7662</v>
      </c>
      <c r="U3668" t="s">
        <v>7662</v>
      </c>
      <c r="V3668" t="s">
        <v>7662</v>
      </c>
      <c r="W3668">
        <v>11</v>
      </c>
      <c r="X3668" t="s">
        <v>11330</v>
      </c>
      <c r="Y3668">
        <v>0.31797616141879692</v>
      </c>
      <c r="Z3668" t="str">
        <f>HYPERLINK("Melting_Curves/meltCurve_tr_H3BTB7_H3BTB7_HUMAN_.pdf", "Melting_Curves/meltCurve_tr_H3BTB7_H3BTB7_HUMAN_.pdf")</f>
        <v>Melting_Curves/meltCurve_tr_H3BTB7_H3BTB7_HUMAN_.pdf</v>
      </c>
      <c r="AA3668" t="s">
        <v>15093</v>
      </c>
      <c r="AB3668" t="s">
        <v>18892</v>
      </c>
    </row>
    <row r="3669" spans="1:28" x14ac:dyDescent="0.25">
      <c r="A3669" t="s">
        <v>3673</v>
      </c>
      <c r="B3669">
        <v>0.98876768158843997</v>
      </c>
      <c r="C3669">
        <v>0.99709113872522603</v>
      </c>
      <c r="D3669">
        <v>0.96953434405654604</v>
      </c>
      <c r="E3669">
        <v>0.73793031556444699</v>
      </c>
      <c r="F3669">
        <v>0.37507121358120699</v>
      </c>
      <c r="G3669">
        <v>0.169878158945337</v>
      </c>
      <c r="H3669">
        <v>8.2729394118685698E-2</v>
      </c>
      <c r="I3669">
        <v>7.9263384430289796E-2</v>
      </c>
      <c r="J3669">
        <v>9.3653854540682605E-2</v>
      </c>
      <c r="K3669">
        <v>9.7118598728358693E-2</v>
      </c>
      <c r="L3669">
        <v>1426.8063038174</v>
      </c>
      <c r="M3669">
        <v>27.650549575984801</v>
      </c>
      <c r="N3669">
        <v>51.961098473550699</v>
      </c>
      <c r="O3669">
        <v>51.333751006467203</v>
      </c>
      <c r="P3669">
        <v>-0.122931663089552</v>
      </c>
      <c r="Q3669">
        <v>8.7109002871589694E-2</v>
      </c>
      <c r="R3669">
        <v>0.99922370774849301</v>
      </c>
      <c r="S3669" t="s">
        <v>7501</v>
      </c>
      <c r="T3669" t="s">
        <v>7662</v>
      </c>
      <c r="U3669" t="s">
        <v>7662</v>
      </c>
      <c r="V3669" t="s">
        <v>7662</v>
      </c>
      <c r="W3669">
        <v>2</v>
      </c>
      <c r="X3669" t="s">
        <v>11331</v>
      </c>
      <c r="Y3669">
        <v>0.44694868465991838</v>
      </c>
      <c r="Z3669" t="str">
        <f>HYPERLINK("Melting_Curves/meltCurve_tr_H3BTL2_H3BTL2_HUMAN_.pdf", "Melting_Curves/meltCurve_tr_H3BTL2_H3BTL2_HUMAN_.pdf")</f>
        <v>Melting_Curves/meltCurve_tr_H3BTL2_H3BTL2_HUMAN_.pdf</v>
      </c>
      <c r="AA3669" t="s">
        <v>15094</v>
      </c>
      <c r="AB3669" t="s">
        <v>18893</v>
      </c>
    </row>
    <row r="3670" spans="1:28" x14ac:dyDescent="0.25">
      <c r="A3670" t="s">
        <v>3674</v>
      </c>
      <c r="B3670">
        <v>0.98876768158843997</v>
      </c>
      <c r="C3670">
        <v>0.802859829189145</v>
      </c>
      <c r="D3670">
        <v>0.85978049368337395</v>
      </c>
      <c r="E3670">
        <v>0.53685687198252097</v>
      </c>
      <c r="F3670">
        <v>0.45247578941725403</v>
      </c>
      <c r="G3670">
        <v>0.31857365767801499</v>
      </c>
      <c r="H3670">
        <v>0.229789767329244</v>
      </c>
      <c r="I3670">
        <v>0.20305247908472901</v>
      </c>
      <c r="J3670">
        <v>0.36299777121592902</v>
      </c>
      <c r="K3670">
        <v>0.35191452279837199</v>
      </c>
      <c r="L3670">
        <v>757.13096838476804</v>
      </c>
      <c r="M3670">
        <v>15.5960680661243</v>
      </c>
      <c r="N3670">
        <v>51.129567228871998</v>
      </c>
      <c r="O3670">
        <v>47.769149042960201</v>
      </c>
      <c r="P3670">
        <v>-5.9375470991834302E-2</v>
      </c>
      <c r="Q3670">
        <v>0.272619282414095</v>
      </c>
      <c r="R3670">
        <v>0.93581984365383797</v>
      </c>
      <c r="S3670" t="s">
        <v>7502</v>
      </c>
      <c r="T3670" t="s">
        <v>7662</v>
      </c>
      <c r="U3670" t="s">
        <v>7662</v>
      </c>
      <c r="V3670" t="s">
        <v>7662</v>
      </c>
      <c r="W3670">
        <v>2</v>
      </c>
      <c r="X3670" t="s">
        <v>11332</v>
      </c>
      <c r="Y3670">
        <v>0.49677414322316538</v>
      </c>
      <c r="Z3670" t="str">
        <f>HYPERLINK("Melting_Curves/meltCurve_tr_H3BTP7_H3BTP7_HUMAN_.pdf", "Melting_Curves/meltCurve_tr_H3BTP7_H3BTP7_HUMAN_.pdf")</f>
        <v>Melting_Curves/meltCurve_tr_H3BTP7_H3BTP7_HUMAN_.pdf</v>
      </c>
      <c r="AA3670" t="s">
        <v>15095</v>
      </c>
      <c r="AB3670" t="s">
        <v>18894</v>
      </c>
    </row>
    <row r="3671" spans="1:28" x14ac:dyDescent="0.25">
      <c r="A3671" t="s">
        <v>3675</v>
      </c>
      <c r="B3671">
        <v>0.98876768158843997</v>
      </c>
      <c r="C3671">
        <v>1.10504593603531</v>
      </c>
      <c r="D3671">
        <v>0.95932458555160105</v>
      </c>
      <c r="E3671">
        <v>0.86052285369176496</v>
      </c>
      <c r="F3671">
        <v>1.07060026134728</v>
      </c>
      <c r="G3671">
        <v>0.53721786418202999</v>
      </c>
      <c r="H3671">
        <v>0.304569266913359</v>
      </c>
      <c r="I3671">
        <v>0.30812001982717802</v>
      </c>
      <c r="J3671">
        <v>0.56531699956018899</v>
      </c>
      <c r="K3671">
        <v>0.39715167387817901</v>
      </c>
      <c r="L3671">
        <v>14183.229024786</v>
      </c>
      <c r="M3671">
        <v>250</v>
      </c>
      <c r="N3671">
        <v>57.086684241806999</v>
      </c>
      <c r="O3671">
        <v>56.729285599219601</v>
      </c>
      <c r="P3671">
        <v>-0.66787650736450099</v>
      </c>
      <c r="Q3671">
        <v>0.39378948693482702</v>
      </c>
      <c r="R3671">
        <v>0.91119037089491495</v>
      </c>
      <c r="S3671" t="s">
        <v>7503</v>
      </c>
      <c r="T3671" t="s">
        <v>7662</v>
      </c>
      <c r="U3671" t="s">
        <v>7662</v>
      </c>
      <c r="V3671" t="s">
        <v>7662</v>
      </c>
      <c r="W3671">
        <v>1</v>
      </c>
      <c r="X3671" t="s">
        <v>11333</v>
      </c>
      <c r="Y3671">
        <v>0.73197216630244644</v>
      </c>
      <c r="Z3671" t="str">
        <f>HYPERLINK("Melting_Curves/meltCurve_tr_H3BU49_H3BU49_HUMAN_.pdf", "Melting_Curves/meltCurve_tr_H3BU49_H3BU49_HUMAN_.pdf")</f>
        <v>Melting_Curves/meltCurve_tr_H3BU49_H3BU49_HUMAN_.pdf</v>
      </c>
      <c r="AA3671" t="s">
        <v>15096</v>
      </c>
      <c r="AB3671" t="s">
        <v>18895</v>
      </c>
    </row>
    <row r="3672" spans="1:28" x14ac:dyDescent="0.25">
      <c r="A3672" t="s">
        <v>3676</v>
      </c>
      <c r="B3672">
        <v>0.98876768158843997</v>
      </c>
      <c r="C3672">
        <v>0.96039154794968196</v>
      </c>
      <c r="D3672">
        <v>1.0591734396307999</v>
      </c>
      <c r="E3672">
        <v>0.74132471110201104</v>
      </c>
      <c r="F3672">
        <v>0.34161487727126899</v>
      </c>
      <c r="G3672">
        <v>0.15522330317879399</v>
      </c>
      <c r="H3672">
        <v>9.0201198064507604E-2</v>
      </c>
      <c r="I3672">
        <v>7.28289966907813E-2</v>
      </c>
      <c r="J3672">
        <v>7.6280055460653404E-2</v>
      </c>
      <c r="K3672">
        <v>7.04605893129817E-2</v>
      </c>
      <c r="L3672">
        <v>1680.25314896583</v>
      </c>
      <c r="M3672">
        <v>32.615430647253604</v>
      </c>
      <c r="N3672">
        <v>51.8042423023076</v>
      </c>
      <c r="O3672">
        <v>51.324604375733102</v>
      </c>
      <c r="P3672">
        <v>-0.14573297193913401</v>
      </c>
      <c r="Q3672">
        <v>8.2685318381475401E-2</v>
      </c>
      <c r="R3672">
        <v>0.99447165116738001</v>
      </c>
      <c r="S3672" t="s">
        <v>7504</v>
      </c>
      <c r="T3672" t="s">
        <v>7662</v>
      </c>
      <c r="U3672" t="s">
        <v>7662</v>
      </c>
      <c r="V3672" t="s">
        <v>7662</v>
      </c>
      <c r="W3672">
        <v>3</v>
      </c>
      <c r="X3672" t="s">
        <v>11334</v>
      </c>
      <c r="Y3672">
        <v>0.43976767532188848</v>
      </c>
      <c r="Z3672" t="str">
        <f>HYPERLINK("Melting_Curves/meltCurve_tr_H3BUL2_H3BUL2_HUMAN_.pdf", "Melting_Curves/meltCurve_tr_H3BUL2_H3BUL2_HUMAN_.pdf")</f>
        <v>Melting_Curves/meltCurve_tr_H3BUL2_H3BUL2_HUMAN_.pdf</v>
      </c>
      <c r="AA3672" t="s">
        <v>15097</v>
      </c>
      <c r="AB3672" t="s">
        <v>18896</v>
      </c>
    </row>
    <row r="3673" spans="1:28" x14ac:dyDescent="0.25">
      <c r="A3673" t="s">
        <v>3677</v>
      </c>
      <c r="B3673">
        <v>0.98876768158843997</v>
      </c>
      <c r="C3673">
        <v>0.97101049691268204</v>
      </c>
      <c r="D3673">
        <v>0.77271877483958495</v>
      </c>
      <c r="E3673">
        <v>0.79602640012457304</v>
      </c>
      <c r="F3673">
        <v>0.69114659131172196</v>
      </c>
      <c r="G3673">
        <v>0.49895757087756798</v>
      </c>
      <c r="H3673">
        <v>0.40043734834377998</v>
      </c>
      <c r="I3673">
        <v>0.47289551442396399</v>
      </c>
      <c r="J3673">
        <v>0.62891401253564405</v>
      </c>
      <c r="K3673">
        <v>0.53293286428129005</v>
      </c>
      <c r="L3673">
        <v>683.67469943618005</v>
      </c>
      <c r="M3673">
        <v>13.828267473382301</v>
      </c>
      <c r="O3673">
        <v>48.440857892092403</v>
      </c>
      <c r="P3673">
        <v>-3.6291029773258897E-2</v>
      </c>
      <c r="Q3673">
        <v>0.491556334410294</v>
      </c>
      <c r="R3673">
        <v>0.85450817869365203</v>
      </c>
      <c r="S3673" t="s">
        <v>7505</v>
      </c>
      <c r="T3673" t="s">
        <v>7662</v>
      </c>
      <c r="U3673" t="s">
        <v>7662</v>
      </c>
      <c r="V3673" t="s">
        <v>7662</v>
      </c>
      <c r="W3673">
        <v>1</v>
      </c>
      <c r="X3673" t="s">
        <v>11335</v>
      </c>
      <c r="Y3673">
        <v>0.66585286879122307</v>
      </c>
      <c r="Z3673" t="str">
        <f>HYPERLINK("Melting_Curves/meltCurve_tr_H3BUU5_H3BUU5_HUMAN_.pdf", "Melting_Curves/meltCurve_tr_H3BUU5_H3BUU5_HUMAN_.pdf")</f>
        <v>Melting_Curves/meltCurve_tr_H3BUU5_H3BUU5_HUMAN_.pdf</v>
      </c>
      <c r="AA3673" t="s">
        <v>15098</v>
      </c>
      <c r="AB3673" t="s">
        <v>18897</v>
      </c>
    </row>
    <row r="3674" spans="1:28" x14ac:dyDescent="0.25">
      <c r="A3674" t="s">
        <v>3678</v>
      </c>
      <c r="B3674">
        <v>0.98876768158843997</v>
      </c>
      <c r="C3674">
        <v>1.0131076306229501</v>
      </c>
      <c r="D3674">
        <v>0.99498661338484795</v>
      </c>
      <c r="E3674">
        <v>0.71584512992891902</v>
      </c>
      <c r="F3674">
        <v>0.27874507021461797</v>
      </c>
      <c r="G3674">
        <v>0.15680795451034801</v>
      </c>
      <c r="H3674">
        <v>0.12741240540684101</v>
      </c>
      <c r="I3674">
        <v>0.11084730146512101</v>
      </c>
      <c r="J3674">
        <v>7.2239447589787703E-2</v>
      </c>
      <c r="K3674">
        <v>6.8677944223503498E-2</v>
      </c>
      <c r="L3674">
        <v>1853.8755255271201</v>
      </c>
      <c r="M3674">
        <v>36.316865273448897</v>
      </c>
      <c r="N3674">
        <v>51.366919794429002</v>
      </c>
      <c r="O3674">
        <v>50.893198520838503</v>
      </c>
      <c r="P3674">
        <v>-0.16035293140253501</v>
      </c>
      <c r="Q3674">
        <v>0.10115057420260699</v>
      </c>
      <c r="R3674">
        <v>0.99725715546278204</v>
      </c>
      <c r="S3674" t="s">
        <v>7506</v>
      </c>
      <c r="T3674" t="s">
        <v>7662</v>
      </c>
      <c r="U3674" t="s">
        <v>7662</v>
      </c>
      <c r="V3674" t="s">
        <v>7662</v>
      </c>
      <c r="W3674">
        <v>2</v>
      </c>
      <c r="X3674" t="s">
        <v>11336</v>
      </c>
      <c r="Y3674">
        <v>0.43599639301922011</v>
      </c>
      <c r="Z3674" t="str">
        <f>HYPERLINK("Melting_Curves/meltCurve_tr_H7BXD8_H7BXD8_HUMAN_.pdf", "Melting_Curves/meltCurve_tr_H7BXD8_H7BXD8_HUMAN_.pdf")</f>
        <v>Melting_Curves/meltCurve_tr_H7BXD8_H7BXD8_HUMAN_.pdf</v>
      </c>
      <c r="AA3674" t="s">
        <v>15099</v>
      </c>
      <c r="AB3674" t="s">
        <v>18898</v>
      </c>
    </row>
    <row r="3675" spans="1:28" x14ac:dyDescent="0.25">
      <c r="A3675" t="s">
        <v>3679</v>
      </c>
      <c r="B3675">
        <v>0.98876768158843997</v>
      </c>
      <c r="C3675">
        <v>1.0668931294423001</v>
      </c>
      <c r="D3675">
        <v>0.96603133302072497</v>
      </c>
      <c r="E3675">
        <v>0.84784771061192399</v>
      </c>
      <c r="F3675">
        <v>0.89994719532839995</v>
      </c>
      <c r="G3675">
        <v>0.59917427746459495</v>
      </c>
      <c r="H3675">
        <v>0.45472069526819298</v>
      </c>
      <c r="I3675">
        <v>0.497150400937373</v>
      </c>
      <c r="J3675">
        <v>0.68358417186378495</v>
      </c>
      <c r="K3675">
        <v>0.62161837365685702</v>
      </c>
      <c r="L3675">
        <v>1944.84488011084</v>
      </c>
      <c r="M3675">
        <v>36.0111123755836</v>
      </c>
      <c r="O3675">
        <v>53.841067932518101</v>
      </c>
      <c r="P3675">
        <v>-7.3474532852186705E-2</v>
      </c>
      <c r="Q3675">
        <v>0.56058734441281499</v>
      </c>
      <c r="R3675">
        <v>0.858799822485936</v>
      </c>
      <c r="S3675" t="s">
        <v>7507</v>
      </c>
      <c r="T3675" t="s">
        <v>7662</v>
      </c>
      <c r="U3675" t="s">
        <v>7662</v>
      </c>
      <c r="V3675" t="s">
        <v>7662</v>
      </c>
      <c r="W3675">
        <v>3</v>
      </c>
      <c r="X3675" t="s">
        <v>11337</v>
      </c>
      <c r="Y3675">
        <v>0.76776426499751138</v>
      </c>
      <c r="Z3675" t="str">
        <f>HYPERLINK("Melting_Curves/meltCurve_tr_H7BXP5_H7BXP5_HUMAN_.pdf", "Melting_Curves/meltCurve_tr_H7BXP5_H7BXP5_HUMAN_.pdf")</f>
        <v>Melting_Curves/meltCurve_tr_H7BXP5_H7BXP5_HUMAN_.pdf</v>
      </c>
      <c r="AA3675" t="s">
        <v>15100</v>
      </c>
      <c r="AB3675" t="s">
        <v>18899</v>
      </c>
    </row>
    <row r="3676" spans="1:28" x14ac:dyDescent="0.25">
      <c r="A3676" t="s">
        <v>3680</v>
      </c>
      <c r="B3676">
        <v>0.98876768158843997</v>
      </c>
      <c r="C3676">
        <v>1.00825944363204</v>
      </c>
      <c r="D3676">
        <v>0.65964452488637904</v>
      </c>
      <c r="E3676">
        <v>0.47492085679078</v>
      </c>
      <c r="F3676">
        <v>0.52340719419510295</v>
      </c>
      <c r="G3676">
        <v>0.50226467848460099</v>
      </c>
      <c r="H3676">
        <v>0.32633403177669501</v>
      </c>
      <c r="I3676">
        <v>0.42868801407352902</v>
      </c>
      <c r="J3676">
        <v>0.57702517646481699</v>
      </c>
      <c r="K3676">
        <v>0.64608389155356605</v>
      </c>
      <c r="L3676">
        <v>11466.0436714895</v>
      </c>
      <c r="M3676">
        <v>250</v>
      </c>
      <c r="N3676">
        <v>46.819857585964698</v>
      </c>
      <c r="O3676">
        <v>45.861239808323397</v>
      </c>
      <c r="P3676">
        <v>-0.685545483444015</v>
      </c>
      <c r="Q3676">
        <v>0.496960548912523</v>
      </c>
      <c r="R3676">
        <v>0.86047895072268399</v>
      </c>
      <c r="S3676" t="s">
        <v>7508</v>
      </c>
      <c r="T3676" t="s">
        <v>7662</v>
      </c>
      <c r="U3676" t="s">
        <v>7662</v>
      </c>
      <c r="V3676" t="s">
        <v>7662</v>
      </c>
      <c r="W3676">
        <v>6</v>
      </c>
      <c r="X3676" t="s">
        <v>11338</v>
      </c>
      <c r="Y3676">
        <v>0.59533141285394653</v>
      </c>
      <c r="Z3676" t="str">
        <f>HYPERLINK("Melting_Curves/meltCurve_tr_H7BY36_H7BY36_HUMAN_.pdf", "Melting_Curves/meltCurve_tr_H7BY36_H7BY36_HUMAN_.pdf")</f>
        <v>Melting_Curves/meltCurve_tr_H7BY36_H7BY36_HUMAN_.pdf</v>
      </c>
      <c r="AA3676" t="s">
        <v>12845</v>
      </c>
      <c r="AB3676" t="s">
        <v>18900</v>
      </c>
    </row>
    <row r="3677" spans="1:28" x14ac:dyDescent="0.25">
      <c r="A3677" t="s">
        <v>3681</v>
      </c>
      <c r="B3677">
        <v>0.98876768158843997</v>
      </c>
      <c r="C3677">
        <v>0.87040020942700402</v>
      </c>
      <c r="D3677">
        <v>0.83026940899135204</v>
      </c>
      <c r="E3677">
        <v>0.60329690287123905</v>
      </c>
      <c r="F3677">
        <v>0.51055688115953302</v>
      </c>
      <c r="G3677">
        <v>0.13333845040544401</v>
      </c>
      <c r="H3677">
        <v>8.5153696580345897E-2</v>
      </c>
      <c r="I3677">
        <v>0.109384167433711</v>
      </c>
      <c r="J3677">
        <v>0.12751292599810399</v>
      </c>
      <c r="K3677">
        <v>0</v>
      </c>
      <c r="L3677">
        <v>671.10843844184399</v>
      </c>
      <c r="M3677">
        <v>12.993787461619901</v>
      </c>
      <c r="N3677">
        <v>51.684639832953103</v>
      </c>
      <c r="O3677">
        <v>50.471010399808499</v>
      </c>
      <c r="P3677">
        <v>-6.4082165182993395E-2</v>
      </c>
      <c r="Q3677">
        <v>4.5337318708258498E-3</v>
      </c>
      <c r="R3677">
        <v>0.97574033655222103</v>
      </c>
      <c r="S3677" t="s">
        <v>7509</v>
      </c>
      <c r="T3677" t="s">
        <v>7662</v>
      </c>
      <c r="U3677" t="s">
        <v>7662</v>
      </c>
      <c r="V3677" t="s">
        <v>7662</v>
      </c>
      <c r="W3677">
        <v>1</v>
      </c>
      <c r="X3677" t="s">
        <v>11339</v>
      </c>
      <c r="Y3677">
        <v>0.4189871663807237</v>
      </c>
      <c r="Z3677" t="str">
        <f>HYPERLINK("Melting_Curves/meltCurve_tr_H7BY38_H7BY38_HUMAN_.pdf", "Melting_Curves/meltCurve_tr_H7BY38_H7BY38_HUMAN_.pdf")</f>
        <v>Melting_Curves/meltCurve_tr_H7BY38_H7BY38_HUMAN_.pdf</v>
      </c>
      <c r="AA3677" t="s">
        <v>15101</v>
      </c>
      <c r="AB3677" t="s">
        <v>18901</v>
      </c>
    </row>
    <row r="3678" spans="1:28" x14ac:dyDescent="0.25">
      <c r="A3678" t="s">
        <v>3682</v>
      </c>
      <c r="B3678">
        <v>0.98876768158843997</v>
      </c>
      <c r="C3678">
        <v>1.0219895075849199</v>
      </c>
      <c r="D3678">
        <v>0.89169710142240499</v>
      </c>
      <c r="E3678">
        <v>0.81980375238637104</v>
      </c>
      <c r="F3678">
        <v>0.95540790522894004</v>
      </c>
      <c r="G3678">
        <v>0.71900159698090305</v>
      </c>
      <c r="H3678">
        <v>0.60459816759026896</v>
      </c>
      <c r="I3678">
        <v>0.597872420210384</v>
      </c>
      <c r="J3678">
        <v>0.91544512012454105</v>
      </c>
      <c r="K3678">
        <v>0.92606599536674505</v>
      </c>
      <c r="L3678">
        <v>832.58382069068102</v>
      </c>
      <c r="M3678">
        <v>17.170679705326101</v>
      </c>
      <c r="O3678">
        <v>47.845343455738998</v>
      </c>
      <c r="P3678">
        <v>-2.0966175703485902E-2</v>
      </c>
      <c r="Q3678">
        <v>0.76632858000695903</v>
      </c>
      <c r="R3678">
        <v>0.36782273069468302</v>
      </c>
      <c r="S3678" t="s">
        <v>7510</v>
      </c>
      <c r="T3678" t="s">
        <v>7662</v>
      </c>
      <c r="U3678" t="s">
        <v>7662</v>
      </c>
      <c r="V3678" t="s">
        <v>7662</v>
      </c>
      <c r="W3678">
        <v>26</v>
      </c>
      <c r="X3678" t="s">
        <v>11340</v>
      </c>
      <c r="Y3678">
        <v>0.83695053480398596</v>
      </c>
      <c r="Z3678" t="str">
        <f>HYPERLINK("Melting_Curves/meltCurve_tr_H7BYY1_H7BYY1_HUMAN_.pdf", "Melting_Curves/meltCurve_tr_H7BYY1_H7BYY1_HUMAN_.pdf")</f>
        <v>Melting_Curves/meltCurve_tr_H7BYY1_H7BYY1_HUMAN_.pdf</v>
      </c>
      <c r="AA3678" t="s">
        <v>12031</v>
      </c>
      <c r="AB3678" t="s">
        <v>18902</v>
      </c>
    </row>
    <row r="3679" spans="1:28" x14ac:dyDescent="0.25">
      <c r="A3679" t="s">
        <v>3683</v>
      </c>
      <c r="B3679">
        <v>0.98876768158843997</v>
      </c>
      <c r="C3679">
        <v>0.920560054334014</v>
      </c>
      <c r="D3679">
        <v>0.87647634093414994</v>
      </c>
      <c r="E3679">
        <v>0.89649511806555604</v>
      </c>
      <c r="F3679">
        <v>0.76696283998571801</v>
      </c>
      <c r="G3679">
        <v>0.62460754370850102</v>
      </c>
      <c r="H3679">
        <v>0.43305021712307501</v>
      </c>
      <c r="I3679">
        <v>0.528033956717057</v>
      </c>
      <c r="J3679">
        <v>0.84466975802473199</v>
      </c>
      <c r="K3679">
        <v>0.69718857107619003</v>
      </c>
      <c r="L3679">
        <v>1218.77074037683</v>
      </c>
      <c r="M3679">
        <v>23.789029582202101</v>
      </c>
      <c r="O3679">
        <v>50.874559214974198</v>
      </c>
      <c r="P3679">
        <v>-4.4139074051098799E-2</v>
      </c>
      <c r="Q3679">
        <v>0.62242778204398397</v>
      </c>
      <c r="R3679">
        <v>0.59653416871204001</v>
      </c>
      <c r="S3679" t="s">
        <v>7511</v>
      </c>
      <c r="T3679" t="s">
        <v>7662</v>
      </c>
      <c r="U3679" t="s">
        <v>7662</v>
      </c>
      <c r="V3679" t="s">
        <v>7662</v>
      </c>
      <c r="W3679">
        <v>2</v>
      </c>
      <c r="X3679" t="s">
        <v>11341</v>
      </c>
      <c r="Y3679">
        <v>0.76756382168843851</v>
      </c>
      <c r="Z3679" t="str">
        <f>HYPERLINK("Melting_Curves/meltCurve_tr_H7BZL0_H7BZL0_HUMAN_.pdf", "Melting_Curves/meltCurve_tr_H7BZL0_H7BZL0_HUMAN_.pdf")</f>
        <v>Melting_Curves/meltCurve_tr_H7BZL0_H7BZL0_HUMAN_.pdf</v>
      </c>
      <c r="AA3679" t="s">
        <v>15102</v>
      </c>
      <c r="AB3679" t="s">
        <v>18903</v>
      </c>
    </row>
    <row r="3680" spans="1:28" x14ac:dyDescent="0.25">
      <c r="A3680" t="s">
        <v>3684</v>
      </c>
      <c r="B3680">
        <v>0.98876768158843997</v>
      </c>
      <c r="C3680">
        <v>0.76980421881313399</v>
      </c>
      <c r="D3680">
        <v>1.0577780460853901</v>
      </c>
      <c r="E3680">
        <v>0.71888247743964195</v>
      </c>
      <c r="F3680">
        <v>0.35023698035711698</v>
      </c>
      <c r="G3680">
        <v>0.18251725079989101</v>
      </c>
      <c r="H3680">
        <v>0.26930279293168502</v>
      </c>
      <c r="I3680">
        <v>0.30893689591780599</v>
      </c>
      <c r="J3680">
        <v>0.70459197572527199</v>
      </c>
      <c r="K3680">
        <v>9.9907673239246805E-2</v>
      </c>
      <c r="L3680">
        <v>3230.5103101641098</v>
      </c>
      <c r="M3680">
        <v>64.236551794585495</v>
      </c>
      <c r="N3680">
        <v>51.081078547069403</v>
      </c>
      <c r="O3680">
        <v>50.2421670151858</v>
      </c>
      <c r="P3680">
        <v>-0.21897895752341101</v>
      </c>
      <c r="Q3680">
        <v>0.31490876944916901</v>
      </c>
      <c r="R3680">
        <v>0.74224479160555901</v>
      </c>
      <c r="S3680" t="s">
        <v>7512</v>
      </c>
      <c r="T3680" t="s">
        <v>7662</v>
      </c>
      <c r="U3680" t="s">
        <v>7662</v>
      </c>
      <c r="V3680" t="s">
        <v>7662</v>
      </c>
      <c r="W3680">
        <v>1</v>
      </c>
      <c r="X3680" t="s">
        <v>11342</v>
      </c>
      <c r="Y3680">
        <v>0.55083304277232359</v>
      </c>
      <c r="Z3680" t="str">
        <f>HYPERLINK("Melting_Curves/meltCurve_tr_H7C0C0_H7C0C0_HUMAN_.pdf", "Melting_Curves/meltCurve_tr_H7C0C0_H7C0C0_HUMAN_.pdf")</f>
        <v>Melting_Curves/meltCurve_tr_H7C0C0_H7C0C0_HUMAN_.pdf</v>
      </c>
      <c r="AA3680" t="s">
        <v>15103</v>
      </c>
      <c r="AB3680" t="s">
        <v>18904</v>
      </c>
    </row>
    <row r="3681" spans="1:28" x14ac:dyDescent="0.25">
      <c r="A3681" t="s">
        <v>3685</v>
      </c>
      <c r="B3681">
        <v>0.98876768158843997</v>
      </c>
      <c r="C3681">
        <v>1.0068359271037799</v>
      </c>
      <c r="D3681">
        <v>0.83793759779416199</v>
      </c>
      <c r="E3681">
        <v>0.69677639258504398</v>
      </c>
      <c r="F3681">
        <v>0.69506583375265796</v>
      </c>
      <c r="G3681">
        <v>0.41025735349743098</v>
      </c>
      <c r="H3681">
        <v>0.31893502286476599</v>
      </c>
      <c r="I3681">
        <v>0.29460298950834801</v>
      </c>
      <c r="J3681">
        <v>0.40624704948003598</v>
      </c>
      <c r="K3681">
        <v>0.40136495318426602</v>
      </c>
      <c r="L3681">
        <v>754.84943796720597</v>
      </c>
      <c r="M3681">
        <v>14.7099917250994</v>
      </c>
      <c r="N3681">
        <v>55.327502922837702</v>
      </c>
      <c r="O3681">
        <v>50.395049367733698</v>
      </c>
      <c r="P3681">
        <v>-4.9048657315418798E-2</v>
      </c>
      <c r="Q3681">
        <v>0.32792893575222698</v>
      </c>
      <c r="R3681">
        <v>0.94675545712155695</v>
      </c>
      <c r="S3681" t="s">
        <v>7513</v>
      </c>
      <c r="T3681" t="s">
        <v>7662</v>
      </c>
      <c r="U3681" t="s">
        <v>7662</v>
      </c>
      <c r="V3681" t="s">
        <v>7662</v>
      </c>
      <c r="W3681">
        <v>10</v>
      </c>
      <c r="X3681" t="s">
        <v>11343</v>
      </c>
      <c r="Y3681">
        <v>0.59728348372651818</v>
      </c>
      <c r="Z3681" t="str">
        <f>HYPERLINK("Melting_Curves/meltCurve_tr_H7C0E5_H7C0E5_HUMAN_.pdf", "Melting_Curves/meltCurve_tr_H7C0E5_H7C0E5_HUMAN_.pdf")</f>
        <v>Melting_Curves/meltCurve_tr_H7C0E5_H7C0E5_HUMAN_.pdf</v>
      </c>
      <c r="AA3681" t="s">
        <v>15104</v>
      </c>
      <c r="AB3681" t="s">
        <v>18905</v>
      </c>
    </row>
    <row r="3682" spans="1:28" x14ac:dyDescent="0.25">
      <c r="A3682" t="s">
        <v>3686</v>
      </c>
      <c r="B3682">
        <v>0.98876768158843997</v>
      </c>
      <c r="C3682">
        <v>1.3186429431953799</v>
      </c>
      <c r="D3682">
        <v>1.0968857299330801</v>
      </c>
      <c r="E3682">
        <v>0.72028332129364503</v>
      </c>
      <c r="F3682">
        <v>0.89829535766330504</v>
      </c>
      <c r="G3682">
        <v>0.35179335915649201</v>
      </c>
      <c r="H3682">
        <v>0.12712969923189901</v>
      </c>
      <c r="I3682">
        <v>0.22074123117306199</v>
      </c>
      <c r="J3682">
        <v>0.14356032732704099</v>
      </c>
      <c r="K3682">
        <v>0.23101377307943599</v>
      </c>
      <c r="L3682">
        <v>1907.5294560253001</v>
      </c>
      <c r="M3682">
        <v>34.6507142653861</v>
      </c>
      <c r="N3682">
        <v>55.724969242274803</v>
      </c>
      <c r="O3682">
        <v>54.867834339901002</v>
      </c>
      <c r="P3682">
        <v>-0.130832074643806</v>
      </c>
      <c r="Q3682">
        <v>0.17133642045751599</v>
      </c>
      <c r="R3682">
        <v>0.89224947245338804</v>
      </c>
      <c r="S3682" t="s">
        <v>7514</v>
      </c>
      <c r="T3682" t="s">
        <v>7662</v>
      </c>
      <c r="U3682" t="s">
        <v>7662</v>
      </c>
      <c r="V3682" t="s">
        <v>7662</v>
      </c>
      <c r="W3682">
        <v>1</v>
      </c>
      <c r="X3682" t="s">
        <v>11344</v>
      </c>
      <c r="Y3682">
        <v>0.59122425758814678</v>
      </c>
      <c r="Z3682" t="str">
        <f>HYPERLINK("Melting_Curves/meltCurve_tr_H7C0G7_H7C0G7_HUMAN_.pdf", "Melting_Curves/meltCurve_tr_H7C0G7_H7C0G7_HUMAN_.pdf")</f>
        <v>Melting_Curves/meltCurve_tr_H7C0G7_H7C0G7_HUMAN_.pdf</v>
      </c>
      <c r="AA3682" t="s">
        <v>15105</v>
      </c>
      <c r="AB3682" t="s">
        <v>18906</v>
      </c>
    </row>
    <row r="3683" spans="1:28" x14ac:dyDescent="0.25">
      <c r="A3683" t="s">
        <v>3687</v>
      </c>
      <c r="B3683">
        <v>0.98876768158843997</v>
      </c>
      <c r="C3683">
        <v>1.0735121466592701</v>
      </c>
      <c r="D3683">
        <v>0.90323554115974802</v>
      </c>
      <c r="E3683">
        <v>0.65922092795936504</v>
      </c>
      <c r="F3683">
        <v>1.17161830890258</v>
      </c>
      <c r="G3683">
        <v>0.770655518067074</v>
      </c>
      <c r="H3683">
        <v>0.378856441801868</v>
      </c>
      <c r="I3683">
        <v>0.52690428506252995</v>
      </c>
      <c r="J3683">
        <v>0.74531118089022796</v>
      </c>
      <c r="K3683">
        <v>0.50583999024763104</v>
      </c>
      <c r="L3683">
        <v>14250.515355249699</v>
      </c>
      <c r="M3683">
        <v>250</v>
      </c>
      <c r="O3683">
        <v>56.998413681242397</v>
      </c>
      <c r="P3683">
        <v>-0.50524654626687904</v>
      </c>
      <c r="Q3683">
        <v>0.53922797417175905</v>
      </c>
      <c r="R3683">
        <v>0.62534705447210104</v>
      </c>
      <c r="S3683" t="s">
        <v>7515</v>
      </c>
      <c r="T3683" t="s">
        <v>7662</v>
      </c>
      <c r="U3683" t="s">
        <v>7662</v>
      </c>
      <c r="V3683" t="s">
        <v>7662</v>
      </c>
      <c r="W3683">
        <v>1</v>
      </c>
      <c r="X3683" t="s">
        <v>11345</v>
      </c>
      <c r="Y3683">
        <v>0.80040987823322796</v>
      </c>
      <c r="Z3683" t="str">
        <f>HYPERLINK("Melting_Curves/meltCurve_tr_H7C1J4_H7C1J4_HUMAN_.pdf", "Melting_Curves/meltCurve_tr_H7C1J4_H7C1J4_HUMAN_.pdf")</f>
        <v>Melting_Curves/meltCurve_tr_H7C1J4_H7C1J4_HUMAN_.pdf</v>
      </c>
      <c r="AA3683" t="s">
        <v>15106</v>
      </c>
      <c r="AB3683" t="s">
        <v>18907</v>
      </c>
    </row>
    <row r="3684" spans="1:28" x14ac:dyDescent="0.25">
      <c r="A3684" t="s">
        <v>3688</v>
      </c>
      <c r="B3684">
        <v>0.98876768158843997</v>
      </c>
      <c r="C3684">
        <v>1.02777665214636</v>
      </c>
      <c r="D3684">
        <v>0.94125144717283105</v>
      </c>
      <c r="E3684">
        <v>0.69043102973705806</v>
      </c>
      <c r="F3684">
        <v>0.50994344769146205</v>
      </c>
      <c r="G3684">
        <v>0.313359313939718</v>
      </c>
      <c r="H3684">
        <v>0.27061363153803603</v>
      </c>
      <c r="I3684">
        <v>0.206068572281009</v>
      </c>
      <c r="J3684">
        <v>0.323155348080858</v>
      </c>
      <c r="K3684">
        <v>0.267075943136447</v>
      </c>
      <c r="L3684">
        <v>1129.4110806041001</v>
      </c>
      <c r="M3684">
        <v>22.141726444672202</v>
      </c>
      <c r="N3684">
        <v>52.745215121866302</v>
      </c>
      <c r="O3684">
        <v>50.597656019489698</v>
      </c>
      <c r="P3684">
        <v>-8.10854903089058E-2</v>
      </c>
      <c r="Q3684">
        <v>0.25883883500289601</v>
      </c>
      <c r="R3684">
        <v>0.989446332387238</v>
      </c>
      <c r="S3684" t="s">
        <v>7516</v>
      </c>
      <c r="T3684" t="s">
        <v>7662</v>
      </c>
      <c r="U3684" t="s">
        <v>7662</v>
      </c>
      <c r="V3684" t="s">
        <v>7662</v>
      </c>
      <c r="W3684">
        <v>1</v>
      </c>
      <c r="X3684" t="s">
        <v>11346</v>
      </c>
      <c r="Y3684">
        <v>0.53928367304922531</v>
      </c>
      <c r="Z3684" t="str">
        <f>HYPERLINK("Melting_Curves/meltCurve_tr_H7C1U3_H7C1U3_HUMAN_.pdf", "Melting_Curves/meltCurve_tr_H7C1U3_H7C1U3_HUMAN_.pdf")</f>
        <v>Melting_Curves/meltCurve_tr_H7C1U3_H7C1U3_HUMAN_.pdf</v>
      </c>
      <c r="AA3684" t="s">
        <v>15107</v>
      </c>
      <c r="AB3684" t="s">
        <v>18908</v>
      </c>
    </row>
    <row r="3685" spans="1:28" x14ac:dyDescent="0.25">
      <c r="A3685" t="s">
        <v>3689</v>
      </c>
      <c r="B3685">
        <v>0.98876768158843997</v>
      </c>
      <c r="C3685">
        <v>1.0419927273363501</v>
      </c>
      <c r="D3685">
        <v>1.03263729859569</v>
      </c>
      <c r="E3685">
        <v>0.81786966186801702</v>
      </c>
      <c r="F3685">
        <v>0.70700664669998703</v>
      </c>
      <c r="G3685">
        <v>0.46075399800656602</v>
      </c>
      <c r="H3685">
        <v>0.32953444215580402</v>
      </c>
      <c r="I3685">
        <v>0.384524956864016</v>
      </c>
      <c r="J3685">
        <v>0.49138522209586399</v>
      </c>
      <c r="K3685">
        <v>0.63205390176462795</v>
      </c>
      <c r="L3685">
        <v>1516.9766006846701</v>
      </c>
      <c r="M3685">
        <v>29.1831800450272</v>
      </c>
      <c r="N3685">
        <v>56.667401291789297</v>
      </c>
      <c r="O3685">
        <v>51.738949335953201</v>
      </c>
      <c r="P3685">
        <v>-7.6817702194558801E-2</v>
      </c>
      <c r="Q3685">
        <v>0.45524260783017201</v>
      </c>
      <c r="R3685">
        <v>0.90079350291767402</v>
      </c>
      <c r="S3685" t="s">
        <v>7517</v>
      </c>
      <c r="T3685" t="s">
        <v>7662</v>
      </c>
      <c r="U3685" t="s">
        <v>7662</v>
      </c>
      <c r="V3685" t="s">
        <v>7662</v>
      </c>
      <c r="W3685">
        <v>3</v>
      </c>
      <c r="X3685" t="s">
        <v>11347</v>
      </c>
      <c r="Y3685">
        <v>0.67647920737309852</v>
      </c>
      <c r="Z3685" t="str">
        <f>HYPERLINK("Melting_Curves/meltCurve_tr_H7C2B1_H7C2B1_HUMAN_.pdf", "Melting_Curves/meltCurve_tr_H7C2B1_H7C2B1_HUMAN_.pdf")</f>
        <v>Melting_Curves/meltCurve_tr_H7C2B1_H7C2B1_HUMAN_.pdf</v>
      </c>
      <c r="AA3685" t="s">
        <v>15108</v>
      </c>
      <c r="AB3685" t="s">
        <v>18909</v>
      </c>
    </row>
    <row r="3686" spans="1:28" x14ac:dyDescent="0.25">
      <c r="A3686" t="s">
        <v>3690</v>
      </c>
      <c r="B3686">
        <v>0.98876768158843997</v>
      </c>
      <c r="C3686">
        <v>0.93763883616499399</v>
      </c>
      <c r="D3686">
        <v>0.81916213255246995</v>
      </c>
      <c r="E3686">
        <v>0.61616940114152996</v>
      </c>
      <c r="F3686">
        <v>0.32384533675350302</v>
      </c>
      <c r="G3686">
        <v>8.7705199606356907E-2</v>
      </c>
      <c r="H3686">
        <v>4.9635985704948198E-2</v>
      </c>
      <c r="I3686">
        <v>1.8207614797664799E-2</v>
      </c>
      <c r="J3686">
        <v>4.9592888216359703E-2</v>
      </c>
      <c r="K3686">
        <v>0</v>
      </c>
      <c r="L3686">
        <v>887.11454272839796</v>
      </c>
      <c r="M3686">
        <v>17.460314118595601</v>
      </c>
      <c r="N3686">
        <v>50.807469723359901</v>
      </c>
      <c r="O3686">
        <v>50.155053523622698</v>
      </c>
      <c r="P3686">
        <v>-8.70364902533632E-2</v>
      </c>
      <c r="Q3686">
        <v>0</v>
      </c>
      <c r="R3686">
        <v>0.99492044809452895</v>
      </c>
      <c r="S3686" t="s">
        <v>7518</v>
      </c>
      <c r="T3686" t="s">
        <v>7662</v>
      </c>
      <c r="U3686" t="s">
        <v>7662</v>
      </c>
      <c r="V3686" t="s">
        <v>7662</v>
      </c>
      <c r="W3686">
        <v>2</v>
      </c>
      <c r="X3686" t="s">
        <v>11348</v>
      </c>
      <c r="Y3686">
        <v>0.37809380481107341</v>
      </c>
      <c r="Z3686" t="str">
        <f>HYPERLINK("Melting_Curves/meltCurve_tr_H7C2Z6_H7C2Z6_HUMAN_.pdf", "Melting_Curves/meltCurve_tr_H7C2Z6_H7C2Z6_HUMAN_.pdf")</f>
        <v>Melting_Curves/meltCurve_tr_H7C2Z6_H7C2Z6_HUMAN_.pdf</v>
      </c>
      <c r="AA3686" t="s">
        <v>15109</v>
      </c>
      <c r="AB3686" t="s">
        <v>18910</v>
      </c>
    </row>
    <row r="3687" spans="1:28" x14ac:dyDescent="0.25">
      <c r="A3687" t="s">
        <v>3691</v>
      </c>
      <c r="B3687">
        <v>0.98876768158843997</v>
      </c>
      <c r="C3687">
        <v>0.99695176578877498</v>
      </c>
      <c r="D3687">
        <v>0.90557771315277502</v>
      </c>
      <c r="E3687">
        <v>0.74617268861086605</v>
      </c>
      <c r="F3687">
        <v>0.53484911459191797</v>
      </c>
      <c r="G3687">
        <v>0.38439628568063</v>
      </c>
      <c r="H3687">
        <v>0.30725495139124098</v>
      </c>
      <c r="I3687">
        <v>0.36805915750020901</v>
      </c>
      <c r="J3687">
        <v>0.35721175489421497</v>
      </c>
      <c r="K3687">
        <v>0.29437457676515599</v>
      </c>
      <c r="L3687">
        <v>1036.00440850374</v>
      </c>
      <c r="M3687">
        <v>20.3053440437108</v>
      </c>
      <c r="N3687">
        <v>53.7257063280898</v>
      </c>
      <c r="O3687">
        <v>50.534142391640202</v>
      </c>
      <c r="P3687">
        <v>-6.8301918670450407E-2</v>
      </c>
      <c r="Q3687">
        <v>0.32008577410803002</v>
      </c>
      <c r="R3687">
        <v>0.99236635199300005</v>
      </c>
      <c r="S3687" t="s">
        <v>7519</v>
      </c>
      <c r="T3687" t="s">
        <v>7662</v>
      </c>
      <c r="U3687" t="s">
        <v>7662</v>
      </c>
      <c r="V3687" t="s">
        <v>7662</v>
      </c>
      <c r="W3687">
        <v>3</v>
      </c>
      <c r="X3687" t="s">
        <v>11349</v>
      </c>
      <c r="Y3687">
        <v>0.57904316903206121</v>
      </c>
      <c r="Z3687" t="str">
        <f>HYPERLINK("Melting_Curves/meltCurve_tr_H7C331_H7C331_HUMAN_.pdf", "Melting_Curves/meltCurve_tr_H7C331_H7C331_HUMAN_.pdf")</f>
        <v>Melting_Curves/meltCurve_tr_H7C331_H7C331_HUMAN_.pdf</v>
      </c>
      <c r="AA3687" t="s">
        <v>15110</v>
      </c>
      <c r="AB3687" t="s">
        <v>18911</v>
      </c>
    </row>
    <row r="3688" spans="1:28" x14ac:dyDescent="0.25">
      <c r="A3688" t="s">
        <v>3692</v>
      </c>
      <c r="B3688">
        <v>0.98876768158843997</v>
      </c>
      <c r="C3688">
        <v>0.90217465098039795</v>
      </c>
      <c r="D3688">
        <v>0.898503951609812</v>
      </c>
      <c r="E3688">
        <v>0.64101443891575904</v>
      </c>
      <c r="F3688">
        <v>0.275293826349646</v>
      </c>
      <c r="G3688">
        <v>0.11738427049255599</v>
      </c>
      <c r="H3688">
        <v>6.0322813185927998E-2</v>
      </c>
      <c r="I3688">
        <v>6.12510239375232E-2</v>
      </c>
      <c r="J3688">
        <v>5.9492277427498498E-2</v>
      </c>
      <c r="K3688">
        <v>5.35544140177521E-2</v>
      </c>
      <c r="L3688">
        <v>1177.2542533918199</v>
      </c>
      <c r="M3688">
        <v>23.204747805040199</v>
      </c>
      <c r="N3688">
        <v>50.956673598778302</v>
      </c>
      <c r="O3688">
        <v>50.361055386781302</v>
      </c>
      <c r="P3688">
        <v>-0.109624190874789</v>
      </c>
      <c r="Q3688">
        <v>4.8351551237087301E-2</v>
      </c>
      <c r="R3688">
        <v>0.99313822440192401</v>
      </c>
      <c r="S3688" t="s">
        <v>7520</v>
      </c>
      <c r="T3688" t="s">
        <v>7662</v>
      </c>
      <c r="U3688" t="s">
        <v>7662</v>
      </c>
      <c r="V3688" t="s">
        <v>7662</v>
      </c>
      <c r="W3688">
        <v>2</v>
      </c>
      <c r="X3688" t="s">
        <v>11350</v>
      </c>
      <c r="Y3688">
        <v>0.39875677340881649</v>
      </c>
      <c r="Z3688" t="str">
        <f>HYPERLINK("Melting_Curves/meltCurve_tr_H7C3G7_H7C3G7_HUMAN_.pdf", "Melting_Curves/meltCurve_tr_H7C3G7_H7C3G7_HUMAN_.pdf")</f>
        <v>Melting_Curves/meltCurve_tr_H7C3G7_H7C3G7_HUMAN_.pdf</v>
      </c>
      <c r="AA3688" t="s">
        <v>15111</v>
      </c>
      <c r="AB3688" t="s">
        <v>18912</v>
      </c>
    </row>
    <row r="3689" spans="1:28" x14ac:dyDescent="0.25">
      <c r="A3689" t="s">
        <v>3693</v>
      </c>
      <c r="B3689">
        <v>0.98876768158843997</v>
      </c>
      <c r="C3689">
        <v>0.98750632407148797</v>
      </c>
      <c r="D3689">
        <v>0.84630726104721399</v>
      </c>
      <c r="E3689">
        <v>0.81079564493646705</v>
      </c>
      <c r="F3689">
        <v>0.84685434859014497</v>
      </c>
      <c r="G3689">
        <v>0.57537561444630203</v>
      </c>
      <c r="H3689">
        <v>0.31721377119347</v>
      </c>
      <c r="I3689">
        <v>0.18869893090728801</v>
      </c>
      <c r="J3689">
        <v>0.12948517151800401</v>
      </c>
      <c r="K3689">
        <v>0.115398098883727</v>
      </c>
      <c r="L3689">
        <v>748.78984040728403</v>
      </c>
      <c r="M3689">
        <v>12.950636162329699</v>
      </c>
      <c r="N3689">
        <v>57.818768996866197</v>
      </c>
      <c r="O3689">
        <v>56.492243722997898</v>
      </c>
      <c r="P3689">
        <v>-5.7321843570226703E-2</v>
      </c>
      <c r="Q3689">
        <v>0</v>
      </c>
      <c r="R3689">
        <v>0.97491106031900598</v>
      </c>
      <c r="S3689" t="s">
        <v>7521</v>
      </c>
      <c r="T3689" t="s">
        <v>7662</v>
      </c>
      <c r="U3689" t="s">
        <v>7662</v>
      </c>
      <c r="V3689" t="s">
        <v>7662</v>
      </c>
      <c r="W3689">
        <v>7</v>
      </c>
      <c r="X3689" t="s">
        <v>11351</v>
      </c>
      <c r="Y3689">
        <v>0.60789049178025256</v>
      </c>
      <c r="Z3689" t="str">
        <f>HYPERLINK("Melting_Curves/meltCurve_tr_H7C3P4_H7C3P4_HUMAN_.pdf", "Melting_Curves/meltCurve_tr_H7C3P4_H7C3P4_HUMAN_.pdf")</f>
        <v>Melting_Curves/meltCurve_tr_H7C3P4_H7C3P4_HUMAN_.pdf</v>
      </c>
      <c r="AA3689" t="s">
        <v>15112</v>
      </c>
      <c r="AB3689" t="s">
        <v>18913</v>
      </c>
    </row>
    <row r="3690" spans="1:28" x14ac:dyDescent="0.25">
      <c r="A3690" t="s">
        <v>3694</v>
      </c>
      <c r="B3690">
        <v>0.98876768158843997</v>
      </c>
      <c r="C3690">
        <v>0.97026623637186105</v>
      </c>
      <c r="D3690">
        <v>0.76044591636302294</v>
      </c>
      <c r="E3690">
        <v>0.65962229923663396</v>
      </c>
      <c r="F3690">
        <v>0.77938000214301695</v>
      </c>
      <c r="G3690">
        <v>0.45334430821857002</v>
      </c>
      <c r="H3690">
        <v>0.36250201309837599</v>
      </c>
      <c r="I3690">
        <v>0.41152941556080402</v>
      </c>
      <c r="J3690">
        <v>0.48336132217229899</v>
      </c>
      <c r="K3690">
        <v>0.54119744443667295</v>
      </c>
      <c r="L3690">
        <v>612.77324215657097</v>
      </c>
      <c r="M3690">
        <v>12.383473557486001</v>
      </c>
      <c r="N3690">
        <v>58.780169275679597</v>
      </c>
      <c r="O3690">
        <v>48.245856518361798</v>
      </c>
      <c r="P3690">
        <v>-3.6617569387216498E-2</v>
      </c>
      <c r="Q3690">
        <v>0.42947522594948501</v>
      </c>
      <c r="R3690">
        <v>0.84400393238743399</v>
      </c>
      <c r="S3690" t="s">
        <v>7522</v>
      </c>
      <c r="T3690" t="s">
        <v>7662</v>
      </c>
      <c r="U3690" t="s">
        <v>7662</v>
      </c>
      <c r="V3690" t="s">
        <v>7662</v>
      </c>
      <c r="W3690">
        <v>1</v>
      </c>
      <c r="X3690" t="s">
        <v>11352</v>
      </c>
      <c r="Y3690">
        <v>0.62915968453363869</v>
      </c>
      <c r="Z3690" t="str">
        <f>HYPERLINK("Melting_Curves/meltCurve_tr_H7C462_H7C462_HUMAN_.pdf", "Melting_Curves/meltCurve_tr_H7C462_H7C462_HUMAN_.pdf")</f>
        <v>Melting_Curves/meltCurve_tr_H7C462_H7C462_HUMAN_.pdf</v>
      </c>
      <c r="AA3690" t="s">
        <v>15113</v>
      </c>
      <c r="AB3690" t="s">
        <v>18914</v>
      </c>
    </row>
    <row r="3691" spans="1:28" x14ac:dyDescent="0.25">
      <c r="A3691" t="s">
        <v>3695</v>
      </c>
      <c r="B3691">
        <v>0.98876768158843997</v>
      </c>
      <c r="C3691">
        <v>1.0670633043690301</v>
      </c>
      <c r="D3691">
        <v>0.78714168420942199</v>
      </c>
      <c r="E3691">
        <v>0.56749821076988305</v>
      </c>
      <c r="F3691">
        <v>0.484035600585139</v>
      </c>
      <c r="G3691">
        <v>0.37307846208332401</v>
      </c>
      <c r="H3691">
        <v>0.28133186953571898</v>
      </c>
      <c r="I3691">
        <v>0.296935503664497</v>
      </c>
      <c r="J3691">
        <v>0.38150235791152598</v>
      </c>
      <c r="K3691">
        <v>0.31215581882993398</v>
      </c>
      <c r="L3691">
        <v>952.13572946298302</v>
      </c>
      <c r="M3691">
        <v>19.5197253240501</v>
      </c>
      <c r="N3691">
        <v>51.487937752391197</v>
      </c>
      <c r="O3691">
        <v>48.274840299677798</v>
      </c>
      <c r="P3691">
        <v>-6.8638351153824606E-2</v>
      </c>
      <c r="Q3691">
        <v>0.321017838343918</v>
      </c>
      <c r="R3691">
        <v>0.96818021669024501</v>
      </c>
      <c r="S3691" t="s">
        <v>7523</v>
      </c>
      <c r="T3691" t="s">
        <v>7662</v>
      </c>
      <c r="U3691" t="s">
        <v>7662</v>
      </c>
      <c r="V3691" t="s">
        <v>7662</v>
      </c>
      <c r="W3691">
        <v>2</v>
      </c>
      <c r="X3691" t="s">
        <v>11353</v>
      </c>
      <c r="Y3691">
        <v>0.52971039481191495</v>
      </c>
      <c r="Z3691" t="str">
        <f>HYPERLINK("Melting_Curves/meltCurve_tr_H7C485_H7C485_HUMAN_.pdf", "Melting_Curves/meltCurve_tr_H7C485_H7C485_HUMAN_.pdf")</f>
        <v>Melting_Curves/meltCurve_tr_H7C485_H7C485_HUMAN_.pdf</v>
      </c>
      <c r="AA3691" t="s">
        <v>15114</v>
      </c>
      <c r="AB3691" t="s">
        <v>18915</v>
      </c>
    </row>
    <row r="3692" spans="1:28" x14ac:dyDescent="0.25">
      <c r="A3692" t="s">
        <v>3696</v>
      </c>
      <c r="B3692">
        <v>0.98876768158843997</v>
      </c>
      <c r="C3692">
        <v>0.95975753399402897</v>
      </c>
      <c r="D3692">
        <v>0.74814381620369497</v>
      </c>
      <c r="E3692">
        <v>0.44439582249149301</v>
      </c>
      <c r="F3692">
        <v>0.52816188403425102</v>
      </c>
      <c r="G3692">
        <v>0.35667427764183002</v>
      </c>
      <c r="H3692">
        <v>0.27318464238854401</v>
      </c>
      <c r="I3692">
        <v>0.30061853991898302</v>
      </c>
      <c r="J3692">
        <v>0.42547113322419</v>
      </c>
      <c r="K3692">
        <v>0.40663147537257599</v>
      </c>
      <c r="L3692">
        <v>1049.0813905346699</v>
      </c>
      <c r="M3692">
        <v>22.3343178215605</v>
      </c>
      <c r="N3692">
        <v>49.863597061982802</v>
      </c>
      <c r="O3692">
        <v>46.600027883774203</v>
      </c>
      <c r="P3692">
        <v>-7.6315521031454503E-2</v>
      </c>
      <c r="Q3692">
        <v>0.36309136376921702</v>
      </c>
      <c r="R3692">
        <v>0.94186573835086496</v>
      </c>
      <c r="S3692" t="s">
        <v>7524</v>
      </c>
      <c r="T3692" t="s">
        <v>7662</v>
      </c>
      <c r="U3692" t="s">
        <v>7662</v>
      </c>
      <c r="V3692" t="s">
        <v>7662</v>
      </c>
      <c r="W3692">
        <v>3</v>
      </c>
      <c r="X3692" t="s">
        <v>11354</v>
      </c>
      <c r="Y3692">
        <v>0.51840888383847017</v>
      </c>
      <c r="Z3692" t="str">
        <f>HYPERLINK("Melting_Curves/meltCurve_tr_H7C4T5_H7C4T5_HUMAN_.pdf", "Melting_Curves/meltCurve_tr_H7C4T5_H7C4T5_HUMAN_.pdf")</f>
        <v>Melting_Curves/meltCurve_tr_H7C4T5_H7C4T5_HUMAN_.pdf</v>
      </c>
      <c r="AA3692" t="s">
        <v>15115</v>
      </c>
      <c r="AB3692" t="s">
        <v>18916</v>
      </c>
    </row>
    <row r="3693" spans="1:28" x14ac:dyDescent="0.25">
      <c r="A3693" t="s">
        <v>3697</v>
      </c>
      <c r="B3693">
        <v>0.98876768158843997</v>
      </c>
      <c r="C3693">
        <v>1.1393650554235</v>
      </c>
      <c r="D3693">
        <v>0.92511318229207595</v>
      </c>
      <c r="E3693">
        <v>0.78530220106770499</v>
      </c>
      <c r="F3693">
        <v>1.03469944304955</v>
      </c>
      <c r="G3693">
        <v>0.66741873364715298</v>
      </c>
      <c r="H3693">
        <v>0.51673637698777997</v>
      </c>
      <c r="I3693">
        <v>0.40169886756008399</v>
      </c>
      <c r="J3693">
        <v>0.20361127318260799</v>
      </c>
      <c r="K3693">
        <v>0.196195361753155</v>
      </c>
      <c r="L3693">
        <v>775.99960645399801</v>
      </c>
      <c r="M3693">
        <v>12.6724268704961</v>
      </c>
      <c r="N3693">
        <v>61.265342004034302</v>
      </c>
      <c r="O3693">
        <v>59.770473008875598</v>
      </c>
      <c r="P3693">
        <v>-5.2850577773335697E-2</v>
      </c>
      <c r="Q3693">
        <v>3.0994434289822901E-3</v>
      </c>
      <c r="R3693">
        <v>0.92361639377353599</v>
      </c>
      <c r="S3693" t="s">
        <v>7525</v>
      </c>
      <c r="T3693" t="s">
        <v>7662</v>
      </c>
      <c r="U3693" t="s">
        <v>7662</v>
      </c>
      <c r="V3693" t="s">
        <v>7662</v>
      </c>
      <c r="W3693">
        <v>5</v>
      </c>
      <c r="X3693" t="s">
        <v>11355</v>
      </c>
      <c r="Y3693">
        <v>0.70515439342876374</v>
      </c>
      <c r="Z3693" t="str">
        <f>HYPERLINK("Melting_Curves/meltCurve_tr_H7C5G1_H7C5G1_HUMAN_.pdf", "Melting_Curves/meltCurve_tr_H7C5G1_H7C5G1_HUMAN_.pdf")</f>
        <v>Melting_Curves/meltCurve_tr_H7C5G1_H7C5G1_HUMAN_.pdf</v>
      </c>
      <c r="AA3693" t="s">
        <v>15116</v>
      </c>
      <c r="AB3693" t="s">
        <v>18917</v>
      </c>
    </row>
    <row r="3694" spans="1:28" x14ac:dyDescent="0.25">
      <c r="A3694" t="s">
        <v>3698</v>
      </c>
      <c r="B3694">
        <v>0.98876768158843997</v>
      </c>
      <c r="C3694">
        <v>0.91999035278516195</v>
      </c>
      <c r="D3694">
        <v>0.94642970350664901</v>
      </c>
      <c r="E3694">
        <v>0.74744842487194996</v>
      </c>
      <c r="F3694">
        <v>0.54948205069942302</v>
      </c>
      <c r="G3694">
        <v>0.356466036620531</v>
      </c>
      <c r="H3694">
        <v>0.29053022313355298</v>
      </c>
      <c r="I3694">
        <v>0.346660051584604</v>
      </c>
      <c r="J3694">
        <v>0.34849877023632497</v>
      </c>
      <c r="K3694">
        <v>0.21928123988923301</v>
      </c>
      <c r="L3694">
        <v>1002.04656532908</v>
      </c>
      <c r="M3694">
        <v>19.466520759044101</v>
      </c>
      <c r="N3694">
        <v>53.781129210854502</v>
      </c>
      <c r="O3694">
        <v>50.941394887678101</v>
      </c>
      <c r="P3694">
        <v>-6.8502868324883198E-2</v>
      </c>
      <c r="Q3694">
        <v>0.28297297851502701</v>
      </c>
      <c r="R3694">
        <v>0.98055604592902901</v>
      </c>
      <c r="S3694" t="s">
        <v>7526</v>
      </c>
      <c r="T3694" t="s">
        <v>7662</v>
      </c>
      <c r="U3694" t="s">
        <v>7662</v>
      </c>
      <c r="V3694" t="s">
        <v>7662</v>
      </c>
      <c r="W3694">
        <v>3</v>
      </c>
      <c r="X3694" t="s">
        <v>11356</v>
      </c>
      <c r="Y3694">
        <v>0.56768873933317132</v>
      </c>
      <c r="Z3694" t="str">
        <f>HYPERLINK("Melting_Curves/meltCurve_tr_H8Y6P7_H8Y6P7_HUMAN_.pdf", "Melting_Curves/meltCurve_tr_H8Y6P7_H8Y6P7_HUMAN_.pdf")</f>
        <v>Melting_Curves/meltCurve_tr_H8Y6P7_H8Y6P7_HUMAN_.pdf</v>
      </c>
      <c r="AA3694" t="s">
        <v>15117</v>
      </c>
      <c r="AB3694" t="s">
        <v>18918</v>
      </c>
    </row>
    <row r="3695" spans="1:28" x14ac:dyDescent="0.25">
      <c r="A3695" t="s">
        <v>3699</v>
      </c>
      <c r="B3695">
        <v>0.98876768158843997</v>
      </c>
      <c r="C3695">
        <v>0.80647426886397</v>
      </c>
      <c r="D3695">
        <v>0.92354612849878004</v>
      </c>
      <c r="E3695">
        <v>0.61410518485194199</v>
      </c>
      <c r="F3695">
        <v>0.53975550602585098</v>
      </c>
      <c r="G3695">
        <v>0.51909310211342097</v>
      </c>
      <c r="H3695">
        <v>0.38564684511173097</v>
      </c>
      <c r="I3695">
        <v>0.41530049343728698</v>
      </c>
      <c r="J3695">
        <v>0.50442665995954805</v>
      </c>
      <c r="K3695">
        <v>0.56558165651756598</v>
      </c>
      <c r="L3695">
        <v>821.36011941335198</v>
      </c>
      <c r="M3695">
        <v>17.136824107058501</v>
      </c>
      <c r="N3695">
        <v>56.643361256186701</v>
      </c>
      <c r="O3695">
        <v>47.291150253893598</v>
      </c>
      <c r="P3695">
        <v>-4.8543425515625703E-2</v>
      </c>
      <c r="Q3695">
        <v>0.46418613438897199</v>
      </c>
      <c r="R3695">
        <v>0.87046959840193405</v>
      </c>
      <c r="S3695" t="s">
        <v>7527</v>
      </c>
      <c r="T3695" t="s">
        <v>7662</v>
      </c>
      <c r="U3695" t="s">
        <v>7662</v>
      </c>
      <c r="V3695" t="s">
        <v>7662</v>
      </c>
      <c r="W3695">
        <v>2</v>
      </c>
      <c r="X3695" t="s">
        <v>11357</v>
      </c>
      <c r="Y3695">
        <v>0.61636624665077477</v>
      </c>
      <c r="Z3695" t="str">
        <f>HYPERLINK("Melting_Curves/meltCurve_tr_I3L097_I3L097_HUMAN_.pdf", "Melting_Curves/meltCurve_tr_I3L097_I3L097_HUMAN_.pdf")</f>
        <v>Melting_Curves/meltCurve_tr_I3L097_I3L097_HUMAN_.pdf</v>
      </c>
      <c r="AB3695" t="s">
        <v>18723</v>
      </c>
    </row>
    <row r="3696" spans="1:28" x14ac:dyDescent="0.25">
      <c r="A3696" t="s">
        <v>3700</v>
      </c>
      <c r="B3696">
        <v>0.98876768158843997</v>
      </c>
      <c r="C3696">
        <v>0.92563392648077303</v>
      </c>
      <c r="D3696">
        <v>0.83183358529542095</v>
      </c>
      <c r="E3696">
        <v>0.67899982721026897</v>
      </c>
      <c r="F3696">
        <v>0.47153357999699902</v>
      </c>
      <c r="G3696">
        <v>0.126800279688671</v>
      </c>
      <c r="H3696">
        <v>6.7194153840775206E-2</v>
      </c>
      <c r="I3696">
        <v>7.6434622736494401E-2</v>
      </c>
      <c r="J3696">
        <v>9.3444959454968696E-2</v>
      </c>
      <c r="K3696">
        <v>5.0841897966755603E-2</v>
      </c>
      <c r="L3696">
        <v>852.67781412017803</v>
      </c>
      <c r="M3696">
        <v>16.481073011378399</v>
      </c>
      <c r="N3696">
        <v>51.918778800926901</v>
      </c>
      <c r="O3696">
        <v>50.993089568354797</v>
      </c>
      <c r="P3696">
        <v>-7.8538197498750698E-2</v>
      </c>
      <c r="Q3696">
        <v>2.8066677357276901E-2</v>
      </c>
      <c r="R3696">
        <v>0.98729034578015196</v>
      </c>
      <c r="S3696" t="s">
        <v>7528</v>
      </c>
      <c r="T3696" t="s">
        <v>7662</v>
      </c>
      <c r="U3696" t="s">
        <v>7662</v>
      </c>
      <c r="V3696" t="s">
        <v>7662</v>
      </c>
      <c r="W3696">
        <v>24</v>
      </c>
      <c r="X3696" t="s">
        <v>11358</v>
      </c>
      <c r="Y3696">
        <v>0.42715680386946547</v>
      </c>
      <c r="Z3696" t="str">
        <f>HYPERLINK("Melting_Curves/meltCurve_tr_I3L0K7_I3L0K7_HUMAN_.pdf", "Melting_Curves/meltCurve_tr_I3L0K7_I3L0K7_HUMAN_.pdf")</f>
        <v>Melting_Curves/meltCurve_tr_I3L0K7_I3L0K7_HUMAN_.pdf</v>
      </c>
      <c r="AA3696" t="s">
        <v>14963</v>
      </c>
      <c r="AB3696" t="s">
        <v>18757</v>
      </c>
    </row>
    <row r="3697" spans="1:28" x14ac:dyDescent="0.25">
      <c r="A3697" t="s">
        <v>3701</v>
      </c>
      <c r="B3697">
        <v>0.98876768158843997</v>
      </c>
      <c r="C3697">
        <v>1.1155228325379101</v>
      </c>
      <c r="D3697">
        <v>0.83883155031626</v>
      </c>
      <c r="E3697">
        <v>0.75368105537082297</v>
      </c>
      <c r="F3697">
        <v>0.89718088504925797</v>
      </c>
      <c r="G3697">
        <v>0.61572223831814799</v>
      </c>
      <c r="H3697">
        <v>0.45245706499345001</v>
      </c>
      <c r="I3697">
        <v>0.56753666278815995</v>
      </c>
      <c r="J3697">
        <v>0.45607184180207</v>
      </c>
      <c r="K3697">
        <v>0.69316577862236395</v>
      </c>
      <c r="L3697">
        <v>754.28286603701804</v>
      </c>
      <c r="M3697">
        <v>14.447777638036101</v>
      </c>
      <c r="O3697">
        <v>51.2379239123727</v>
      </c>
      <c r="P3697">
        <v>-3.3378871787820202E-2</v>
      </c>
      <c r="Q3697">
        <v>0.52655313712503504</v>
      </c>
      <c r="R3697">
        <v>0.75584429387267504</v>
      </c>
      <c r="S3697" t="s">
        <v>7529</v>
      </c>
      <c r="T3697" t="s">
        <v>7662</v>
      </c>
      <c r="U3697" t="s">
        <v>7662</v>
      </c>
      <c r="V3697" t="s">
        <v>7662</v>
      </c>
      <c r="W3697">
        <v>4</v>
      </c>
      <c r="X3697" t="s">
        <v>11359</v>
      </c>
      <c r="Y3697">
        <v>0.73031410670059149</v>
      </c>
      <c r="Z3697" t="str">
        <f>HYPERLINK("Melting_Curves/meltCurve_tr_I3L0X5_I3L0X5_HUMAN_.pdf", "Melting_Curves/meltCurve_tr_I3L0X5_I3L0X5_HUMAN_.pdf")</f>
        <v>Melting_Curves/meltCurve_tr_I3L0X5_I3L0X5_HUMAN_.pdf</v>
      </c>
      <c r="AA3697" t="s">
        <v>15118</v>
      </c>
      <c r="AB3697" t="s">
        <v>18919</v>
      </c>
    </row>
    <row r="3698" spans="1:28" x14ac:dyDescent="0.25">
      <c r="A3698" t="s">
        <v>3702</v>
      </c>
      <c r="B3698">
        <v>0.98876768158843997</v>
      </c>
      <c r="C3698">
        <v>1.1234356404569099</v>
      </c>
      <c r="D3698">
        <v>0.78687033624382197</v>
      </c>
      <c r="E3698">
        <v>0.72490264026981099</v>
      </c>
      <c r="F3698">
        <v>0.90662160571361605</v>
      </c>
      <c r="G3698">
        <v>0.61079408883716302</v>
      </c>
      <c r="H3698">
        <v>0.41368901825504301</v>
      </c>
      <c r="I3698">
        <v>0.46328063264710401</v>
      </c>
      <c r="J3698">
        <v>0.69396178743705805</v>
      </c>
      <c r="K3698">
        <v>0.76465552167193096</v>
      </c>
      <c r="L3698">
        <v>766.31541626727301</v>
      </c>
      <c r="M3698">
        <v>15.401501067711401</v>
      </c>
      <c r="O3698">
        <v>48.939702739203398</v>
      </c>
      <c r="P3698">
        <v>-3.2099833796738197E-2</v>
      </c>
      <c r="Q3698">
        <v>0.59203632714388199</v>
      </c>
      <c r="R3698">
        <v>0.58754339666183797</v>
      </c>
      <c r="S3698" t="s">
        <v>7530</v>
      </c>
      <c r="T3698" t="s">
        <v>7662</v>
      </c>
      <c r="U3698" t="s">
        <v>7662</v>
      </c>
      <c r="V3698" t="s">
        <v>7662</v>
      </c>
      <c r="W3698">
        <v>3</v>
      </c>
      <c r="X3698" t="s">
        <v>11360</v>
      </c>
      <c r="Y3698">
        <v>0.73405324902972802</v>
      </c>
      <c r="Z3698" t="str">
        <f>HYPERLINK("Melting_Curves/meltCurve_tr_I3L1K7_I3L1K7_HUMAN_.pdf", "Melting_Curves/meltCurve_tr_I3L1K7_I3L1K7_HUMAN_.pdf")</f>
        <v>Melting_Curves/meltCurve_tr_I3L1K7_I3L1K7_HUMAN_.pdf</v>
      </c>
      <c r="AA3698" t="s">
        <v>15119</v>
      </c>
      <c r="AB3698" t="s">
        <v>18920</v>
      </c>
    </row>
    <row r="3699" spans="1:28" x14ac:dyDescent="0.25">
      <c r="A3699" t="s">
        <v>3703</v>
      </c>
      <c r="B3699">
        <v>0.98876768158843997</v>
      </c>
      <c r="C3699">
        <v>0.92260853664364695</v>
      </c>
      <c r="D3699">
        <v>0.77536193268847498</v>
      </c>
      <c r="E3699">
        <v>0.66917246890701199</v>
      </c>
      <c r="F3699">
        <v>0.39546355200620398</v>
      </c>
      <c r="G3699">
        <v>0.30932255608016801</v>
      </c>
      <c r="H3699">
        <v>0.25538887230996399</v>
      </c>
      <c r="I3699">
        <v>0.16546021894679799</v>
      </c>
      <c r="J3699">
        <v>0.26724362049068301</v>
      </c>
      <c r="K3699">
        <v>7.2240327188681397E-2</v>
      </c>
      <c r="L3699">
        <v>619.80929727606099</v>
      </c>
      <c r="M3699">
        <v>12.196034440409999</v>
      </c>
      <c r="N3699">
        <v>52.0522540832009</v>
      </c>
      <c r="O3699">
        <v>49.512166424936702</v>
      </c>
      <c r="P3699">
        <v>-5.3874621954343803E-2</v>
      </c>
      <c r="Q3699">
        <v>0.12534039995072599</v>
      </c>
      <c r="R3699">
        <v>0.97216057243432297</v>
      </c>
      <c r="S3699" t="s">
        <v>7531</v>
      </c>
      <c r="T3699" t="s">
        <v>7662</v>
      </c>
      <c r="U3699" t="s">
        <v>7662</v>
      </c>
      <c r="V3699" t="s">
        <v>7662</v>
      </c>
      <c r="W3699">
        <v>2</v>
      </c>
      <c r="X3699" t="s">
        <v>11361</v>
      </c>
      <c r="Y3699">
        <v>0.46897960118719978</v>
      </c>
      <c r="Z3699" t="str">
        <f>HYPERLINK("Melting_Curves/meltCurve_tr_I3L1Q3_I3L1Q3_HUMAN_.pdf", "Melting_Curves/meltCurve_tr_I3L1Q3_I3L1Q3_HUMAN_.pdf")</f>
        <v>Melting_Curves/meltCurve_tr_I3L1Q3_I3L1Q3_HUMAN_.pdf</v>
      </c>
      <c r="AA3699" t="s">
        <v>15120</v>
      </c>
      <c r="AB3699" t="s">
        <v>18921</v>
      </c>
    </row>
    <row r="3700" spans="1:28" x14ac:dyDescent="0.25">
      <c r="A3700" t="s">
        <v>3704</v>
      </c>
      <c r="B3700">
        <v>0.98876768158843997</v>
      </c>
      <c r="C3700">
        <v>1.05047880635345</v>
      </c>
      <c r="D3700">
        <v>0.96063581402066101</v>
      </c>
      <c r="E3700">
        <v>0.56619623523706197</v>
      </c>
      <c r="F3700">
        <v>0.401348502716944</v>
      </c>
      <c r="G3700">
        <v>0.238770765749097</v>
      </c>
      <c r="H3700">
        <v>0.17968052801273099</v>
      </c>
      <c r="I3700">
        <v>0.20520550562274301</v>
      </c>
      <c r="J3700">
        <v>0.311325434260603</v>
      </c>
      <c r="K3700">
        <v>0.33144576844497298</v>
      </c>
      <c r="L3700">
        <v>1524.3329554807001</v>
      </c>
      <c r="M3700">
        <v>30.6783890483484</v>
      </c>
      <c r="N3700">
        <v>50.877984393407502</v>
      </c>
      <c r="O3700">
        <v>49.477825958304102</v>
      </c>
      <c r="P3700">
        <v>-0.115314048864098</v>
      </c>
      <c r="Q3700">
        <v>0.25609466172354101</v>
      </c>
      <c r="R3700">
        <v>0.97656911340561103</v>
      </c>
      <c r="S3700" t="s">
        <v>7532</v>
      </c>
      <c r="T3700" t="s">
        <v>7662</v>
      </c>
      <c r="U3700" t="s">
        <v>7662</v>
      </c>
      <c r="V3700" t="s">
        <v>7662</v>
      </c>
      <c r="W3700">
        <v>16</v>
      </c>
      <c r="X3700" t="s">
        <v>11362</v>
      </c>
      <c r="Y3700">
        <v>0.50068945837712853</v>
      </c>
      <c r="Z3700" t="str">
        <f>HYPERLINK("Melting_Curves/meltCurve_tr_I3L2B0_I3L2B0_HUMAN_.pdf", "Melting_Curves/meltCurve_tr_I3L2B0_I3L2B0_HUMAN_.pdf")</f>
        <v>Melting_Curves/meltCurve_tr_I3L2B0_I3L2B0_HUMAN_.pdf</v>
      </c>
      <c r="AA3700" t="s">
        <v>15121</v>
      </c>
      <c r="AB3700" t="s">
        <v>18922</v>
      </c>
    </row>
    <row r="3701" spans="1:28" x14ac:dyDescent="0.25">
      <c r="A3701" t="s">
        <v>3705</v>
      </c>
      <c r="B3701">
        <v>0.98876768158843997</v>
      </c>
      <c r="C3701">
        <v>1.18138039847359</v>
      </c>
      <c r="D3701">
        <v>1.0007770409224399</v>
      </c>
      <c r="E3701">
        <v>0.803366278179933</v>
      </c>
      <c r="F3701">
        <v>0.68180184027757096</v>
      </c>
      <c r="G3701">
        <v>0.42068989933296203</v>
      </c>
      <c r="H3701">
        <v>0.40807658618529102</v>
      </c>
      <c r="I3701">
        <v>0.49290351550725497</v>
      </c>
      <c r="J3701">
        <v>0.55609395353746804</v>
      </c>
      <c r="K3701">
        <v>0.52859201951731205</v>
      </c>
      <c r="L3701">
        <v>1574.5686584904499</v>
      </c>
      <c r="M3701">
        <v>30.677048539967299</v>
      </c>
      <c r="N3701">
        <v>57.617102254142303</v>
      </c>
      <c r="O3701">
        <v>51.110629528401702</v>
      </c>
      <c r="P3701">
        <v>-7.7661705394390407E-2</v>
      </c>
      <c r="Q3701">
        <v>0.48243853337298798</v>
      </c>
      <c r="R3701">
        <v>0.91178699017944198</v>
      </c>
      <c r="S3701" t="s">
        <v>7533</v>
      </c>
      <c r="T3701" t="s">
        <v>7662</v>
      </c>
      <c r="U3701" t="s">
        <v>7662</v>
      </c>
      <c r="V3701" t="s">
        <v>7662</v>
      </c>
      <c r="W3701">
        <v>3</v>
      </c>
      <c r="X3701" t="s">
        <v>11363</v>
      </c>
      <c r="Y3701">
        <v>0.68098576872329042</v>
      </c>
      <c r="Z3701" t="str">
        <f>HYPERLINK("Melting_Curves/meltCurve_tr_I3L2J0_I3L2J0_HUMAN_.pdf", "Melting_Curves/meltCurve_tr_I3L2J0_I3L2J0_HUMAN_.pdf")</f>
        <v>Melting_Curves/meltCurve_tr_I3L2J0_I3L2J0_HUMAN_.pdf</v>
      </c>
      <c r="AA3701" t="s">
        <v>15122</v>
      </c>
      <c r="AB3701" t="s">
        <v>18923</v>
      </c>
    </row>
    <row r="3702" spans="1:28" x14ac:dyDescent="0.25">
      <c r="A3702" t="s">
        <v>3706</v>
      </c>
      <c r="B3702">
        <v>0.98876768158843997</v>
      </c>
      <c r="C3702">
        <v>1.0967153828613001</v>
      </c>
      <c r="D3702">
        <v>0.87174039234246703</v>
      </c>
      <c r="E3702">
        <v>0.78502394063440495</v>
      </c>
      <c r="F3702">
        <v>0.85125892437907102</v>
      </c>
      <c r="G3702">
        <v>0.55756307995572696</v>
      </c>
      <c r="H3702">
        <v>0.403457845435577</v>
      </c>
      <c r="I3702">
        <v>0.41546129450000602</v>
      </c>
      <c r="J3702">
        <v>0.51583296572354598</v>
      </c>
      <c r="K3702">
        <v>0.64226788001113699</v>
      </c>
      <c r="L3702">
        <v>974.52816160867405</v>
      </c>
      <c r="M3702">
        <v>18.535846447726399</v>
      </c>
      <c r="N3702">
        <v>64.8462645226397</v>
      </c>
      <c r="O3702">
        <v>51.974861160424901</v>
      </c>
      <c r="P3702">
        <v>-4.5916927740991903E-2</v>
      </c>
      <c r="Q3702">
        <v>0.48501503200212498</v>
      </c>
      <c r="R3702">
        <v>0.83348561740340998</v>
      </c>
      <c r="S3702" t="s">
        <v>7534</v>
      </c>
      <c r="T3702" t="s">
        <v>7662</v>
      </c>
      <c r="U3702" t="s">
        <v>7662</v>
      </c>
      <c r="V3702" t="s">
        <v>7662</v>
      </c>
      <c r="W3702">
        <v>12</v>
      </c>
      <c r="X3702" t="s">
        <v>11364</v>
      </c>
      <c r="Y3702">
        <v>0.7089771346403998</v>
      </c>
      <c r="Z3702" t="str">
        <f>HYPERLINK("Melting_Curves/meltCurve_tr_I3L397_I3L397_HUMAN_.pdf", "Melting_Curves/meltCurve_tr_I3L397_I3L397_HUMAN_.pdf")</f>
        <v>Melting_Curves/meltCurve_tr_I3L397_I3L397_HUMAN_.pdf</v>
      </c>
      <c r="AA3702" t="s">
        <v>15123</v>
      </c>
      <c r="AB3702" t="s">
        <v>18924</v>
      </c>
    </row>
    <row r="3703" spans="1:28" x14ac:dyDescent="0.25">
      <c r="A3703" t="s">
        <v>3707</v>
      </c>
      <c r="B3703">
        <v>0.98876768158843997</v>
      </c>
      <c r="C3703">
        <v>0.61299627353262598</v>
      </c>
      <c r="D3703">
        <v>0.495466553150057</v>
      </c>
      <c r="E3703">
        <v>0.21758860457644699</v>
      </c>
      <c r="F3703">
        <v>0.15578007984846401</v>
      </c>
      <c r="G3703">
        <v>8.5553251367471106E-2</v>
      </c>
      <c r="H3703">
        <v>5.71983082418214E-2</v>
      </c>
      <c r="I3703">
        <v>4.6716867103835602E-2</v>
      </c>
      <c r="J3703">
        <v>5.11137017161227E-2</v>
      </c>
      <c r="K3703">
        <v>1.65958201285707E-2</v>
      </c>
      <c r="L3703">
        <v>683.36629831326002</v>
      </c>
      <c r="M3703">
        <v>15.092780797383099</v>
      </c>
      <c r="N3703">
        <v>45.515281018428801</v>
      </c>
      <c r="O3703">
        <v>44.505134147413699</v>
      </c>
      <c r="P3703">
        <v>-8.1577649304182695E-2</v>
      </c>
      <c r="Q3703">
        <v>3.7880091831499298E-2</v>
      </c>
      <c r="R3703">
        <v>0.97609478621472801</v>
      </c>
      <c r="S3703" t="s">
        <v>7535</v>
      </c>
      <c r="T3703" t="s">
        <v>7662</v>
      </c>
      <c r="U3703" t="s">
        <v>7662</v>
      </c>
      <c r="V3703" t="s">
        <v>7662</v>
      </c>
      <c r="W3703">
        <v>1</v>
      </c>
      <c r="X3703" t="s">
        <v>11365</v>
      </c>
      <c r="Y3703">
        <v>0.2367738228740475</v>
      </c>
      <c r="Z3703" t="str">
        <f>HYPERLINK("Melting_Curves/meltCurve_tr_I3L3P7_I3L3P7_HUMAN_.pdf", "Melting_Curves/meltCurve_tr_I3L3P7_I3L3P7_HUMAN_.pdf")</f>
        <v>Melting_Curves/meltCurve_tr_I3L3P7_I3L3P7_HUMAN_.pdf</v>
      </c>
      <c r="AA3703" t="s">
        <v>15124</v>
      </c>
      <c r="AB3703" t="s">
        <v>18925</v>
      </c>
    </row>
    <row r="3704" spans="1:28" x14ac:dyDescent="0.25">
      <c r="A3704" t="s">
        <v>3708</v>
      </c>
      <c r="B3704">
        <v>0.98876768158843997</v>
      </c>
      <c r="C3704">
        <v>0.99528835378746505</v>
      </c>
      <c r="D3704">
        <v>0.88723031952059295</v>
      </c>
      <c r="E3704">
        <v>0.67023975314291995</v>
      </c>
      <c r="F3704">
        <v>0.52223017262242899</v>
      </c>
      <c r="G3704">
        <v>0.27194789932951002</v>
      </c>
      <c r="H3704">
        <v>0.13303605536789101</v>
      </c>
      <c r="I3704">
        <v>8.7949346629564301E-2</v>
      </c>
      <c r="J3704">
        <v>0.103520666899382</v>
      </c>
      <c r="K3704">
        <v>7.5591370818719403E-2</v>
      </c>
      <c r="L3704">
        <v>782.339005433892</v>
      </c>
      <c r="M3704">
        <v>14.892070988478</v>
      </c>
      <c r="N3704">
        <v>52.872850761837398</v>
      </c>
      <c r="O3704">
        <v>51.613938487066399</v>
      </c>
      <c r="P3704">
        <v>-6.88555379484522E-2</v>
      </c>
      <c r="Q3704">
        <v>4.5522628924315002E-2</v>
      </c>
      <c r="R3704">
        <v>0.99726375474720397</v>
      </c>
      <c r="S3704" t="s">
        <v>7536</v>
      </c>
      <c r="T3704" t="s">
        <v>7662</v>
      </c>
      <c r="U3704" t="s">
        <v>7662</v>
      </c>
      <c r="V3704" t="s">
        <v>7662</v>
      </c>
      <c r="W3704">
        <v>4</v>
      </c>
      <c r="X3704" t="s">
        <v>11366</v>
      </c>
      <c r="Y3704">
        <v>0.46544884958364352</v>
      </c>
      <c r="Z3704" t="str">
        <f>HYPERLINK("Melting_Curves/meltCurve_tr_I3L3T4_I3L3T4_HUMAN_.pdf", "Melting_Curves/meltCurve_tr_I3L3T4_I3L3T4_HUMAN_.pdf")</f>
        <v>Melting_Curves/meltCurve_tr_I3L3T4_I3L3T4_HUMAN_.pdf</v>
      </c>
      <c r="AA3704" t="s">
        <v>15125</v>
      </c>
      <c r="AB3704" t="s">
        <v>18926</v>
      </c>
    </row>
    <row r="3705" spans="1:28" x14ac:dyDescent="0.25">
      <c r="A3705" t="s">
        <v>3709</v>
      </c>
      <c r="B3705">
        <v>0.98876768158843997</v>
      </c>
      <c r="C3705">
        <v>0.87383633681120998</v>
      </c>
      <c r="D3705">
        <v>0.84080129108552504</v>
      </c>
      <c r="E3705">
        <v>0.52192331761425803</v>
      </c>
      <c r="F3705">
        <v>0.32224793502023202</v>
      </c>
      <c r="G3705">
        <v>0.106103207571598</v>
      </c>
      <c r="H3705">
        <v>5.06478315898575E-2</v>
      </c>
      <c r="I3705">
        <v>4.19856390811277E-2</v>
      </c>
      <c r="J3705">
        <v>5.8133808291680703E-2</v>
      </c>
      <c r="K3705">
        <v>4.8730870243134203E-2</v>
      </c>
      <c r="L3705">
        <v>824.253780230193</v>
      </c>
      <c r="M3705">
        <v>16.4489592842442</v>
      </c>
      <c r="N3705">
        <v>50.242227771554198</v>
      </c>
      <c r="O3705">
        <v>49.386725383114097</v>
      </c>
      <c r="P3705">
        <v>-8.1505138230410307E-2</v>
      </c>
      <c r="Q3705">
        <v>2.1217418873827401E-2</v>
      </c>
      <c r="R3705">
        <v>0.99421815849901296</v>
      </c>
      <c r="S3705" t="s">
        <v>7537</v>
      </c>
      <c r="T3705" t="s">
        <v>7662</v>
      </c>
      <c r="U3705" t="s">
        <v>7662</v>
      </c>
      <c r="V3705" t="s">
        <v>7662</v>
      </c>
      <c r="W3705">
        <v>3</v>
      </c>
      <c r="X3705" t="s">
        <v>11367</v>
      </c>
      <c r="Y3705">
        <v>0.3707698235151578</v>
      </c>
      <c r="Z3705" t="str">
        <f>HYPERLINK("Melting_Curves/meltCurve_tr_I3L4X3_I3L4X3_HUMAN_.pdf", "Melting_Curves/meltCurve_tr_I3L4X3_I3L4X3_HUMAN_.pdf")</f>
        <v>Melting_Curves/meltCurve_tr_I3L4X3_I3L4X3_HUMAN_.pdf</v>
      </c>
      <c r="AA3705" t="s">
        <v>15126</v>
      </c>
      <c r="AB3705" t="s">
        <v>18927</v>
      </c>
    </row>
    <row r="3706" spans="1:28" x14ac:dyDescent="0.25">
      <c r="A3706" t="s">
        <v>3710</v>
      </c>
      <c r="B3706">
        <v>0.98876768158843997</v>
      </c>
      <c r="C3706">
        <v>1.1254098778545101</v>
      </c>
      <c r="D3706">
        <v>0.85905269345562996</v>
      </c>
      <c r="E3706">
        <v>0.80388709197870001</v>
      </c>
      <c r="F3706">
        <v>0.99218183148722605</v>
      </c>
      <c r="G3706">
        <v>0.72621593908184601</v>
      </c>
      <c r="H3706">
        <v>0.50339203546607703</v>
      </c>
      <c r="I3706">
        <v>0.487764424154224</v>
      </c>
      <c r="J3706">
        <v>0.46737853625250803</v>
      </c>
      <c r="K3706">
        <v>0.446030067089144</v>
      </c>
      <c r="L3706">
        <v>996.75863933153096</v>
      </c>
      <c r="M3706">
        <v>17.4283274676486</v>
      </c>
      <c r="N3706">
        <v>63.408056719724499</v>
      </c>
      <c r="O3706">
        <v>56.454842745642999</v>
      </c>
      <c r="P3706">
        <v>-4.5581038498723102E-2</v>
      </c>
      <c r="Q3706">
        <v>0.409438202268193</v>
      </c>
      <c r="R3706">
        <v>0.87297535490246203</v>
      </c>
      <c r="S3706" t="s">
        <v>7538</v>
      </c>
      <c r="T3706" t="s">
        <v>7662</v>
      </c>
      <c r="U3706" t="s">
        <v>7662</v>
      </c>
      <c r="V3706" t="s">
        <v>7662</v>
      </c>
      <c r="W3706">
        <v>7</v>
      </c>
      <c r="X3706" t="s">
        <v>11368</v>
      </c>
      <c r="Y3706">
        <v>0.75606891580879654</v>
      </c>
      <c r="Z3706" t="str">
        <f>HYPERLINK("Melting_Curves/meltCurve_tr_J3KMY5_J3KMY5_HUMAN_.pdf", "Melting_Curves/meltCurve_tr_J3KMY5_J3KMY5_HUMAN_.pdf")</f>
        <v>Melting_Curves/meltCurve_tr_J3KMY5_J3KMY5_HUMAN_.pdf</v>
      </c>
      <c r="AA3706" t="s">
        <v>15127</v>
      </c>
      <c r="AB3706" t="s">
        <v>18928</v>
      </c>
    </row>
    <row r="3707" spans="1:28" x14ac:dyDescent="0.25">
      <c r="A3707" t="s">
        <v>3711</v>
      </c>
      <c r="B3707">
        <v>0.98876768158843997</v>
      </c>
      <c r="C3707">
        <v>0.88770545662227895</v>
      </c>
      <c r="D3707">
        <v>0.74664563744721202</v>
      </c>
      <c r="E3707">
        <v>0.70258462481121697</v>
      </c>
      <c r="F3707">
        <v>0.94637188758797497</v>
      </c>
      <c r="G3707">
        <v>0.69456485680815705</v>
      </c>
      <c r="H3707">
        <v>0.54119234258536197</v>
      </c>
      <c r="I3707">
        <v>0.62685479142107903</v>
      </c>
      <c r="J3707">
        <v>0.69829619351176198</v>
      </c>
      <c r="K3707">
        <v>0.86136357879621595</v>
      </c>
      <c r="L3707">
        <v>1679.3525489865101</v>
      </c>
      <c r="M3707">
        <v>38.7813403542361</v>
      </c>
      <c r="O3707">
        <v>43.188441516323202</v>
      </c>
      <c r="P3707">
        <v>-6.1990135207066699E-2</v>
      </c>
      <c r="Q3707">
        <v>0.72386190173621301</v>
      </c>
      <c r="R3707">
        <v>0.40431479896637901</v>
      </c>
      <c r="S3707" t="s">
        <v>7539</v>
      </c>
      <c r="T3707" t="s">
        <v>7662</v>
      </c>
      <c r="U3707" t="s">
        <v>7662</v>
      </c>
      <c r="V3707" t="s">
        <v>7662</v>
      </c>
      <c r="W3707">
        <v>10</v>
      </c>
      <c r="X3707" t="s">
        <v>11369</v>
      </c>
      <c r="Y3707">
        <v>0.75547956416449202</v>
      </c>
      <c r="Z3707" t="str">
        <f>HYPERLINK("Melting_Curves/meltCurve_tr_J3KN29_J3KN29_HUMAN_.pdf", "Melting_Curves/meltCurve_tr_J3KN29_J3KN29_HUMAN_.pdf")</f>
        <v>Melting_Curves/meltCurve_tr_J3KN29_J3KN29_HUMAN_.pdf</v>
      </c>
      <c r="AA3707" t="s">
        <v>15128</v>
      </c>
      <c r="AB3707" t="s">
        <v>18929</v>
      </c>
    </row>
    <row r="3708" spans="1:28" x14ac:dyDescent="0.25">
      <c r="A3708" t="s">
        <v>3712</v>
      </c>
      <c r="B3708">
        <v>0.98876768158843997</v>
      </c>
      <c r="C3708">
        <v>1.0232195578355101</v>
      </c>
      <c r="D3708">
        <v>0.92502625667929395</v>
      </c>
      <c r="E3708">
        <v>0.63265127952320699</v>
      </c>
      <c r="F3708">
        <v>0.23852616253225301</v>
      </c>
      <c r="G3708">
        <v>0.107969572177661</v>
      </c>
      <c r="H3708">
        <v>8.03318989555077E-2</v>
      </c>
      <c r="I3708">
        <v>6.2430047203827298E-2</v>
      </c>
      <c r="J3708">
        <v>9.5503983518125002E-2</v>
      </c>
      <c r="K3708">
        <v>6.3776827427450999E-2</v>
      </c>
      <c r="L3708">
        <v>1570.15544902959</v>
      </c>
      <c r="M3708">
        <v>31.048176087209999</v>
      </c>
      <c r="N3708">
        <v>50.832671060861401</v>
      </c>
      <c r="O3708">
        <v>50.363181052144597</v>
      </c>
      <c r="P3708">
        <v>-0.142763201945003</v>
      </c>
      <c r="Q3708">
        <v>7.3701708914514802E-2</v>
      </c>
      <c r="R3708">
        <v>0.99796738924036499</v>
      </c>
      <c r="S3708" t="s">
        <v>7540</v>
      </c>
      <c r="T3708" t="s">
        <v>7662</v>
      </c>
      <c r="U3708" t="s">
        <v>7662</v>
      </c>
      <c r="V3708" t="s">
        <v>7662</v>
      </c>
      <c r="W3708">
        <v>3</v>
      </c>
      <c r="X3708" t="s">
        <v>11370</v>
      </c>
      <c r="Y3708">
        <v>0.40551330464889263</v>
      </c>
      <c r="Z3708" t="str">
        <f>HYPERLINK("Melting_Curves/meltCurve_tr_J3KN75_J3KN75_HUMAN_.pdf", "Melting_Curves/meltCurve_tr_J3KN75_J3KN75_HUMAN_.pdf")</f>
        <v>Melting_Curves/meltCurve_tr_J3KN75_J3KN75_HUMAN_.pdf</v>
      </c>
      <c r="AA3708" t="s">
        <v>15129</v>
      </c>
      <c r="AB3708" t="s">
        <v>18930</v>
      </c>
    </row>
    <row r="3709" spans="1:28" x14ac:dyDescent="0.25">
      <c r="A3709" t="s">
        <v>3713</v>
      </c>
      <c r="B3709">
        <v>0.98876768158843997</v>
      </c>
      <c r="C3709">
        <v>0.93290956390316204</v>
      </c>
      <c r="D3709">
        <v>1.0589907519608599</v>
      </c>
      <c r="E3709">
        <v>0.71567147013203303</v>
      </c>
      <c r="F3709">
        <v>0.45986021495809798</v>
      </c>
      <c r="G3709">
        <v>0.16870564056440601</v>
      </c>
      <c r="H3709">
        <v>0.183962202846674</v>
      </c>
      <c r="I3709">
        <v>0.165455330174893</v>
      </c>
      <c r="J3709">
        <v>0.26350842915501599</v>
      </c>
      <c r="K3709">
        <v>6.0638517398137297E-2</v>
      </c>
      <c r="L3709">
        <v>1463.51225774358</v>
      </c>
      <c r="M3709">
        <v>28.3867640203819</v>
      </c>
      <c r="N3709">
        <v>52.258056720691201</v>
      </c>
      <c r="O3709">
        <v>51.302319743470903</v>
      </c>
      <c r="P3709">
        <v>-0.116405117035071</v>
      </c>
      <c r="Q3709">
        <v>0.15850857672268201</v>
      </c>
      <c r="R3709">
        <v>0.97291593450612601</v>
      </c>
      <c r="S3709" t="s">
        <v>7541</v>
      </c>
      <c r="T3709" t="s">
        <v>7662</v>
      </c>
      <c r="U3709" t="s">
        <v>7662</v>
      </c>
      <c r="V3709" t="s">
        <v>7662</v>
      </c>
      <c r="W3709">
        <v>1</v>
      </c>
      <c r="X3709" t="s">
        <v>11371</v>
      </c>
      <c r="Y3709">
        <v>0.48861387034858411</v>
      </c>
      <c r="Z3709" t="str">
        <f>HYPERLINK("Melting_Curves/meltCurve_tr_J3KN93_J3KN93_HUMAN_.pdf", "Melting_Curves/meltCurve_tr_J3KN93_J3KN93_HUMAN_.pdf")</f>
        <v>Melting_Curves/meltCurve_tr_J3KN93_J3KN93_HUMAN_.pdf</v>
      </c>
      <c r="AA3709" t="s">
        <v>15130</v>
      </c>
      <c r="AB3709" t="s">
        <v>18931</v>
      </c>
    </row>
    <row r="3710" spans="1:28" x14ac:dyDescent="0.25">
      <c r="A3710" t="s">
        <v>3714</v>
      </c>
      <c r="B3710">
        <v>0.98876768158843997</v>
      </c>
      <c r="C3710">
        <v>1.0276825357741299</v>
      </c>
      <c r="D3710">
        <v>1.0386913885215601</v>
      </c>
      <c r="E3710">
        <v>0.78135020338167704</v>
      </c>
      <c r="F3710">
        <v>0.68572704722812805</v>
      </c>
      <c r="G3710">
        <v>0.58605162854154202</v>
      </c>
      <c r="H3710">
        <v>0.37412896456870598</v>
      </c>
      <c r="I3710">
        <v>0.296524955937295</v>
      </c>
      <c r="J3710">
        <v>0.58939493072660598</v>
      </c>
      <c r="K3710">
        <v>0.198263860324113</v>
      </c>
      <c r="L3710">
        <v>823.772850880796</v>
      </c>
      <c r="M3710">
        <v>15.309823728473701</v>
      </c>
      <c r="N3710">
        <v>57.727247390463397</v>
      </c>
      <c r="O3710">
        <v>52.913863520443797</v>
      </c>
      <c r="P3710">
        <v>-4.8958131118151102E-2</v>
      </c>
      <c r="Q3710">
        <v>0.323226086053089</v>
      </c>
      <c r="R3710">
        <v>0.88003351614290903</v>
      </c>
      <c r="S3710" t="s">
        <v>7542</v>
      </c>
      <c r="T3710" t="s">
        <v>7662</v>
      </c>
      <c r="U3710" t="s">
        <v>7662</v>
      </c>
      <c r="V3710" t="s">
        <v>7662</v>
      </c>
      <c r="W3710">
        <v>1</v>
      </c>
      <c r="X3710" t="s">
        <v>11372</v>
      </c>
      <c r="Y3710">
        <v>0.64835974207567304</v>
      </c>
      <c r="Z3710" t="str">
        <f>HYPERLINK("Melting_Curves/meltCurve_tr_J3KNC0_J3KNC0_HUMAN_.pdf", "Melting_Curves/meltCurve_tr_J3KNC0_J3KNC0_HUMAN_.pdf")</f>
        <v>Melting_Curves/meltCurve_tr_J3KNC0_J3KNC0_HUMAN_.pdf</v>
      </c>
      <c r="AA3710" t="s">
        <v>15131</v>
      </c>
      <c r="AB3710" t="s">
        <v>18932</v>
      </c>
    </row>
    <row r="3711" spans="1:28" x14ac:dyDescent="0.25">
      <c r="A3711" t="s">
        <v>3715</v>
      </c>
      <c r="B3711">
        <v>0.98876768158843997</v>
      </c>
      <c r="C3711">
        <v>1.09077503063906</v>
      </c>
      <c r="D3711">
        <v>0.86402512512558405</v>
      </c>
      <c r="E3711">
        <v>0.82793514800649104</v>
      </c>
      <c r="F3711">
        <v>0.766429494964321</v>
      </c>
      <c r="G3711">
        <v>0.49872044858808301</v>
      </c>
      <c r="H3711">
        <v>0.34293588017599602</v>
      </c>
      <c r="I3711">
        <v>0.30943939524221298</v>
      </c>
      <c r="J3711">
        <v>0.34948848006130601</v>
      </c>
      <c r="K3711">
        <v>0.33455191782543803</v>
      </c>
      <c r="L3711">
        <v>898.31333638874003</v>
      </c>
      <c r="M3711">
        <v>16.603652279611001</v>
      </c>
      <c r="N3711">
        <v>57.110333971575798</v>
      </c>
      <c r="O3711">
        <v>53.336813217338999</v>
      </c>
      <c r="P3711">
        <v>-5.5149773487852799E-2</v>
      </c>
      <c r="Q3711">
        <v>0.291405592965506</v>
      </c>
      <c r="R3711">
        <v>0.96473287635018601</v>
      </c>
      <c r="S3711" t="s">
        <v>7543</v>
      </c>
      <c r="T3711" t="s">
        <v>7662</v>
      </c>
      <c r="U3711" t="s">
        <v>7662</v>
      </c>
      <c r="V3711" t="s">
        <v>7662</v>
      </c>
      <c r="W3711">
        <v>10</v>
      </c>
      <c r="X3711" t="s">
        <v>11373</v>
      </c>
      <c r="Y3711">
        <v>0.63720036664828372</v>
      </c>
      <c r="Z3711" t="str">
        <f>HYPERLINK("Melting_Curves/meltCurve_tr_J3KNF4_J3KNF4_HUMAN_.pdf", "Melting_Curves/meltCurve_tr_J3KNF4_J3KNF4_HUMAN_.pdf")</f>
        <v>Melting_Curves/meltCurve_tr_J3KNF4_J3KNF4_HUMAN_.pdf</v>
      </c>
      <c r="AA3711" t="s">
        <v>15132</v>
      </c>
      <c r="AB3711" t="s">
        <v>18933</v>
      </c>
    </row>
    <row r="3712" spans="1:28" x14ac:dyDescent="0.25">
      <c r="A3712" t="s">
        <v>3716</v>
      </c>
      <c r="B3712">
        <v>0.98876768158843997</v>
      </c>
      <c r="C3712">
        <v>1.0211286574510401</v>
      </c>
      <c r="D3712">
        <v>1.0349446527985899</v>
      </c>
      <c r="E3712">
        <v>0.71562747135818805</v>
      </c>
      <c r="F3712">
        <v>0.30535969169694699</v>
      </c>
      <c r="G3712">
        <v>0.149968117486112</v>
      </c>
      <c r="H3712">
        <v>6.7351644367553504E-2</v>
      </c>
      <c r="I3712">
        <v>5.9234725160844999E-2</v>
      </c>
      <c r="J3712">
        <v>7.6140909231303594E-2</v>
      </c>
      <c r="K3712">
        <v>6.1199718075538902E-2</v>
      </c>
      <c r="L3712">
        <v>1695.5090116957099</v>
      </c>
      <c r="M3712">
        <v>33.057379866078101</v>
      </c>
      <c r="N3712">
        <v>51.538246624152102</v>
      </c>
      <c r="O3712">
        <v>51.103280952872701</v>
      </c>
      <c r="P3712">
        <v>-0.14981140326249001</v>
      </c>
      <c r="Q3712">
        <v>7.3632599065284104E-2</v>
      </c>
      <c r="R3712">
        <v>0.996410148273567</v>
      </c>
      <c r="S3712" t="s">
        <v>7544</v>
      </c>
      <c r="T3712" t="s">
        <v>7662</v>
      </c>
      <c r="U3712" t="s">
        <v>7662</v>
      </c>
      <c r="V3712" t="s">
        <v>7662</v>
      </c>
      <c r="W3712">
        <v>3</v>
      </c>
      <c r="X3712" t="s">
        <v>11374</v>
      </c>
      <c r="Y3712">
        <v>0.42707015102649809</v>
      </c>
      <c r="Z3712" t="str">
        <f>HYPERLINK("Melting_Curves/meltCurve_tr_J3KNJ2_J3KNJ2_HUMAN_.pdf", "Melting_Curves/meltCurve_tr_J3KNJ2_J3KNJ2_HUMAN_.pdf")</f>
        <v>Melting_Curves/meltCurve_tr_J3KNJ2_J3KNJ2_HUMAN_.pdf</v>
      </c>
      <c r="AA3712" t="s">
        <v>15133</v>
      </c>
      <c r="AB3712" t="s">
        <v>18934</v>
      </c>
    </row>
    <row r="3713" spans="1:28" x14ac:dyDescent="0.25">
      <c r="A3713" t="s">
        <v>3717</v>
      </c>
      <c r="B3713">
        <v>0.98876768158843997</v>
      </c>
      <c r="C3713">
        <v>1.06832852651523</v>
      </c>
      <c r="D3713">
        <v>0.80068629685550397</v>
      </c>
      <c r="E3713">
        <v>0.62336191957630804</v>
      </c>
      <c r="F3713">
        <v>0.77987520604417604</v>
      </c>
      <c r="G3713">
        <v>0.59288644193372597</v>
      </c>
      <c r="H3713">
        <v>0.45549000554826402</v>
      </c>
      <c r="I3713">
        <v>0.53978302481679497</v>
      </c>
      <c r="J3713">
        <v>0.73214213731996103</v>
      </c>
      <c r="K3713">
        <v>0.81514459190350297</v>
      </c>
      <c r="L3713">
        <v>11487.6256232462</v>
      </c>
      <c r="M3713">
        <v>250</v>
      </c>
      <c r="O3713">
        <v>45.947562405433203</v>
      </c>
      <c r="P3713">
        <v>-0.47828526332293297</v>
      </c>
      <c r="Q3713">
        <v>0.64838333203137799</v>
      </c>
      <c r="R3713">
        <v>0.67467132626625104</v>
      </c>
      <c r="S3713" t="s">
        <v>7545</v>
      </c>
      <c r="T3713" t="s">
        <v>7662</v>
      </c>
      <c r="U3713" t="s">
        <v>7662</v>
      </c>
      <c r="V3713" t="s">
        <v>7662</v>
      </c>
      <c r="W3713">
        <v>15</v>
      </c>
      <c r="X3713" t="s">
        <v>11375</v>
      </c>
      <c r="Y3713">
        <v>0.71815488255998772</v>
      </c>
      <c r="Z3713" t="str">
        <f>HYPERLINK("Melting_Curves/meltCurve_tr_J3KNL6_J3KNL6_HUMAN_.pdf", "Melting_Curves/meltCurve_tr_J3KNL6_J3KNL6_HUMAN_.pdf")</f>
        <v>Melting_Curves/meltCurve_tr_J3KNL6_J3KNL6_HUMAN_.pdf</v>
      </c>
      <c r="AA3713" t="s">
        <v>15134</v>
      </c>
      <c r="AB3713" t="s">
        <v>18935</v>
      </c>
    </row>
    <row r="3714" spans="1:28" x14ac:dyDescent="0.25">
      <c r="A3714" t="s">
        <v>3718</v>
      </c>
      <c r="B3714">
        <v>0.98876768158843997</v>
      </c>
      <c r="C3714">
        <v>1.01524582749981</v>
      </c>
      <c r="D3714">
        <v>0.89871305923454703</v>
      </c>
      <c r="E3714">
        <v>0.62869060818191402</v>
      </c>
      <c r="F3714">
        <v>0.66573150656756697</v>
      </c>
      <c r="G3714">
        <v>0.42489320814180798</v>
      </c>
      <c r="H3714">
        <v>0.36933570442957903</v>
      </c>
      <c r="I3714">
        <v>0.43158023281116298</v>
      </c>
      <c r="J3714">
        <v>0.54968262304180804</v>
      </c>
      <c r="K3714">
        <v>0.66224592868226395</v>
      </c>
      <c r="L3714">
        <v>1178.06558631093</v>
      </c>
      <c r="M3714">
        <v>24.222941139879399</v>
      </c>
      <c r="N3714">
        <v>63.102713601498898</v>
      </c>
      <c r="O3714">
        <v>48.306440893721003</v>
      </c>
      <c r="P3714">
        <v>-6.2924059224927095E-2</v>
      </c>
      <c r="Q3714">
        <v>0.49806388501502902</v>
      </c>
      <c r="R3714">
        <v>0.85163875293122504</v>
      </c>
      <c r="S3714" t="s">
        <v>7546</v>
      </c>
      <c r="T3714" t="s">
        <v>7662</v>
      </c>
      <c r="U3714" t="s">
        <v>7662</v>
      </c>
      <c r="V3714" t="s">
        <v>7662</v>
      </c>
      <c r="W3714">
        <v>6</v>
      </c>
      <c r="X3714" t="s">
        <v>11376</v>
      </c>
      <c r="Y3714">
        <v>0.64726706119718247</v>
      </c>
      <c r="Z3714" t="str">
        <f>HYPERLINK("Melting_Curves/meltCurve_tr_J3KP19_J3KP19_HUMAN_.pdf", "Melting_Curves/meltCurve_tr_J3KP19_J3KP19_HUMAN_.pdf")</f>
        <v>Melting_Curves/meltCurve_tr_J3KP19_J3KP19_HUMAN_.pdf</v>
      </c>
      <c r="AA3714" t="s">
        <v>15135</v>
      </c>
      <c r="AB3714" t="s">
        <v>18936</v>
      </c>
    </row>
    <row r="3715" spans="1:28" x14ac:dyDescent="0.25">
      <c r="A3715" t="s">
        <v>3719</v>
      </c>
      <c r="B3715">
        <v>0.98876768158843997</v>
      </c>
      <c r="C3715">
        <v>1.09653437167477</v>
      </c>
      <c r="D3715">
        <v>0.90005361899813696</v>
      </c>
      <c r="E3715">
        <v>0.62367841582452499</v>
      </c>
      <c r="F3715">
        <v>0.48330889903756402</v>
      </c>
      <c r="G3715">
        <v>0.30993299084429299</v>
      </c>
      <c r="H3715">
        <v>0.26862630746545002</v>
      </c>
      <c r="I3715">
        <v>0.29251536010123003</v>
      </c>
      <c r="J3715">
        <v>0.39950372432129799</v>
      </c>
      <c r="K3715">
        <v>0.41566946189478399</v>
      </c>
      <c r="L3715">
        <v>1313.9578609283001</v>
      </c>
      <c r="M3715">
        <v>26.488622214413301</v>
      </c>
      <c r="N3715">
        <v>51.807403830486699</v>
      </c>
      <c r="O3715">
        <v>49.324486671267898</v>
      </c>
      <c r="P3715">
        <v>-8.8895164036815702E-2</v>
      </c>
      <c r="Q3715">
        <v>0.33788009251506002</v>
      </c>
      <c r="R3715">
        <v>0.96053200500639802</v>
      </c>
      <c r="S3715" t="s">
        <v>7547</v>
      </c>
      <c r="T3715" t="s">
        <v>7662</v>
      </c>
      <c r="U3715" t="s">
        <v>7662</v>
      </c>
      <c r="V3715" t="s">
        <v>7662</v>
      </c>
      <c r="W3715">
        <v>4</v>
      </c>
      <c r="X3715" t="s">
        <v>11377</v>
      </c>
      <c r="Y3715">
        <v>0.55510210608855981</v>
      </c>
      <c r="Z3715" t="str">
        <f>HYPERLINK("Melting_Curves/meltCurve_tr_J3KP29_J3KP29_HUMAN_.pdf", "Melting_Curves/meltCurve_tr_J3KP29_J3KP29_HUMAN_.pdf")</f>
        <v>Melting_Curves/meltCurve_tr_J3KP29_J3KP29_HUMAN_.pdf</v>
      </c>
      <c r="AA3715" t="s">
        <v>15136</v>
      </c>
      <c r="AB3715" t="s">
        <v>18937</v>
      </c>
    </row>
    <row r="3716" spans="1:28" x14ac:dyDescent="0.25">
      <c r="A3716" t="s">
        <v>3720</v>
      </c>
      <c r="B3716">
        <v>0.98876768158843997</v>
      </c>
      <c r="C3716">
        <v>1.0248433646311499</v>
      </c>
      <c r="D3716">
        <v>0.90612051391554904</v>
      </c>
      <c r="E3716">
        <v>0.72551800691720203</v>
      </c>
      <c r="F3716">
        <v>0.78789241848089298</v>
      </c>
      <c r="G3716">
        <v>0.59057979068967403</v>
      </c>
      <c r="H3716">
        <v>0.47777465352320903</v>
      </c>
      <c r="I3716">
        <v>0.53511230196165105</v>
      </c>
      <c r="J3716">
        <v>0.68626765611539298</v>
      </c>
      <c r="K3716">
        <v>0.71125132445057004</v>
      </c>
      <c r="L3716">
        <v>967.27403984954401</v>
      </c>
      <c r="M3716">
        <v>19.653864639090699</v>
      </c>
      <c r="O3716">
        <v>48.7144447070811</v>
      </c>
      <c r="P3716">
        <v>-3.9894932120350703E-2</v>
      </c>
      <c r="Q3716">
        <v>0.60447642801455503</v>
      </c>
      <c r="R3716">
        <v>0.81160166294090097</v>
      </c>
      <c r="S3716" t="s">
        <v>7548</v>
      </c>
      <c r="T3716" t="s">
        <v>7662</v>
      </c>
      <c r="U3716" t="s">
        <v>7662</v>
      </c>
      <c r="V3716" t="s">
        <v>7662</v>
      </c>
      <c r="W3716">
        <v>11</v>
      </c>
      <c r="X3716" t="s">
        <v>11378</v>
      </c>
      <c r="Y3716">
        <v>0.73170211516016626</v>
      </c>
      <c r="Z3716" t="str">
        <f>HYPERLINK("Melting_Curves/meltCurve_tr_J3KP36_J3KP36_HUMAN_.pdf", "Melting_Curves/meltCurve_tr_J3KP36_J3KP36_HUMAN_.pdf")</f>
        <v>Melting_Curves/meltCurve_tr_J3KP36_J3KP36_HUMAN_.pdf</v>
      </c>
      <c r="AA3716" t="s">
        <v>15137</v>
      </c>
      <c r="AB3716" t="s">
        <v>18938</v>
      </c>
    </row>
    <row r="3717" spans="1:28" x14ac:dyDescent="0.25">
      <c r="A3717" t="s">
        <v>3721</v>
      </c>
      <c r="B3717">
        <v>0.98876768158843997</v>
      </c>
      <c r="C3717">
        <v>1.02672370229274</v>
      </c>
      <c r="D3717">
        <v>0.89348196306670402</v>
      </c>
      <c r="E3717">
        <v>0.66269812763515501</v>
      </c>
      <c r="F3717">
        <v>0.71924528660817</v>
      </c>
      <c r="G3717">
        <v>0.43599802446709501</v>
      </c>
      <c r="H3717">
        <v>0.30776258319365302</v>
      </c>
      <c r="I3717">
        <v>0.34564461835989302</v>
      </c>
      <c r="J3717">
        <v>0.450446454345588</v>
      </c>
      <c r="K3717">
        <v>0.34256562548331598</v>
      </c>
      <c r="L3717">
        <v>781.55585118121303</v>
      </c>
      <c r="M3717">
        <v>15.1641366146868</v>
      </c>
      <c r="N3717">
        <v>55.661836608124901</v>
      </c>
      <c r="O3717">
        <v>50.668363157833198</v>
      </c>
      <c r="P3717">
        <v>-4.9584729119139803E-2</v>
      </c>
      <c r="Q3717">
        <v>0.337348542513765</v>
      </c>
      <c r="R3717">
        <v>0.940005651972183</v>
      </c>
      <c r="S3717" t="s">
        <v>7549</v>
      </c>
      <c r="T3717" t="s">
        <v>7662</v>
      </c>
      <c r="U3717" t="s">
        <v>7662</v>
      </c>
      <c r="V3717" t="s">
        <v>7662</v>
      </c>
      <c r="W3717">
        <v>3</v>
      </c>
      <c r="X3717" t="s">
        <v>11379</v>
      </c>
      <c r="Y3717">
        <v>0.60703157189924362</v>
      </c>
      <c r="Z3717" t="str">
        <f>HYPERLINK("Melting_Curves/meltCurve_tr_J3KP66_J3KP66_HUMAN_.pdf", "Melting_Curves/meltCurve_tr_J3KP66_J3KP66_HUMAN_.pdf")</f>
        <v>Melting_Curves/meltCurve_tr_J3KP66_J3KP66_HUMAN_.pdf</v>
      </c>
      <c r="AA3717" t="s">
        <v>15138</v>
      </c>
      <c r="AB3717" t="s">
        <v>18939</v>
      </c>
    </row>
    <row r="3718" spans="1:28" x14ac:dyDescent="0.25">
      <c r="A3718" t="s">
        <v>3722</v>
      </c>
      <c r="B3718">
        <v>0.98876768158843997</v>
      </c>
      <c r="C3718">
        <v>0.96846723306221105</v>
      </c>
      <c r="D3718">
        <v>0.74631983125406298</v>
      </c>
      <c r="E3718">
        <v>0.74734196841245704</v>
      </c>
      <c r="F3718">
        <v>0.82326963886957905</v>
      </c>
      <c r="G3718">
        <v>0.49936382853431499</v>
      </c>
      <c r="H3718">
        <v>0.42372004847329198</v>
      </c>
      <c r="I3718">
        <v>0.457044316655146</v>
      </c>
      <c r="J3718">
        <v>0.474944192968205</v>
      </c>
      <c r="K3718">
        <v>0.67074922317494501</v>
      </c>
      <c r="L3718">
        <v>582.538148699967</v>
      </c>
      <c r="M3718">
        <v>11.6975154021617</v>
      </c>
      <c r="O3718">
        <v>48.411530375681799</v>
      </c>
      <c r="P3718">
        <v>-3.1180802437046601E-2</v>
      </c>
      <c r="Q3718">
        <v>0.483955815426936</v>
      </c>
      <c r="R3718">
        <v>0.75878953964712803</v>
      </c>
      <c r="S3718" t="s">
        <v>7550</v>
      </c>
      <c r="T3718" t="s">
        <v>7662</v>
      </c>
      <c r="U3718" t="s">
        <v>7662</v>
      </c>
      <c r="V3718" t="s">
        <v>7662</v>
      </c>
      <c r="W3718">
        <v>2</v>
      </c>
      <c r="X3718" t="s">
        <v>11380</v>
      </c>
      <c r="Y3718">
        <v>0.67134819039657434</v>
      </c>
      <c r="Z3718" t="str">
        <f>HYPERLINK("Melting_Curves/meltCurve_tr_J3KP74_J3KP74_HUMAN_.pdf", "Melting_Curves/meltCurve_tr_J3KP74_J3KP74_HUMAN_.pdf")</f>
        <v>Melting_Curves/meltCurve_tr_J3KP74_J3KP74_HUMAN_.pdf</v>
      </c>
      <c r="AA3718" t="s">
        <v>15139</v>
      </c>
      <c r="AB3718" t="s">
        <v>18940</v>
      </c>
    </row>
    <row r="3719" spans="1:28" x14ac:dyDescent="0.25">
      <c r="A3719" t="s">
        <v>3723</v>
      </c>
      <c r="B3719">
        <v>0.98876768158843997</v>
      </c>
      <c r="C3719">
        <v>1.2356930183919801</v>
      </c>
      <c r="D3719">
        <v>0.93504542145769698</v>
      </c>
      <c r="E3719">
        <v>0.62969558556504701</v>
      </c>
      <c r="F3719">
        <v>0.634219842733179</v>
      </c>
      <c r="G3719">
        <v>0.45544070810383602</v>
      </c>
      <c r="H3719">
        <v>0.29751909844053998</v>
      </c>
      <c r="I3719">
        <v>0.33004472104836202</v>
      </c>
      <c r="J3719">
        <v>0.573371429787082</v>
      </c>
      <c r="K3719">
        <v>0.64997355887472796</v>
      </c>
      <c r="L3719">
        <v>1477.27099145941</v>
      </c>
      <c r="M3719">
        <v>30.010814941720302</v>
      </c>
      <c r="N3719">
        <v>54.519195617472697</v>
      </c>
      <c r="O3719">
        <v>49.007607142361898</v>
      </c>
      <c r="P3719">
        <v>-8.0698122331645403E-2</v>
      </c>
      <c r="Q3719">
        <v>0.47288387151237299</v>
      </c>
      <c r="R3719">
        <v>0.79373984799304798</v>
      </c>
      <c r="S3719" t="s">
        <v>7551</v>
      </c>
      <c r="T3719" t="s">
        <v>7662</v>
      </c>
      <c r="U3719" t="s">
        <v>7662</v>
      </c>
      <c r="V3719" t="s">
        <v>7662</v>
      </c>
      <c r="W3719">
        <v>2</v>
      </c>
      <c r="X3719" t="s">
        <v>11381</v>
      </c>
      <c r="Y3719">
        <v>0.63818403972875903</v>
      </c>
      <c r="Z3719" t="str">
        <f>HYPERLINK("Melting_Curves/meltCurve_tr_J3KPK1_J3KPK1_HUMAN_.pdf", "Melting_Curves/meltCurve_tr_J3KPK1_J3KPK1_HUMAN_.pdf")</f>
        <v>Melting_Curves/meltCurve_tr_J3KPK1_J3KPK1_HUMAN_.pdf</v>
      </c>
      <c r="AA3719" t="s">
        <v>15140</v>
      </c>
      <c r="AB3719" t="s">
        <v>18941</v>
      </c>
    </row>
    <row r="3720" spans="1:28" x14ac:dyDescent="0.25">
      <c r="A3720" t="s">
        <v>3724</v>
      </c>
      <c r="B3720">
        <v>0.98876768158843997</v>
      </c>
      <c r="C3720">
        <v>0.97484837958041504</v>
      </c>
      <c r="D3720">
        <v>0.83997233382146796</v>
      </c>
      <c r="E3720">
        <v>0.65066819466373904</v>
      </c>
      <c r="F3720">
        <v>0.69025916186068303</v>
      </c>
      <c r="G3720">
        <v>0.49578533208789399</v>
      </c>
      <c r="H3720">
        <v>0.35919693127263103</v>
      </c>
      <c r="I3720">
        <v>0.50745965828191197</v>
      </c>
      <c r="J3720">
        <v>0.62376075049840596</v>
      </c>
      <c r="K3720">
        <v>0.66320608324314501</v>
      </c>
      <c r="L3720">
        <v>957.60747969370198</v>
      </c>
      <c r="M3720">
        <v>20.046513593467299</v>
      </c>
      <c r="O3720">
        <v>47.301518241466297</v>
      </c>
      <c r="P3720">
        <v>-4.8918532108328097E-2</v>
      </c>
      <c r="Q3720">
        <v>0.53830430604644897</v>
      </c>
      <c r="R3720">
        <v>0.81109409240324803</v>
      </c>
      <c r="S3720" t="s">
        <v>7552</v>
      </c>
      <c r="T3720" t="s">
        <v>7662</v>
      </c>
      <c r="U3720" t="s">
        <v>7662</v>
      </c>
      <c r="V3720" t="s">
        <v>7662</v>
      </c>
      <c r="W3720">
        <v>3</v>
      </c>
      <c r="X3720" t="s">
        <v>11382</v>
      </c>
      <c r="Y3720">
        <v>0.66443510624643864</v>
      </c>
      <c r="Z3720" t="str">
        <f>HYPERLINK("Melting_Curves/meltCurve_tr_J3KPS2_J3KPS2_HUMAN_.pdf", "Melting_Curves/meltCurve_tr_J3KPS2_J3KPS2_HUMAN_.pdf")</f>
        <v>Melting_Curves/meltCurve_tr_J3KPS2_J3KPS2_HUMAN_.pdf</v>
      </c>
      <c r="AA3720" t="s">
        <v>15141</v>
      </c>
      <c r="AB3720" t="s">
        <v>18942</v>
      </c>
    </row>
    <row r="3721" spans="1:28" x14ac:dyDescent="0.25">
      <c r="A3721" t="s">
        <v>3725</v>
      </c>
      <c r="B3721">
        <v>0.98876768158843997</v>
      </c>
      <c r="C3721">
        <v>0.89412133286774498</v>
      </c>
      <c r="D3721">
        <v>0.82365261599048201</v>
      </c>
      <c r="E3721">
        <v>0.65992187275326497</v>
      </c>
      <c r="F3721">
        <v>0.31776535161304698</v>
      </c>
      <c r="G3721">
        <v>0.11805311234942201</v>
      </c>
      <c r="H3721">
        <v>6.7859057660755895E-2</v>
      </c>
      <c r="I3721">
        <v>4.8489988441583302E-2</v>
      </c>
      <c r="J3721">
        <v>5.6945137398941303E-2</v>
      </c>
      <c r="K3721">
        <v>3.8647004775247303E-2</v>
      </c>
      <c r="L3721">
        <v>873.44806739227897</v>
      </c>
      <c r="M3721">
        <v>17.1607266037995</v>
      </c>
      <c r="N3721">
        <v>51.014415033114602</v>
      </c>
      <c r="O3721">
        <v>50.222013048951197</v>
      </c>
      <c r="P3721">
        <v>-8.3790157008760399E-2</v>
      </c>
      <c r="Q3721">
        <v>1.9188734290745E-2</v>
      </c>
      <c r="R3721">
        <v>0.98951047770896305</v>
      </c>
      <c r="S3721" t="s">
        <v>7553</v>
      </c>
      <c r="T3721" t="s">
        <v>7662</v>
      </c>
      <c r="U3721" t="s">
        <v>7662</v>
      </c>
      <c r="V3721" t="s">
        <v>7662</v>
      </c>
      <c r="W3721">
        <v>18</v>
      </c>
      <c r="X3721" t="s">
        <v>11383</v>
      </c>
      <c r="Y3721">
        <v>0.39351479631763381</v>
      </c>
      <c r="Z3721" t="str">
        <f>HYPERLINK("Melting_Curves/meltCurve_tr_J3KPV7_J3KPV7_HUMAN_.pdf", "Melting_Curves/meltCurve_tr_J3KPV7_J3KPV7_HUMAN_.pdf")</f>
        <v>Melting_Curves/meltCurve_tr_J3KPV7_J3KPV7_HUMAN_.pdf</v>
      </c>
      <c r="AA3721" t="s">
        <v>15142</v>
      </c>
      <c r="AB3721" t="s">
        <v>18943</v>
      </c>
    </row>
    <row r="3722" spans="1:28" x14ac:dyDescent="0.25">
      <c r="A3722" t="s">
        <v>3726</v>
      </c>
      <c r="B3722">
        <v>0.98876768158843997</v>
      </c>
      <c r="C3722">
        <v>0.88119893456862497</v>
      </c>
      <c r="D3722">
        <v>0.85890565595849699</v>
      </c>
      <c r="E3722">
        <v>0.62526705054670695</v>
      </c>
      <c r="F3722">
        <v>0.45924841898309399</v>
      </c>
      <c r="G3722">
        <v>0.27663295113956099</v>
      </c>
      <c r="H3722">
        <v>0.18974917167195299</v>
      </c>
      <c r="I3722">
        <v>0.13055305428467601</v>
      </c>
      <c r="J3722">
        <v>0.144262579067405</v>
      </c>
      <c r="K3722">
        <v>0.115987980727303</v>
      </c>
      <c r="L3722">
        <v>659.00694628404801</v>
      </c>
      <c r="M3722">
        <v>12.8158622832711</v>
      </c>
      <c r="N3722">
        <v>52.149840764000601</v>
      </c>
      <c r="O3722">
        <v>50.217465994366201</v>
      </c>
      <c r="P3722">
        <v>-5.8582647402761E-2</v>
      </c>
      <c r="Q3722">
        <v>8.1974274431988597E-2</v>
      </c>
      <c r="R3722">
        <v>0.99599127284559197</v>
      </c>
      <c r="S3722" t="s">
        <v>7554</v>
      </c>
      <c r="T3722" t="s">
        <v>7662</v>
      </c>
      <c r="U3722" t="s">
        <v>7662</v>
      </c>
      <c r="V3722" t="s">
        <v>7662</v>
      </c>
      <c r="W3722">
        <v>3</v>
      </c>
      <c r="X3722" t="s">
        <v>11384</v>
      </c>
      <c r="Y3722">
        <v>0.4580660880163982</v>
      </c>
      <c r="Z3722" t="str">
        <f>HYPERLINK("Melting_Curves/meltCurve_tr_J3KQG4_J3KQG4_HUMAN_.pdf", "Melting_Curves/meltCurve_tr_J3KQG4_J3KQG4_HUMAN_.pdf")</f>
        <v>Melting_Curves/meltCurve_tr_J3KQG4_J3KQG4_HUMAN_.pdf</v>
      </c>
      <c r="AA3722" t="s">
        <v>15143</v>
      </c>
      <c r="AB3722" t="s">
        <v>18944</v>
      </c>
    </row>
    <row r="3723" spans="1:28" x14ac:dyDescent="0.25">
      <c r="A3723" t="s">
        <v>3727</v>
      </c>
      <c r="B3723">
        <v>0.98876768158843997</v>
      </c>
      <c r="C3723">
        <v>0.90905159272857805</v>
      </c>
      <c r="D3723">
        <v>0.96444673958546501</v>
      </c>
      <c r="E3723">
        <v>0.67153782321422295</v>
      </c>
      <c r="F3723">
        <v>0.23414511416727099</v>
      </c>
      <c r="G3723">
        <v>0.12031108119593301</v>
      </c>
      <c r="H3723">
        <v>6.2331184280900197E-2</v>
      </c>
      <c r="I3723">
        <v>5.06981466824818E-2</v>
      </c>
      <c r="J3723">
        <v>5.8880493184253598E-2</v>
      </c>
      <c r="K3723">
        <v>3.4405850544453602E-2</v>
      </c>
      <c r="L3723">
        <v>1691.2475361023901</v>
      </c>
      <c r="M3723">
        <v>33.2480627627926</v>
      </c>
      <c r="N3723">
        <v>51.0523346681384</v>
      </c>
      <c r="O3723">
        <v>50.6845949474992</v>
      </c>
      <c r="P3723">
        <v>-0.15469936993340799</v>
      </c>
      <c r="Q3723">
        <v>5.6686068125978602E-2</v>
      </c>
      <c r="R3723">
        <v>0.99334404714538904</v>
      </c>
      <c r="S3723" t="s">
        <v>7555</v>
      </c>
      <c r="T3723" t="s">
        <v>7662</v>
      </c>
      <c r="U3723" t="s">
        <v>7662</v>
      </c>
      <c r="V3723" t="s">
        <v>7662</v>
      </c>
      <c r="W3723">
        <v>4</v>
      </c>
      <c r="X3723" t="s">
        <v>11385</v>
      </c>
      <c r="Y3723">
        <v>0.40321669793536258</v>
      </c>
      <c r="Z3723" t="str">
        <f>HYPERLINK("Melting_Curves/meltCurve_tr_J3KQN6_J3KQN6_HUMAN_.pdf", "Melting_Curves/meltCurve_tr_J3KQN6_J3KQN6_HUMAN_.pdf")</f>
        <v>Melting_Curves/meltCurve_tr_J3KQN6_J3KQN6_HUMAN_.pdf</v>
      </c>
      <c r="AA3723" t="s">
        <v>15144</v>
      </c>
      <c r="AB3723" t="s">
        <v>18945</v>
      </c>
    </row>
    <row r="3724" spans="1:28" x14ac:dyDescent="0.25">
      <c r="A3724" t="s">
        <v>3728</v>
      </c>
      <c r="B3724">
        <v>0.98876768158843997</v>
      </c>
      <c r="C3724">
        <v>1.05552898507254</v>
      </c>
      <c r="D3724">
        <v>0.83375041352520596</v>
      </c>
      <c r="E3724">
        <v>0.66746759199346395</v>
      </c>
      <c r="F3724">
        <v>0.81963433268541996</v>
      </c>
      <c r="G3724">
        <v>0.60359361545168599</v>
      </c>
      <c r="H3724">
        <v>0.467914527307916</v>
      </c>
      <c r="I3724">
        <v>0.53521767141362397</v>
      </c>
      <c r="J3724">
        <v>0.710422080218713</v>
      </c>
      <c r="K3724">
        <v>0.78528351103252003</v>
      </c>
      <c r="L3724">
        <v>11503.168053581099</v>
      </c>
      <c r="M3724">
        <v>250</v>
      </c>
      <c r="O3724">
        <v>46.009727604191902</v>
      </c>
      <c r="P3724">
        <v>-0.46777116373164201</v>
      </c>
      <c r="Q3724">
        <v>0.65564761843271502</v>
      </c>
      <c r="R3724">
        <v>0.67854915185760001</v>
      </c>
      <c r="S3724" t="s">
        <v>7556</v>
      </c>
      <c r="T3724" t="s">
        <v>7662</v>
      </c>
      <c r="U3724" t="s">
        <v>7662</v>
      </c>
      <c r="V3724" t="s">
        <v>7662</v>
      </c>
      <c r="W3724">
        <v>15</v>
      </c>
      <c r="X3724" t="s">
        <v>11386</v>
      </c>
      <c r="Y3724">
        <v>0.72469135863172385</v>
      </c>
      <c r="Z3724" t="str">
        <f>HYPERLINK("Melting_Curves/meltCurve_tr_J3KR05_J3KR05_HUMAN_.pdf", "Melting_Curves/meltCurve_tr_J3KR05_J3KR05_HUMAN_.pdf")</f>
        <v>Melting_Curves/meltCurve_tr_J3KR05_J3KR05_HUMAN_.pdf</v>
      </c>
      <c r="AA3724" t="s">
        <v>15145</v>
      </c>
      <c r="AB3724" t="s">
        <v>18946</v>
      </c>
    </row>
    <row r="3725" spans="1:28" x14ac:dyDescent="0.25">
      <c r="A3725" t="s">
        <v>3729</v>
      </c>
      <c r="B3725">
        <v>0.98876768158843997</v>
      </c>
      <c r="C3725">
        <v>1.04444765976044</v>
      </c>
      <c r="D3725">
        <v>0.97938777067883098</v>
      </c>
      <c r="E3725">
        <v>0.56231511035242199</v>
      </c>
      <c r="F3725">
        <v>0.16203810862881801</v>
      </c>
      <c r="G3725">
        <v>0.108375052485898</v>
      </c>
      <c r="H3725">
        <v>7.2734053345138494E-2</v>
      </c>
      <c r="I3725">
        <v>5.8699334172821797E-2</v>
      </c>
      <c r="J3725">
        <v>4.5947198681971398E-2</v>
      </c>
      <c r="K3725">
        <v>5.2201417906131198E-2</v>
      </c>
      <c r="L3725">
        <v>1987.4898580546301</v>
      </c>
      <c r="M3725">
        <v>39.619463985450103</v>
      </c>
      <c r="N3725">
        <v>50.341737332770698</v>
      </c>
      <c r="O3725">
        <v>50.037197271039297</v>
      </c>
      <c r="P3725">
        <v>-0.18506304048843999</v>
      </c>
      <c r="Q3725">
        <v>6.5104511646858307E-2</v>
      </c>
      <c r="R3725">
        <v>0.997634504063869</v>
      </c>
      <c r="S3725" t="s">
        <v>7557</v>
      </c>
      <c r="T3725" t="s">
        <v>7662</v>
      </c>
      <c r="U3725" t="s">
        <v>7662</v>
      </c>
      <c r="V3725" t="s">
        <v>7662</v>
      </c>
      <c r="W3725">
        <v>2</v>
      </c>
      <c r="X3725" t="s">
        <v>11387</v>
      </c>
      <c r="Y3725">
        <v>0.38516787585200962</v>
      </c>
      <c r="Z3725" t="str">
        <f>HYPERLINK("Melting_Curves/meltCurve_tr_J3KSI8_J3KSI8_HUMAN_.pdf", "Melting_Curves/meltCurve_tr_J3KSI8_J3KSI8_HUMAN_.pdf")</f>
        <v>Melting_Curves/meltCurve_tr_J3KSI8_J3KSI8_HUMAN_.pdf</v>
      </c>
      <c r="AA3725" t="s">
        <v>15146</v>
      </c>
      <c r="AB3725" t="s">
        <v>18947</v>
      </c>
    </row>
    <row r="3726" spans="1:28" x14ac:dyDescent="0.25">
      <c r="A3726" t="s">
        <v>3730</v>
      </c>
      <c r="B3726">
        <v>0.98876768158843997</v>
      </c>
      <c r="C3726">
        <v>0.88283191851353404</v>
      </c>
      <c r="D3726">
        <v>0.30617262822093699</v>
      </c>
      <c r="E3726">
        <v>0.94744308734322802</v>
      </c>
      <c r="F3726">
        <v>0.68322960464961502</v>
      </c>
      <c r="G3726">
        <v>0.53050843486891097</v>
      </c>
      <c r="H3726">
        <v>0.463295057409984</v>
      </c>
      <c r="I3726">
        <v>0.43027555416829599</v>
      </c>
      <c r="J3726">
        <v>0.322886920153375</v>
      </c>
      <c r="K3726">
        <v>0.23620068568032601</v>
      </c>
      <c r="L3726">
        <v>262.51607873713999</v>
      </c>
      <c r="M3726">
        <v>4.5125034171221801</v>
      </c>
      <c r="N3726">
        <v>58.175264253500401</v>
      </c>
      <c r="O3726">
        <v>49.479643048231402</v>
      </c>
      <c r="P3726">
        <v>-2.2997375289456501E-2</v>
      </c>
      <c r="Q3726">
        <v>0</v>
      </c>
      <c r="R3726">
        <v>0.55290946605542701</v>
      </c>
      <c r="S3726" t="s">
        <v>7558</v>
      </c>
      <c r="T3726" t="s">
        <v>7662</v>
      </c>
      <c r="U3726" t="s">
        <v>7662</v>
      </c>
      <c r="V3726" t="s">
        <v>7662</v>
      </c>
      <c r="W3726">
        <v>2</v>
      </c>
      <c r="X3726" t="s">
        <v>11388</v>
      </c>
      <c r="Y3726">
        <v>0.58001896789900309</v>
      </c>
      <c r="Z3726" t="str">
        <f>HYPERLINK("Melting_Curves/meltCurve_tr_J3KSS7_J3KSS7_HUMAN_.pdf", "Melting_Curves/meltCurve_tr_J3KSS7_J3KSS7_HUMAN_.pdf")</f>
        <v>Melting_Curves/meltCurve_tr_J3KSS7_J3KSS7_HUMAN_.pdf</v>
      </c>
      <c r="AA3726" t="s">
        <v>15147</v>
      </c>
      <c r="AB3726" t="s">
        <v>18948</v>
      </c>
    </row>
    <row r="3727" spans="1:28" x14ac:dyDescent="0.25">
      <c r="A3727" t="s">
        <v>3731</v>
      </c>
      <c r="B3727">
        <v>0.98876768158843997</v>
      </c>
      <c r="C3727">
        <v>1.00442976589157</v>
      </c>
      <c r="D3727">
        <v>0.89710374541512805</v>
      </c>
      <c r="E3727">
        <v>0.76613249882583701</v>
      </c>
      <c r="F3727">
        <v>0.65899110667022998</v>
      </c>
      <c r="G3727">
        <v>0.435997115100483</v>
      </c>
      <c r="H3727">
        <v>0.280141151223607</v>
      </c>
      <c r="I3727">
        <v>0.22335634055608999</v>
      </c>
      <c r="J3727">
        <v>0.25271557742802703</v>
      </c>
      <c r="K3727">
        <v>0.24379580866050499</v>
      </c>
      <c r="L3727">
        <v>771.55877239316203</v>
      </c>
      <c r="M3727">
        <v>14.416278655705</v>
      </c>
      <c r="N3727">
        <v>55.368509585122901</v>
      </c>
      <c r="O3727">
        <v>52.521783682987603</v>
      </c>
      <c r="P3727">
        <v>-5.5519829522498197E-2</v>
      </c>
      <c r="Q3727">
        <v>0.19101035558487001</v>
      </c>
      <c r="R3727">
        <v>0.99285702892732897</v>
      </c>
      <c r="S3727" t="s">
        <v>7559</v>
      </c>
      <c r="T3727" t="s">
        <v>7662</v>
      </c>
      <c r="U3727" t="s">
        <v>7662</v>
      </c>
      <c r="V3727" t="s">
        <v>7662</v>
      </c>
      <c r="W3727">
        <v>5</v>
      </c>
      <c r="X3727" t="s">
        <v>11389</v>
      </c>
      <c r="Y3727">
        <v>0.57349442150276719</v>
      </c>
      <c r="Z3727" t="str">
        <f>HYPERLINK("Melting_Curves/meltCurve_tr_J3KSW8_J3KSW8_HUMAN_.pdf", "Melting_Curves/meltCurve_tr_J3KSW8_J3KSW8_HUMAN_.pdf")</f>
        <v>Melting_Curves/meltCurve_tr_J3KSW8_J3KSW8_HUMAN_.pdf</v>
      </c>
      <c r="AA3727" t="s">
        <v>15148</v>
      </c>
      <c r="AB3727" t="s">
        <v>18949</v>
      </c>
    </row>
    <row r="3728" spans="1:28" x14ac:dyDescent="0.25">
      <c r="A3728" t="s">
        <v>3732</v>
      </c>
      <c r="B3728">
        <v>0.98876768158843997</v>
      </c>
      <c r="C3728">
        <v>1.04520154745196</v>
      </c>
      <c r="D3728">
        <v>0.85321214569870996</v>
      </c>
      <c r="E3728">
        <v>0.79576932156871005</v>
      </c>
      <c r="F3728">
        <v>0.56854827753482395</v>
      </c>
      <c r="G3728">
        <v>0.46872587525303999</v>
      </c>
      <c r="H3728">
        <v>0.35332681396382898</v>
      </c>
      <c r="I3728">
        <v>0.33528972121756001</v>
      </c>
      <c r="J3728">
        <v>0.56765814301569595</v>
      </c>
      <c r="K3728">
        <v>0.45206199722956503</v>
      </c>
      <c r="L3728">
        <v>1090.1299168381599</v>
      </c>
      <c r="M3728">
        <v>21.542622420619299</v>
      </c>
      <c r="N3728">
        <v>55.387269638619301</v>
      </c>
      <c r="O3728">
        <v>50.173406033733599</v>
      </c>
      <c r="P3728">
        <v>-6.2021383603097301E-2</v>
      </c>
      <c r="Q3728">
        <v>0.42221545782578901</v>
      </c>
      <c r="R3728">
        <v>0.91744782931743696</v>
      </c>
      <c r="S3728" t="s">
        <v>7560</v>
      </c>
      <c r="T3728" t="s">
        <v>7662</v>
      </c>
      <c r="U3728" t="s">
        <v>7662</v>
      </c>
      <c r="V3728" t="s">
        <v>7662</v>
      </c>
      <c r="W3728">
        <v>3</v>
      </c>
      <c r="X3728" t="s">
        <v>11390</v>
      </c>
      <c r="Y3728">
        <v>0.6333921871476107</v>
      </c>
      <c r="Z3728" t="str">
        <f>HYPERLINK("Melting_Curves/meltCurve_tr_J3KT51_J3KT51_HUMAN_.pdf", "Melting_Curves/meltCurve_tr_J3KT51_J3KT51_HUMAN_.pdf")</f>
        <v>Melting_Curves/meltCurve_tr_J3KT51_J3KT51_HUMAN_.pdf</v>
      </c>
      <c r="AA3728" t="s">
        <v>15149</v>
      </c>
      <c r="AB3728" t="s">
        <v>18950</v>
      </c>
    </row>
    <row r="3729" spans="1:28" x14ac:dyDescent="0.25">
      <c r="A3729" t="s">
        <v>3733</v>
      </c>
      <c r="B3729">
        <v>0.98876768158843997</v>
      </c>
      <c r="C3729">
        <v>0.74548776793729998</v>
      </c>
      <c r="D3729">
        <v>0.84773107821492699</v>
      </c>
      <c r="E3729">
        <v>0.75116075645476099</v>
      </c>
      <c r="F3729">
        <v>0.716171970419611</v>
      </c>
      <c r="G3729">
        <v>0.18039928116354301</v>
      </c>
      <c r="H3729">
        <v>5.2237655645853497E-2</v>
      </c>
      <c r="I3729">
        <v>4.0142544260211202E-2</v>
      </c>
      <c r="J3729">
        <v>3.6785644015391E-2</v>
      </c>
      <c r="K3729">
        <v>3.3356396488711998E-2</v>
      </c>
      <c r="L3729">
        <v>993.608351047312</v>
      </c>
      <c r="M3729">
        <v>18.4610411369401</v>
      </c>
      <c r="N3729">
        <v>53.821902662888199</v>
      </c>
      <c r="O3729">
        <v>53.202294057885098</v>
      </c>
      <c r="P3729">
        <v>-8.6753147525926902E-2</v>
      </c>
      <c r="Q3729">
        <v>0</v>
      </c>
      <c r="R3729">
        <v>0.92605883761160601</v>
      </c>
      <c r="S3729" t="s">
        <v>7561</v>
      </c>
      <c r="T3729" t="s">
        <v>7662</v>
      </c>
      <c r="U3729" t="s">
        <v>7662</v>
      </c>
      <c r="V3729" t="s">
        <v>7662</v>
      </c>
      <c r="W3729">
        <v>10</v>
      </c>
      <c r="X3729" t="s">
        <v>11391</v>
      </c>
      <c r="Y3729">
        <v>0.47619964725591363</v>
      </c>
      <c r="Z3729" t="str">
        <f>HYPERLINK("Melting_Curves/meltCurve_tr_J3KTF8_J3KTF8_HUMAN_.pdf", "Melting_Curves/meltCurve_tr_J3KTF8_J3KTF8_HUMAN_.pdf")</f>
        <v>Melting_Curves/meltCurve_tr_J3KTF8_J3KTF8_HUMAN_.pdf</v>
      </c>
      <c r="AA3729" t="s">
        <v>15150</v>
      </c>
      <c r="AB3729" t="s">
        <v>18951</v>
      </c>
    </row>
    <row r="3730" spans="1:28" x14ac:dyDescent="0.25">
      <c r="A3730" t="s">
        <v>3734</v>
      </c>
      <c r="B3730">
        <v>0.98876768158843997</v>
      </c>
      <c r="C3730">
        <v>0.98187467751771196</v>
      </c>
      <c r="D3730">
        <v>0.66207576684937897</v>
      </c>
      <c r="E3730">
        <v>0.47717510521969397</v>
      </c>
      <c r="F3730">
        <v>0.90414988036541599</v>
      </c>
      <c r="G3730">
        <v>0.78599266250495303</v>
      </c>
      <c r="H3730">
        <v>0.71773408049338505</v>
      </c>
      <c r="I3730">
        <v>0.90137278795049902</v>
      </c>
      <c r="J3730">
        <v>1.18567503330655</v>
      </c>
      <c r="K3730">
        <v>1.3230542782099499</v>
      </c>
      <c r="L3730">
        <v>10803.212383775701</v>
      </c>
      <c r="M3730">
        <v>250</v>
      </c>
      <c r="O3730">
        <v>43.210084211445299</v>
      </c>
      <c r="P3730">
        <v>-0.188535693098248</v>
      </c>
      <c r="Q3730">
        <v>0.86965370937903297</v>
      </c>
      <c r="R3730">
        <v>3.8297497785442301E-2</v>
      </c>
      <c r="S3730" t="s">
        <v>7562</v>
      </c>
      <c r="T3730" t="s">
        <v>7662</v>
      </c>
      <c r="U3730" t="s">
        <v>7662</v>
      </c>
      <c r="V3730" t="s">
        <v>7662</v>
      </c>
      <c r="W3730">
        <v>1</v>
      </c>
      <c r="X3730" t="s">
        <v>11392</v>
      </c>
      <c r="Y3730">
        <v>0.88362302854051689</v>
      </c>
      <c r="Z3730" t="str">
        <f>HYPERLINK("Melting_Curves/meltCurve_tr_J3KTJ3_J3KTJ3_HUMAN_.pdf", "Melting_Curves/meltCurve_tr_J3KTJ3_J3KTJ3_HUMAN_.pdf")</f>
        <v>Melting_Curves/meltCurve_tr_J3KTJ3_J3KTJ3_HUMAN_.pdf</v>
      </c>
      <c r="AA3730" t="s">
        <v>15151</v>
      </c>
      <c r="AB3730" t="s">
        <v>18952</v>
      </c>
    </row>
    <row r="3731" spans="1:28" x14ac:dyDescent="0.25">
      <c r="A3731" t="s">
        <v>3735</v>
      </c>
      <c r="B3731">
        <v>0.98876768158843997</v>
      </c>
      <c r="C3731">
        <v>1.2238764677104499</v>
      </c>
      <c r="D3731">
        <v>0.85535151895472405</v>
      </c>
      <c r="E3731">
        <v>0.64267334468135695</v>
      </c>
      <c r="F3731">
        <v>0.14042642192655899</v>
      </c>
      <c r="G3731">
        <v>0.108334408312195</v>
      </c>
      <c r="H3731">
        <v>4.6483056030436301E-2</v>
      </c>
      <c r="I3731">
        <v>4.9423164244913199E-2</v>
      </c>
      <c r="J3731">
        <v>5.2681493006761997E-2</v>
      </c>
      <c r="K3731">
        <v>1.5488732018640299E-2</v>
      </c>
      <c r="L3731">
        <v>1952.5885777958699</v>
      </c>
      <c r="M3731">
        <v>38.660490422090703</v>
      </c>
      <c r="N3731">
        <v>50.634398029439502</v>
      </c>
      <c r="O3731">
        <v>50.371498122938803</v>
      </c>
      <c r="P3731">
        <v>-0.18292044107050701</v>
      </c>
      <c r="Q3731">
        <v>4.66803072990533E-2</v>
      </c>
      <c r="R3731">
        <v>0.96336194923131901</v>
      </c>
      <c r="S3731" t="s">
        <v>7563</v>
      </c>
      <c r="T3731" t="s">
        <v>7662</v>
      </c>
      <c r="U3731" t="s">
        <v>7662</v>
      </c>
      <c r="V3731" t="s">
        <v>7662</v>
      </c>
      <c r="W3731">
        <v>1</v>
      </c>
      <c r="X3731" t="s">
        <v>11393</v>
      </c>
      <c r="Y3731">
        <v>0.38409958858210808</v>
      </c>
      <c r="Z3731" t="str">
        <f>HYPERLINK("Melting_Curves/meltCurve_tr_J3QK84_J3QK84_HUMAN_.pdf", "Melting_Curves/meltCurve_tr_J3QK84_J3QK84_HUMAN_.pdf")</f>
        <v>Melting_Curves/meltCurve_tr_J3QK84_J3QK84_HUMAN_.pdf</v>
      </c>
      <c r="AA3731" t="s">
        <v>15152</v>
      </c>
      <c r="AB3731" t="s">
        <v>18953</v>
      </c>
    </row>
    <row r="3732" spans="1:28" x14ac:dyDescent="0.25">
      <c r="A3732" t="s">
        <v>3736</v>
      </c>
      <c r="B3732">
        <v>0.98876768158843997</v>
      </c>
      <c r="C3732">
        <v>0.99848753443759497</v>
      </c>
      <c r="D3732">
        <v>0.88691780994199299</v>
      </c>
      <c r="E3732">
        <v>0.725900901865138</v>
      </c>
      <c r="F3732">
        <v>0.76675377651959897</v>
      </c>
      <c r="G3732">
        <v>0.48407309741217203</v>
      </c>
      <c r="H3732">
        <v>0.300859192057646</v>
      </c>
      <c r="I3732">
        <v>0.20278621855121601</v>
      </c>
      <c r="J3732">
        <v>0.26424546303982699</v>
      </c>
      <c r="K3732">
        <v>0.22229579756214399</v>
      </c>
      <c r="L3732">
        <v>660.52482655439496</v>
      </c>
      <c r="M3732">
        <v>11.9988795508051</v>
      </c>
      <c r="N3732">
        <v>56.501768700624702</v>
      </c>
      <c r="O3732">
        <v>53.586700783425499</v>
      </c>
      <c r="P3732">
        <v>-4.8559825873786197E-2</v>
      </c>
      <c r="Q3732">
        <v>0.13274121016628401</v>
      </c>
      <c r="R3732">
        <v>0.97226261117687296</v>
      </c>
      <c r="S3732" t="s">
        <v>7564</v>
      </c>
      <c r="T3732" t="s">
        <v>7662</v>
      </c>
      <c r="U3732" t="s">
        <v>7662</v>
      </c>
      <c r="V3732" t="s">
        <v>7662</v>
      </c>
      <c r="W3732">
        <v>3</v>
      </c>
      <c r="X3732" t="s">
        <v>11394</v>
      </c>
      <c r="Y3732">
        <v>0.58800184420382295</v>
      </c>
      <c r="Z3732" t="str">
        <f>HYPERLINK("Melting_Curves/meltCurve_tr_J3QKK8_J3QKK8_HUMAN_.pdf", "Melting_Curves/meltCurve_tr_J3QKK8_J3QKK8_HUMAN_.pdf")</f>
        <v>Melting_Curves/meltCurve_tr_J3QKK8_J3QKK8_HUMAN_.pdf</v>
      </c>
      <c r="AA3732" t="s">
        <v>15153</v>
      </c>
      <c r="AB3732" t="s">
        <v>18954</v>
      </c>
    </row>
    <row r="3733" spans="1:28" x14ac:dyDescent="0.25">
      <c r="A3733" t="s">
        <v>3737</v>
      </c>
      <c r="B3733">
        <v>0.98876768158843997</v>
      </c>
      <c r="C3733">
        <v>0.83933485668665997</v>
      </c>
      <c r="D3733">
        <v>0.97829204783113599</v>
      </c>
      <c r="E3733">
        <v>0.59308351790643699</v>
      </c>
      <c r="F3733">
        <v>0.512155429032081</v>
      </c>
      <c r="G3733">
        <v>0.24958061147202201</v>
      </c>
      <c r="H3733">
        <v>0.19799431770727099</v>
      </c>
      <c r="I3733">
        <v>0.17800041120023799</v>
      </c>
      <c r="J3733">
        <v>0.18396083174330199</v>
      </c>
      <c r="K3733">
        <v>0.19453667421998599</v>
      </c>
      <c r="L3733">
        <v>865.24514057354304</v>
      </c>
      <c r="M3733">
        <v>16.958890433394</v>
      </c>
      <c r="N3733">
        <v>52.230164783744698</v>
      </c>
      <c r="O3733">
        <v>50.326587409158499</v>
      </c>
      <c r="P3733">
        <v>-7.0563537420905806E-2</v>
      </c>
      <c r="Q3733">
        <v>0.16244516986534099</v>
      </c>
      <c r="R3733">
        <v>0.96729895181457404</v>
      </c>
      <c r="S3733" t="s">
        <v>7565</v>
      </c>
      <c r="T3733" t="s">
        <v>7662</v>
      </c>
      <c r="U3733" t="s">
        <v>7662</v>
      </c>
      <c r="V3733" t="s">
        <v>7662</v>
      </c>
      <c r="W3733">
        <v>1</v>
      </c>
      <c r="X3733" t="s">
        <v>11395</v>
      </c>
      <c r="Y3733">
        <v>0.48579817911603962</v>
      </c>
      <c r="Z3733" t="str">
        <f>HYPERLINK("Melting_Curves/meltCurve_tr_J3QKS7_J3QKS7_HUMAN_.pdf", "Melting_Curves/meltCurve_tr_J3QKS7_J3QKS7_HUMAN_.pdf")</f>
        <v>Melting_Curves/meltCurve_tr_J3QKS7_J3QKS7_HUMAN_.pdf</v>
      </c>
      <c r="AA3733" t="s">
        <v>15154</v>
      </c>
      <c r="AB3733" t="s">
        <v>18955</v>
      </c>
    </row>
    <row r="3734" spans="1:28" x14ac:dyDescent="0.25">
      <c r="A3734" t="s">
        <v>3738</v>
      </c>
      <c r="B3734">
        <v>0.98876768158843997</v>
      </c>
      <c r="C3734">
        <v>0.86316301320636002</v>
      </c>
      <c r="D3734">
        <v>1.13967350976963</v>
      </c>
      <c r="E3734">
        <v>0.929171901080595</v>
      </c>
      <c r="F3734">
        <v>1.1132632206289099</v>
      </c>
      <c r="G3734">
        <v>0.63982861366298005</v>
      </c>
      <c r="H3734">
        <v>0.463006428273599</v>
      </c>
      <c r="I3734">
        <v>0.50889540788009102</v>
      </c>
      <c r="J3734">
        <v>0.69077260718302302</v>
      </c>
      <c r="K3734">
        <v>0.94688053361817903</v>
      </c>
      <c r="L3734">
        <v>13800.065427595</v>
      </c>
      <c r="M3734">
        <v>250</v>
      </c>
      <c r="O3734">
        <v>55.196709191283503</v>
      </c>
      <c r="P3734">
        <v>-0.396477228657935</v>
      </c>
      <c r="Q3734">
        <v>0.64985205972002502</v>
      </c>
      <c r="R3734">
        <v>0.61292403458147005</v>
      </c>
      <c r="S3734" t="s">
        <v>7566</v>
      </c>
      <c r="T3734" t="s">
        <v>7662</v>
      </c>
      <c r="U3734" t="s">
        <v>7662</v>
      </c>
      <c r="V3734" t="s">
        <v>7662</v>
      </c>
      <c r="W3734">
        <v>3</v>
      </c>
      <c r="X3734" t="s">
        <v>11396</v>
      </c>
      <c r="Y3734">
        <v>0.82729732483210094</v>
      </c>
      <c r="Z3734" t="str">
        <f>HYPERLINK("Melting_Curves/meltCurve_tr_J3QL05_J3QL05_HUMAN_.pdf", "Melting_Curves/meltCurve_tr_J3QL05_J3QL05_HUMAN_.pdf")</f>
        <v>Melting_Curves/meltCurve_tr_J3QL05_J3QL05_HUMAN_.pdf</v>
      </c>
      <c r="AA3734" t="s">
        <v>15155</v>
      </c>
      <c r="AB3734" t="s">
        <v>18956</v>
      </c>
    </row>
    <row r="3735" spans="1:28" x14ac:dyDescent="0.25">
      <c r="A3735" t="s">
        <v>3739</v>
      </c>
      <c r="B3735">
        <v>0.98876768158843997</v>
      </c>
      <c r="C3735">
        <v>1.0929009536916701</v>
      </c>
      <c r="D3735">
        <v>0.82644121772837498</v>
      </c>
      <c r="E3735">
        <v>0.51635551362349297</v>
      </c>
      <c r="F3735">
        <v>0.19670176864901401</v>
      </c>
      <c r="G3735">
        <v>0.10399247915038599</v>
      </c>
      <c r="H3735">
        <v>6.40403182136699E-2</v>
      </c>
      <c r="I3735">
        <v>5.4182373569184303E-2</v>
      </c>
      <c r="J3735">
        <v>0.112818791215333</v>
      </c>
      <c r="K3735">
        <v>5.2426219407763902E-2</v>
      </c>
      <c r="L3735">
        <v>1242.01605011332</v>
      </c>
      <c r="M3735">
        <v>25.043697021080298</v>
      </c>
      <c r="N3735">
        <v>49.875802609456102</v>
      </c>
      <c r="O3735">
        <v>49.280985493302197</v>
      </c>
      <c r="P3735">
        <v>-0.11866446185373</v>
      </c>
      <c r="Q3735">
        <v>6.5980809467330606E-2</v>
      </c>
      <c r="R3735">
        <v>0.98739715639070502</v>
      </c>
      <c r="S3735" t="s">
        <v>7567</v>
      </c>
      <c r="T3735" t="s">
        <v>7662</v>
      </c>
      <c r="U3735" t="s">
        <v>7662</v>
      </c>
      <c r="V3735" t="s">
        <v>7662</v>
      </c>
      <c r="W3735">
        <v>2</v>
      </c>
      <c r="X3735" t="s">
        <v>11397</v>
      </c>
      <c r="Y3735">
        <v>0.37296482868845121</v>
      </c>
      <c r="Z3735" t="str">
        <f>HYPERLINK("Melting_Curves/meltCurve_tr_J3QL56_J3QL56_HUMAN_.pdf", "Melting_Curves/meltCurve_tr_J3QL56_J3QL56_HUMAN_.pdf")</f>
        <v>Melting_Curves/meltCurve_tr_J3QL56_J3QL56_HUMAN_.pdf</v>
      </c>
      <c r="AA3735" t="s">
        <v>15156</v>
      </c>
      <c r="AB3735" t="s">
        <v>18957</v>
      </c>
    </row>
    <row r="3736" spans="1:28" x14ac:dyDescent="0.25">
      <c r="A3736" t="s">
        <v>3740</v>
      </c>
      <c r="B3736">
        <v>0.98876768158843997</v>
      </c>
      <c r="C3736">
        <v>0.91174380102180097</v>
      </c>
      <c r="D3736">
        <v>0.92866296326196596</v>
      </c>
      <c r="E3736">
        <v>0.81165061620055201</v>
      </c>
      <c r="F3736">
        <v>0.61881370857455797</v>
      </c>
      <c r="G3736">
        <v>0.42376393007647101</v>
      </c>
      <c r="H3736">
        <v>0.388119955748711</v>
      </c>
      <c r="I3736">
        <v>0.416686054764975</v>
      </c>
      <c r="J3736">
        <v>0.38093731320750202</v>
      </c>
      <c r="K3736">
        <v>0.31130286880270602</v>
      </c>
      <c r="L3736">
        <v>907.47766975036802</v>
      </c>
      <c r="M3736">
        <v>17.456374243976899</v>
      </c>
      <c r="N3736">
        <v>55.734738266977701</v>
      </c>
      <c r="O3736">
        <v>51.317632374536998</v>
      </c>
      <c r="P3736">
        <v>-5.56638446760961E-2</v>
      </c>
      <c r="Q3736">
        <v>0.34548202580941501</v>
      </c>
      <c r="R3736">
        <v>0.98090851479864005</v>
      </c>
      <c r="S3736" t="s">
        <v>7568</v>
      </c>
      <c r="T3736" t="s">
        <v>7662</v>
      </c>
      <c r="U3736" t="s">
        <v>7662</v>
      </c>
      <c r="V3736" t="s">
        <v>7662</v>
      </c>
      <c r="W3736">
        <v>5</v>
      </c>
      <c r="X3736" t="s">
        <v>11398</v>
      </c>
      <c r="Y3736">
        <v>0.61844667557827904</v>
      </c>
      <c r="Z3736" t="str">
        <f>HYPERLINK("Melting_Curves/meltCurve_tr_J3QLE5_J3QLE5_HUMAN_.pdf", "Melting_Curves/meltCurve_tr_J3QLE5_J3QLE5_HUMAN_.pdf")</f>
        <v>Melting_Curves/meltCurve_tr_J3QLE5_J3QLE5_HUMAN_.pdf</v>
      </c>
      <c r="AA3736" t="s">
        <v>15157</v>
      </c>
      <c r="AB3736" t="s">
        <v>18958</v>
      </c>
    </row>
    <row r="3737" spans="1:28" x14ac:dyDescent="0.25">
      <c r="A3737" t="s">
        <v>3741</v>
      </c>
      <c r="B3737">
        <v>0.98876768158843997</v>
      </c>
      <c r="C3737">
        <v>0.83638759276801</v>
      </c>
      <c r="D3737">
        <v>0.99405443339621802</v>
      </c>
      <c r="E3737">
        <v>0.82555759879550294</v>
      </c>
      <c r="F3737">
        <v>0.51296350390489898</v>
      </c>
      <c r="G3737">
        <v>0.34442765919867202</v>
      </c>
      <c r="H3737">
        <v>0.237860409868555</v>
      </c>
      <c r="I3737">
        <v>0.19908229034129199</v>
      </c>
      <c r="J3737">
        <v>0.163475799272988</v>
      </c>
      <c r="K3737">
        <v>0.13125774668169701</v>
      </c>
      <c r="L3737">
        <v>974.64491646222405</v>
      </c>
      <c r="M3737">
        <v>18.431323872227399</v>
      </c>
      <c r="N3737">
        <v>53.9253309232991</v>
      </c>
      <c r="O3737">
        <v>52.269135103872898</v>
      </c>
      <c r="P3737">
        <v>-7.4915203825700799E-2</v>
      </c>
      <c r="Q3737">
        <v>0.15023449388556401</v>
      </c>
      <c r="R3737">
        <v>0.97189575003031203</v>
      </c>
      <c r="S3737" t="s">
        <v>7569</v>
      </c>
      <c r="T3737" t="s">
        <v>7662</v>
      </c>
      <c r="U3737" t="s">
        <v>7662</v>
      </c>
      <c r="V3737" t="s">
        <v>7662</v>
      </c>
      <c r="W3737">
        <v>1</v>
      </c>
      <c r="X3737" t="s">
        <v>11399</v>
      </c>
      <c r="Y3737">
        <v>0.52848019840857019</v>
      </c>
      <c r="Z3737" t="str">
        <f>HYPERLINK("Melting_Curves/meltCurve_tr_J3QLI9_J3QLI9_HUMAN_.pdf", "Melting_Curves/meltCurve_tr_J3QLI9_J3QLI9_HUMAN_.pdf")</f>
        <v>Melting_Curves/meltCurve_tr_J3QLI9_J3QLI9_HUMAN_.pdf</v>
      </c>
      <c r="AA3737" t="s">
        <v>15158</v>
      </c>
      <c r="AB3737" t="s">
        <v>16512</v>
      </c>
    </row>
    <row r="3738" spans="1:28" x14ac:dyDescent="0.25">
      <c r="A3738" t="s">
        <v>3742</v>
      </c>
      <c r="B3738">
        <v>0.98876768158843997</v>
      </c>
      <c r="C3738">
        <v>0.99668257522939996</v>
      </c>
      <c r="D3738">
        <v>0.90472520567654102</v>
      </c>
      <c r="E3738">
        <v>0.83590914836863295</v>
      </c>
      <c r="F3738">
        <v>0.65247380489625295</v>
      </c>
      <c r="G3738">
        <v>0.30430995315744902</v>
      </c>
      <c r="H3738">
        <v>0.14879948462770301</v>
      </c>
      <c r="I3738">
        <v>0.143953391099163</v>
      </c>
      <c r="J3738">
        <v>4.3260089650829003E-2</v>
      </c>
      <c r="K3738">
        <v>0.125156772150398</v>
      </c>
      <c r="L3738">
        <v>1041.3310170627001</v>
      </c>
      <c r="M3738">
        <v>19.264290950985501</v>
      </c>
      <c r="N3738">
        <v>54.493492683215102</v>
      </c>
      <c r="O3738">
        <v>53.482609810064098</v>
      </c>
      <c r="P3738">
        <v>-8.3587137655743202E-2</v>
      </c>
      <c r="Q3738">
        <v>7.1797636280067106E-2</v>
      </c>
      <c r="R3738">
        <v>0.99241833273116997</v>
      </c>
      <c r="S3738" t="s">
        <v>7570</v>
      </c>
      <c r="T3738" t="s">
        <v>7662</v>
      </c>
      <c r="U3738" t="s">
        <v>7662</v>
      </c>
      <c r="V3738" t="s">
        <v>7662</v>
      </c>
      <c r="W3738">
        <v>2</v>
      </c>
      <c r="X3738" t="s">
        <v>11400</v>
      </c>
      <c r="Y3738">
        <v>0.52003499404724174</v>
      </c>
      <c r="Z3738" t="str">
        <f>HYPERLINK("Melting_Curves/meltCurve_tr_J3QLV0_J3QLV0_HUMAN_.pdf", "Melting_Curves/meltCurve_tr_J3QLV0_J3QLV0_HUMAN_.pdf")</f>
        <v>Melting_Curves/meltCurve_tr_J3QLV0_J3QLV0_HUMAN_.pdf</v>
      </c>
      <c r="AA3738" t="s">
        <v>15159</v>
      </c>
      <c r="AB3738" t="s">
        <v>18959</v>
      </c>
    </row>
    <row r="3739" spans="1:28" x14ac:dyDescent="0.25">
      <c r="A3739" t="s">
        <v>3743</v>
      </c>
      <c r="B3739">
        <v>0.98876768158843997</v>
      </c>
      <c r="C3739">
        <v>0.71425358203848599</v>
      </c>
      <c r="D3739">
        <v>0.35604519693339798</v>
      </c>
      <c r="E3739">
        <v>0.19128390464356701</v>
      </c>
      <c r="F3739">
        <v>0.107460593527791</v>
      </c>
      <c r="G3739">
        <v>9.1633246557659406E-2</v>
      </c>
      <c r="H3739">
        <v>5.8630830176226001E-2</v>
      </c>
      <c r="I3739">
        <v>5.0940182944907701E-2</v>
      </c>
      <c r="J3739">
        <v>3.0201958073126201E-2</v>
      </c>
      <c r="K3739">
        <v>2.53424306114289E-2</v>
      </c>
      <c r="L3739">
        <v>969.97934901133203</v>
      </c>
      <c r="M3739">
        <v>21.720580524538999</v>
      </c>
      <c r="N3739">
        <v>44.9114454181979</v>
      </c>
      <c r="O3739">
        <v>44.283797247403797</v>
      </c>
      <c r="P3739">
        <v>-0.115528907809037</v>
      </c>
      <c r="Q3739">
        <v>5.78633954773283E-2</v>
      </c>
      <c r="R3739">
        <v>0.99020733056341603</v>
      </c>
      <c r="S3739" t="s">
        <v>7571</v>
      </c>
      <c r="T3739" t="s">
        <v>7662</v>
      </c>
      <c r="U3739" t="s">
        <v>7662</v>
      </c>
      <c r="V3739" t="s">
        <v>7662</v>
      </c>
      <c r="W3739">
        <v>22</v>
      </c>
      <c r="X3739" t="s">
        <v>11401</v>
      </c>
      <c r="Y3739">
        <v>0.21781095029509631</v>
      </c>
      <c r="Z3739" t="str">
        <f>HYPERLINK("Melting_Curves/meltCurve_tr_J3QQX3_J3QQX3_HUMAN_.pdf", "Melting_Curves/meltCurve_tr_J3QQX3_J3QQX3_HUMAN_.pdf")</f>
        <v>Melting_Curves/meltCurve_tr_J3QQX3_J3QQX3_HUMAN_.pdf</v>
      </c>
      <c r="AA3739" t="s">
        <v>12230</v>
      </c>
      <c r="AB3739" t="s">
        <v>15993</v>
      </c>
    </row>
    <row r="3740" spans="1:28" x14ac:dyDescent="0.25">
      <c r="A3740" t="s">
        <v>3744</v>
      </c>
      <c r="B3740">
        <v>0.98876768158843997</v>
      </c>
      <c r="C3740">
        <v>0.78716766927279702</v>
      </c>
      <c r="D3740">
        <v>0.868301058220874</v>
      </c>
      <c r="E3740">
        <v>0.32111663728962497</v>
      </c>
      <c r="F3740">
        <v>0.16413086380566899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1085.3212150183299</v>
      </c>
      <c r="M3740">
        <v>22.298340194811701</v>
      </c>
      <c r="N3740">
        <v>48.672715309558299</v>
      </c>
      <c r="O3740">
        <v>48.286343912731603</v>
      </c>
      <c r="P3740">
        <v>-0.115450924672561</v>
      </c>
      <c r="Q3740">
        <v>0</v>
      </c>
      <c r="R3740">
        <v>0.97492091040908502</v>
      </c>
      <c r="S3740" t="s">
        <v>7572</v>
      </c>
      <c r="T3740" t="s">
        <v>7662</v>
      </c>
      <c r="U3740" t="s">
        <v>7662</v>
      </c>
      <c r="V3740" t="s">
        <v>7662</v>
      </c>
      <c r="W3740">
        <v>3</v>
      </c>
      <c r="X3740" t="s">
        <v>11402</v>
      </c>
      <c r="Y3740">
        <v>0.30031270761005491</v>
      </c>
      <c r="Z3740" t="str">
        <f>HYPERLINK("Melting_Curves/meltCurve_tr_J3QRD1_J3QRD1_HUMAN_.pdf", "Melting_Curves/meltCurve_tr_J3QRD1_J3QRD1_HUMAN_.pdf")</f>
        <v>Melting_Curves/meltCurve_tr_J3QRD1_J3QRD1_HUMAN_.pdf</v>
      </c>
      <c r="AA3740" t="s">
        <v>15160</v>
      </c>
      <c r="AB3740" t="s">
        <v>18960</v>
      </c>
    </row>
    <row r="3741" spans="1:28" x14ac:dyDescent="0.25">
      <c r="A3741" t="s">
        <v>3745</v>
      </c>
      <c r="B3741">
        <v>0.98876768158843997</v>
      </c>
      <c r="C3741">
        <v>1.07285756291714</v>
      </c>
      <c r="D3741">
        <v>0.99928935502843097</v>
      </c>
      <c r="E3741">
        <v>0.90441935182008804</v>
      </c>
      <c r="F3741">
        <v>0.999221624609126</v>
      </c>
      <c r="G3741">
        <v>0.85152255128083598</v>
      </c>
      <c r="H3741">
        <v>0.64120646456503005</v>
      </c>
      <c r="I3741">
        <v>0.70558952341669201</v>
      </c>
      <c r="J3741">
        <v>0.97248404954888701</v>
      </c>
      <c r="K3741">
        <v>0.959633444782093</v>
      </c>
      <c r="L3741">
        <v>14162.1544077986</v>
      </c>
      <c r="M3741">
        <v>250</v>
      </c>
      <c r="O3741">
        <v>56.644992507165497</v>
      </c>
      <c r="P3741">
        <v>-0.19890507682894901</v>
      </c>
      <c r="Q3741">
        <v>0.81972837486291295</v>
      </c>
      <c r="R3741">
        <v>0.40654531713793002</v>
      </c>
      <c r="S3741" t="s">
        <v>7573</v>
      </c>
      <c r="T3741" t="s">
        <v>7662</v>
      </c>
      <c r="U3741" t="s">
        <v>7662</v>
      </c>
      <c r="V3741" t="s">
        <v>7662</v>
      </c>
      <c r="W3741">
        <v>2</v>
      </c>
      <c r="X3741" t="s">
        <v>11403</v>
      </c>
      <c r="Y3741">
        <v>0.91978874222884843</v>
      </c>
      <c r="Z3741" t="str">
        <f>HYPERLINK("Melting_Curves/meltCurve_tr_J3QSV6_J3QSV6_HUMAN_.pdf", "Melting_Curves/meltCurve_tr_J3QSV6_J3QSV6_HUMAN_.pdf")</f>
        <v>Melting_Curves/meltCurve_tr_J3QSV6_J3QSV6_HUMAN_.pdf</v>
      </c>
      <c r="AA3741" t="s">
        <v>15161</v>
      </c>
      <c r="AB3741" t="s">
        <v>18961</v>
      </c>
    </row>
    <row r="3742" spans="1:28" x14ac:dyDescent="0.25">
      <c r="A3742" t="s">
        <v>3746</v>
      </c>
      <c r="B3742">
        <v>0.98876768158843997</v>
      </c>
      <c r="C3742">
        <v>0.96482086468698802</v>
      </c>
      <c r="D3742">
        <v>0.83036699445040596</v>
      </c>
      <c r="E3742">
        <v>0.52770492958276305</v>
      </c>
      <c r="F3742">
        <v>0.30022945224511999</v>
      </c>
      <c r="G3742">
        <v>0.139030408683364</v>
      </c>
      <c r="H3742">
        <v>0.10446923123019999</v>
      </c>
      <c r="I3742">
        <v>8.7295872633732105E-2</v>
      </c>
      <c r="J3742">
        <v>9.8210067995817302E-2</v>
      </c>
      <c r="K3742">
        <v>6.2527578971756995E-2</v>
      </c>
      <c r="L3742">
        <v>938.17647311870201</v>
      </c>
      <c r="M3742">
        <v>18.828835031410598</v>
      </c>
      <c r="N3742">
        <v>50.243696879041501</v>
      </c>
      <c r="O3742">
        <v>49.274742130306599</v>
      </c>
      <c r="P3742">
        <v>-8.8621461205494995E-2</v>
      </c>
      <c r="Q3742">
        <v>7.2354724392546296E-2</v>
      </c>
      <c r="R3742">
        <v>0.99932729803624898</v>
      </c>
      <c r="S3742" t="s">
        <v>7574</v>
      </c>
      <c r="T3742" t="s">
        <v>7662</v>
      </c>
      <c r="U3742" t="s">
        <v>7662</v>
      </c>
      <c r="V3742" t="s">
        <v>7662</v>
      </c>
      <c r="W3742">
        <v>6</v>
      </c>
      <c r="X3742" t="s">
        <v>11404</v>
      </c>
      <c r="Y3742">
        <v>0.3907462293015756</v>
      </c>
      <c r="Z3742" t="str">
        <f>HYPERLINK("Melting_Curves/meltCurve_tr_J3QT28_J3QT28_HUMAN_.pdf", "Melting_Curves/meltCurve_tr_J3QT28_J3QT28_HUMAN_.pdf")</f>
        <v>Melting_Curves/meltCurve_tr_J3QT28_J3QT28_HUMAN_.pdf</v>
      </c>
      <c r="AA3742" t="s">
        <v>15162</v>
      </c>
      <c r="AB3742" t="s">
        <v>18962</v>
      </c>
    </row>
    <row r="3743" spans="1:28" x14ac:dyDescent="0.25">
      <c r="A3743" t="s">
        <v>3747</v>
      </c>
      <c r="B3743">
        <v>0.98876768158843997</v>
      </c>
      <c r="C3743">
        <v>0.710232583380487</v>
      </c>
      <c r="D3743">
        <v>1.4432586214849501</v>
      </c>
      <c r="E3743">
        <v>1.6297421745655201</v>
      </c>
      <c r="F3743">
        <v>0.41882261000891202</v>
      </c>
      <c r="G3743">
        <v>0.12217817034070499</v>
      </c>
      <c r="H3743">
        <v>4.5129377651967E-2</v>
      </c>
      <c r="I3743">
        <v>4.8748377676476301E-2</v>
      </c>
      <c r="J3743">
        <v>3.2981745348868503E-2</v>
      </c>
      <c r="K3743">
        <v>5.1470034663887103E-2</v>
      </c>
      <c r="L3743">
        <v>13224.427285178001</v>
      </c>
      <c r="M3743">
        <v>250</v>
      </c>
      <c r="N3743">
        <v>52.924821490285602</v>
      </c>
      <c r="O3743">
        <v>52.894344374206199</v>
      </c>
      <c r="P3743">
        <v>-1.11058534449529</v>
      </c>
      <c r="Q3743">
        <v>6.0101421592039503E-2</v>
      </c>
      <c r="R3743">
        <v>0.79960961291589305</v>
      </c>
      <c r="S3743" t="s">
        <v>7575</v>
      </c>
      <c r="T3743" t="s">
        <v>7662</v>
      </c>
      <c r="U3743" t="s">
        <v>7662</v>
      </c>
      <c r="V3743" t="s">
        <v>7662</v>
      </c>
      <c r="W3743">
        <v>3</v>
      </c>
      <c r="X3743" t="s">
        <v>11405</v>
      </c>
      <c r="Y3743">
        <v>0.46427329295598302</v>
      </c>
      <c r="Z3743" t="str">
        <f>HYPERLINK("Melting_Curves/meltCurve_tr_J3QT87_J3QT87_HUMAN_.pdf", "Melting_Curves/meltCurve_tr_J3QT87_J3QT87_HUMAN_.pdf")</f>
        <v>Melting_Curves/meltCurve_tr_J3QT87_J3QT87_HUMAN_.pdf</v>
      </c>
      <c r="AA3743" t="s">
        <v>15163</v>
      </c>
      <c r="AB3743" t="s">
        <v>18963</v>
      </c>
    </row>
    <row r="3744" spans="1:28" x14ac:dyDescent="0.25">
      <c r="A3744" t="s">
        <v>3748</v>
      </c>
      <c r="B3744">
        <v>0.98876768158843997</v>
      </c>
      <c r="C3744">
        <v>1.07265465523171</v>
      </c>
      <c r="D3744">
        <v>1.03640883795951</v>
      </c>
      <c r="E3744">
        <v>0.93808180162502297</v>
      </c>
      <c r="F3744">
        <v>0.61714847239653603</v>
      </c>
      <c r="G3744">
        <v>0.27174456105711398</v>
      </c>
      <c r="H3744">
        <v>0.12918157734848201</v>
      </c>
      <c r="I3744">
        <v>9.2894860250838901E-2</v>
      </c>
      <c r="J3744">
        <v>7.0792850598485002E-2</v>
      </c>
      <c r="K3744">
        <v>0.102191188117669</v>
      </c>
      <c r="L3744">
        <v>1516.9332968890401</v>
      </c>
      <c r="M3744">
        <v>28.170990796421599</v>
      </c>
      <c r="N3744">
        <v>54.228714187700199</v>
      </c>
      <c r="O3744">
        <v>53.578207992219099</v>
      </c>
      <c r="P3744">
        <v>-0.11963698009812999</v>
      </c>
      <c r="Q3744">
        <v>8.9860761927315694E-2</v>
      </c>
      <c r="R3744">
        <v>0.99397742323382998</v>
      </c>
      <c r="S3744" t="s">
        <v>7576</v>
      </c>
      <c r="T3744" t="s">
        <v>7662</v>
      </c>
      <c r="U3744" t="s">
        <v>7662</v>
      </c>
      <c r="V3744" t="s">
        <v>7662</v>
      </c>
      <c r="W3744">
        <v>3</v>
      </c>
      <c r="X3744" t="s">
        <v>11406</v>
      </c>
      <c r="Y3744">
        <v>0.51669516534309767</v>
      </c>
      <c r="Z3744" t="str">
        <f>HYPERLINK("Melting_Curves/meltCurve_tr_J9JIC5_J9JIC5_HUMAN_.pdf", "Melting_Curves/meltCurve_tr_J9JIC5_J9JIC5_HUMAN_.pdf")</f>
        <v>Melting_Curves/meltCurve_tr_J9JIC5_J9JIC5_HUMAN_.pdf</v>
      </c>
      <c r="AA3744" t="s">
        <v>15164</v>
      </c>
      <c r="AB3744" t="s">
        <v>18964</v>
      </c>
    </row>
    <row r="3745" spans="1:28" x14ac:dyDescent="0.25">
      <c r="A3745" t="s">
        <v>3749</v>
      </c>
      <c r="B3745">
        <v>0.98876768158843997</v>
      </c>
      <c r="C3745">
        <v>0.96801624581800105</v>
      </c>
      <c r="D3745">
        <v>0.867559689836231</v>
      </c>
      <c r="E3745">
        <v>0.78471935081312505</v>
      </c>
      <c r="F3745">
        <v>0.63672595862644898</v>
      </c>
      <c r="G3745">
        <v>0.463936789587576</v>
      </c>
      <c r="H3745">
        <v>0.38673225587841198</v>
      </c>
      <c r="I3745">
        <v>0.40766265351456199</v>
      </c>
      <c r="J3745">
        <v>0.50229483458112401</v>
      </c>
      <c r="K3745">
        <v>0.55441214764368396</v>
      </c>
      <c r="L3745">
        <v>953.32783706661701</v>
      </c>
      <c r="M3745">
        <v>18.889473762140099</v>
      </c>
      <c r="N3745">
        <v>57.544684875576699</v>
      </c>
      <c r="O3745">
        <v>49.9133125274424</v>
      </c>
      <c r="P3745">
        <v>-5.1944031750052799E-2</v>
      </c>
      <c r="Q3745">
        <v>0.450997353229727</v>
      </c>
      <c r="R3745">
        <v>0.93773142898902195</v>
      </c>
      <c r="S3745" t="s">
        <v>7577</v>
      </c>
      <c r="T3745" t="s">
        <v>7662</v>
      </c>
      <c r="U3745" t="s">
        <v>7662</v>
      </c>
      <c r="V3745" t="s">
        <v>7662</v>
      </c>
      <c r="W3745">
        <v>11</v>
      </c>
      <c r="X3745" t="s">
        <v>11407</v>
      </c>
      <c r="Y3745">
        <v>0.65108175957919368</v>
      </c>
      <c r="Z3745" t="str">
        <f>HYPERLINK("Melting_Curves/meltCurve_tr_J9JIE9_J9JIE9_HUMAN_.pdf", "Melting_Curves/meltCurve_tr_J9JIE9_J9JIE9_HUMAN_.pdf")</f>
        <v>Melting_Curves/meltCurve_tr_J9JIE9_J9JIE9_HUMAN_.pdf</v>
      </c>
      <c r="AA3745" t="s">
        <v>15165</v>
      </c>
      <c r="AB3745" t="s">
        <v>18965</v>
      </c>
    </row>
    <row r="3746" spans="1:28" x14ac:dyDescent="0.25">
      <c r="A3746" t="s">
        <v>3750</v>
      </c>
      <c r="B3746">
        <v>0.98876768158843997</v>
      </c>
      <c r="C3746">
        <v>0.87685224472669898</v>
      </c>
      <c r="D3746">
        <v>0.91519860889297999</v>
      </c>
      <c r="E3746">
        <v>0.513119670402578</v>
      </c>
      <c r="F3746">
        <v>0.391523743334242</v>
      </c>
      <c r="G3746">
        <v>0.259435924382732</v>
      </c>
      <c r="H3746">
        <v>0.19619194608902299</v>
      </c>
      <c r="I3746">
        <v>0.23268677436993199</v>
      </c>
      <c r="J3746">
        <v>0.32552535977112101</v>
      </c>
      <c r="K3746">
        <v>0.36422549532335002</v>
      </c>
      <c r="L3746">
        <v>1255.08234731274</v>
      </c>
      <c r="M3746">
        <v>25.694397082778799</v>
      </c>
      <c r="N3746">
        <v>50.409875738721503</v>
      </c>
      <c r="O3746">
        <v>48.553555700600498</v>
      </c>
      <c r="P3746">
        <v>-9.5967847071051895E-2</v>
      </c>
      <c r="Q3746">
        <v>0.274624300102078</v>
      </c>
      <c r="R3746">
        <v>0.95944490045821296</v>
      </c>
      <c r="S3746" t="s">
        <v>7578</v>
      </c>
      <c r="T3746" t="s">
        <v>7662</v>
      </c>
      <c r="U3746" t="s">
        <v>7662</v>
      </c>
      <c r="V3746" t="s">
        <v>7662</v>
      </c>
      <c r="W3746">
        <v>1</v>
      </c>
      <c r="X3746" t="s">
        <v>11408</v>
      </c>
      <c r="Y3746">
        <v>0.49459455928463819</v>
      </c>
      <c r="Z3746" t="str">
        <f>HYPERLINK("Melting_Curves/meltCurve_tr_K7EIE8_K7EIE8_HUMAN_.pdf", "Melting_Curves/meltCurve_tr_K7EIE8_K7EIE8_HUMAN_.pdf")</f>
        <v>Melting_Curves/meltCurve_tr_K7EIE8_K7EIE8_HUMAN_.pdf</v>
      </c>
      <c r="AA3746" t="s">
        <v>15166</v>
      </c>
      <c r="AB3746" t="s">
        <v>18966</v>
      </c>
    </row>
    <row r="3747" spans="1:28" x14ac:dyDescent="0.25">
      <c r="A3747" t="s">
        <v>3751</v>
      </c>
      <c r="B3747">
        <v>0.98876768158843997</v>
      </c>
      <c r="C3747">
        <v>0.83633664434538302</v>
      </c>
      <c r="D3747">
        <v>0.89702019089305596</v>
      </c>
      <c r="E3747">
        <v>0.40921504268720998</v>
      </c>
      <c r="F3747">
        <v>0.156796254040037</v>
      </c>
      <c r="G3747">
        <v>8.6540498482380698E-2</v>
      </c>
      <c r="H3747">
        <v>5.6527617984216502E-2</v>
      </c>
      <c r="I3747">
        <v>5.1272231847183498E-2</v>
      </c>
      <c r="J3747">
        <v>6.3691276574228503E-2</v>
      </c>
      <c r="K3747">
        <v>5.5342132510655201E-2</v>
      </c>
      <c r="L3747">
        <v>1267.6501058808101</v>
      </c>
      <c r="M3747">
        <v>25.849231922073599</v>
      </c>
      <c r="N3747">
        <v>49.2546057667792</v>
      </c>
      <c r="O3747">
        <v>48.749474655282498</v>
      </c>
      <c r="P3747">
        <v>-0.12550768625925901</v>
      </c>
      <c r="Q3747">
        <v>5.3223559298827203E-2</v>
      </c>
      <c r="R3747">
        <v>0.98415094369617595</v>
      </c>
      <c r="S3747" t="s">
        <v>7579</v>
      </c>
      <c r="T3747" t="s">
        <v>7662</v>
      </c>
      <c r="U3747" t="s">
        <v>7662</v>
      </c>
      <c r="V3747" t="s">
        <v>7662</v>
      </c>
      <c r="W3747">
        <v>26</v>
      </c>
      <c r="X3747" t="s">
        <v>11409</v>
      </c>
      <c r="Y3747">
        <v>0.34635783029117279</v>
      </c>
      <c r="Z3747" t="str">
        <f>HYPERLINK("Melting_Curves/meltCurve_tr_K7EIG1_K7EIG1_HUMAN_.pdf", "Melting_Curves/meltCurve_tr_K7EIG1_K7EIG1_HUMAN_.pdf")</f>
        <v>Melting_Curves/meltCurve_tr_K7EIG1_K7EIG1_HUMAN_.pdf</v>
      </c>
      <c r="AA3747" t="s">
        <v>15121</v>
      </c>
      <c r="AB3747" t="s">
        <v>18922</v>
      </c>
    </row>
    <row r="3748" spans="1:28" x14ac:dyDescent="0.25">
      <c r="A3748" t="s">
        <v>3752</v>
      </c>
      <c r="B3748">
        <v>0.98876768158843997</v>
      </c>
      <c r="C3748">
        <v>0.92455032605288001</v>
      </c>
      <c r="D3748">
        <v>0.84674498580006297</v>
      </c>
      <c r="E3748">
        <v>0.58554689124919701</v>
      </c>
      <c r="F3748">
        <v>0.51526186034741905</v>
      </c>
      <c r="G3748">
        <v>0.50641740584718997</v>
      </c>
      <c r="H3748">
        <v>0.32266732629776201</v>
      </c>
      <c r="I3748">
        <v>0.23732060769567401</v>
      </c>
      <c r="J3748">
        <v>0.155608179143231</v>
      </c>
      <c r="K3748">
        <v>0.15016042864075399</v>
      </c>
      <c r="L3748">
        <v>431.91650807090502</v>
      </c>
      <c r="M3748">
        <v>7.9189327063811996</v>
      </c>
      <c r="N3748">
        <v>54.581622797667499</v>
      </c>
      <c r="O3748">
        <v>51.393003156152901</v>
      </c>
      <c r="P3748">
        <v>-3.8456903504275997E-2</v>
      </c>
      <c r="Q3748">
        <v>2.8471312190550199E-3</v>
      </c>
      <c r="R3748">
        <v>0.97428990047128405</v>
      </c>
      <c r="S3748" t="s">
        <v>7580</v>
      </c>
      <c r="T3748" t="s">
        <v>7662</v>
      </c>
      <c r="U3748" t="s">
        <v>7662</v>
      </c>
      <c r="V3748" t="s">
        <v>7662</v>
      </c>
      <c r="W3748">
        <v>1</v>
      </c>
      <c r="X3748" t="s">
        <v>11410</v>
      </c>
      <c r="Y3748">
        <v>0.51657916377618163</v>
      </c>
      <c r="Z3748" t="str">
        <f>HYPERLINK("Melting_Curves/meltCurve_tr_K7EIJ0_K7EIJ0_HUMAN_.pdf", "Melting_Curves/meltCurve_tr_K7EIJ0_K7EIJ0_HUMAN_.pdf")</f>
        <v>Melting_Curves/meltCurve_tr_K7EIJ0_K7EIJ0_HUMAN_.pdf</v>
      </c>
      <c r="AA3748" t="s">
        <v>15167</v>
      </c>
      <c r="AB3748" t="s">
        <v>18967</v>
      </c>
    </row>
    <row r="3749" spans="1:28" x14ac:dyDescent="0.25">
      <c r="A3749" t="s">
        <v>3753</v>
      </c>
      <c r="B3749">
        <v>0.98876768158843997</v>
      </c>
      <c r="C3749">
        <v>1.3503680570385601</v>
      </c>
      <c r="D3749">
        <v>0.99566257545901704</v>
      </c>
      <c r="E3749">
        <v>0.96333601949912195</v>
      </c>
      <c r="F3749">
        <v>1.33854117808478</v>
      </c>
      <c r="G3749">
        <v>0.650689230598961</v>
      </c>
      <c r="H3749">
        <v>0.32697359009745403</v>
      </c>
      <c r="I3749">
        <v>0.20437527943345701</v>
      </c>
      <c r="J3749">
        <v>0.21384252125762601</v>
      </c>
      <c r="K3749">
        <v>0.166602814549622</v>
      </c>
      <c r="L3749">
        <v>5698.5298368762597</v>
      </c>
      <c r="M3749">
        <v>99.775592273222401</v>
      </c>
      <c r="N3749">
        <v>57.4629618616909</v>
      </c>
      <c r="O3749">
        <v>57.090533273701197</v>
      </c>
      <c r="P3749">
        <v>-0.33753661750726099</v>
      </c>
      <c r="Q3749">
        <v>0.22746059421279799</v>
      </c>
      <c r="R3749">
        <v>0.871823283591454</v>
      </c>
      <c r="S3749" t="s">
        <v>7581</v>
      </c>
      <c r="T3749" t="s">
        <v>7662</v>
      </c>
      <c r="U3749" t="s">
        <v>7662</v>
      </c>
      <c r="V3749" t="s">
        <v>7662</v>
      </c>
      <c r="W3749">
        <v>5</v>
      </c>
      <c r="X3749" t="s">
        <v>11411</v>
      </c>
      <c r="Y3749">
        <v>0.66864151893174906</v>
      </c>
      <c r="Z3749" t="str">
        <f>HYPERLINK("Melting_Curves/meltCurve_tr_K7EIU8_K7EIU8_HUMAN_.pdf", "Melting_Curves/meltCurve_tr_K7EIU8_K7EIU8_HUMAN_.pdf")</f>
        <v>Melting_Curves/meltCurve_tr_K7EIU8_K7EIU8_HUMAN_.pdf</v>
      </c>
      <c r="AA3749" t="s">
        <v>15168</v>
      </c>
      <c r="AB3749" t="s">
        <v>18968</v>
      </c>
    </row>
    <row r="3750" spans="1:28" x14ac:dyDescent="0.25">
      <c r="A3750" t="s">
        <v>3754</v>
      </c>
      <c r="B3750">
        <v>0.98876768158843997</v>
      </c>
      <c r="C3750">
        <v>0.90835601620205997</v>
      </c>
      <c r="D3750">
        <v>0.87486966814069</v>
      </c>
      <c r="E3750">
        <v>0.48374316141262402</v>
      </c>
      <c r="F3750">
        <v>0.25659286583240198</v>
      </c>
      <c r="G3750">
        <v>0.12508371709194199</v>
      </c>
      <c r="H3750">
        <v>0.104185940822904</v>
      </c>
      <c r="I3750">
        <v>9.9429235056156903E-2</v>
      </c>
      <c r="J3750">
        <v>0.13885288849496999</v>
      </c>
      <c r="K3750">
        <v>0.110696918700776</v>
      </c>
      <c r="L3750">
        <v>1129.7944047589999</v>
      </c>
      <c r="M3750">
        <v>22.909001286336501</v>
      </c>
      <c r="N3750">
        <v>49.827499669558499</v>
      </c>
      <c r="O3750">
        <v>48.945466552448202</v>
      </c>
      <c r="P3750">
        <v>-0.10476727469298</v>
      </c>
      <c r="Q3750">
        <v>0.104669180016897</v>
      </c>
      <c r="R3750">
        <v>0.99519750246722705</v>
      </c>
      <c r="S3750" t="s">
        <v>7582</v>
      </c>
      <c r="T3750" t="s">
        <v>7662</v>
      </c>
      <c r="U3750" t="s">
        <v>7662</v>
      </c>
      <c r="V3750" t="s">
        <v>7662</v>
      </c>
      <c r="W3750">
        <v>1</v>
      </c>
      <c r="X3750" t="s">
        <v>11412</v>
      </c>
      <c r="Y3750">
        <v>0.39222132408235161</v>
      </c>
      <c r="Z3750" t="str">
        <f>HYPERLINK("Melting_Curves/meltCurve_tr_K7EJ78_K7EJ78_HUMAN_.pdf", "Melting_Curves/meltCurve_tr_K7EJ78_K7EJ78_HUMAN_.pdf")</f>
        <v>Melting_Curves/meltCurve_tr_K7EJ78_K7EJ78_HUMAN_.pdf</v>
      </c>
      <c r="AA3750" t="s">
        <v>15169</v>
      </c>
      <c r="AB3750" t="s">
        <v>18969</v>
      </c>
    </row>
    <row r="3751" spans="1:28" x14ac:dyDescent="0.25">
      <c r="A3751" t="s">
        <v>3755</v>
      </c>
      <c r="B3751">
        <v>0.98876768158843997</v>
      </c>
      <c r="C3751">
        <v>1.7964813766777401</v>
      </c>
      <c r="D3751">
        <v>1.01266348702197</v>
      </c>
      <c r="E3751">
        <v>0.90192999505005</v>
      </c>
      <c r="F3751">
        <v>0.51052224353678999</v>
      </c>
      <c r="G3751">
        <v>0.34736304724306499</v>
      </c>
      <c r="H3751">
        <v>0.26072182909278802</v>
      </c>
      <c r="I3751">
        <v>0.26448405917538198</v>
      </c>
      <c r="J3751">
        <v>0.212660075000072</v>
      </c>
      <c r="K3751">
        <v>0.23166946244612499</v>
      </c>
      <c r="L3751">
        <v>1992.19263075616</v>
      </c>
      <c r="M3751">
        <v>38.118612782637499</v>
      </c>
      <c r="N3751">
        <v>53.254037900932801</v>
      </c>
      <c r="O3751">
        <v>52.1197674650412</v>
      </c>
      <c r="P3751">
        <v>-0.136395309504528</v>
      </c>
      <c r="Q3751">
        <v>0.25402588476568499</v>
      </c>
      <c r="R3751">
        <v>0.732665720381526</v>
      </c>
      <c r="S3751" t="s">
        <v>7583</v>
      </c>
      <c r="T3751" t="s">
        <v>7662</v>
      </c>
      <c r="U3751" t="s">
        <v>7662</v>
      </c>
      <c r="V3751" t="s">
        <v>7662</v>
      </c>
      <c r="W3751">
        <v>16</v>
      </c>
      <c r="X3751" t="s">
        <v>11413</v>
      </c>
      <c r="Y3751">
        <v>0.56192190683410381</v>
      </c>
      <c r="Z3751" t="str">
        <f>HYPERLINK("Melting_Curves/meltCurve_tr_K7EJB9_K7EJB9_HUMAN_.pdf", "Melting_Curves/meltCurve_tr_K7EJB9_K7EJB9_HUMAN_.pdf")</f>
        <v>Melting_Curves/meltCurve_tr_K7EJB9_K7EJB9_HUMAN_.pdf</v>
      </c>
      <c r="AA3751" t="s">
        <v>12288</v>
      </c>
      <c r="AB3751" t="s">
        <v>18970</v>
      </c>
    </row>
    <row r="3752" spans="1:28" x14ac:dyDescent="0.25">
      <c r="A3752" t="s">
        <v>3756</v>
      </c>
      <c r="B3752">
        <v>0.98876768158843997</v>
      </c>
      <c r="C3752">
        <v>0.98944661242270304</v>
      </c>
      <c r="D3752">
        <v>0.85422221167143197</v>
      </c>
      <c r="E3752">
        <v>0.53475228879160097</v>
      </c>
      <c r="F3752">
        <v>0.64264394771277999</v>
      </c>
      <c r="G3752">
        <v>0.41801726569008502</v>
      </c>
      <c r="H3752">
        <v>0.372194089498255</v>
      </c>
      <c r="I3752">
        <v>0.40057127026783002</v>
      </c>
      <c r="J3752">
        <v>0.52532016505817702</v>
      </c>
      <c r="K3752">
        <v>0.67678945427017001</v>
      </c>
      <c r="L3752">
        <v>1455.9554607201501</v>
      </c>
      <c r="M3752">
        <v>30.808025040856698</v>
      </c>
      <c r="N3752">
        <v>56.352245554423597</v>
      </c>
      <c r="O3752">
        <v>47.061188481047601</v>
      </c>
      <c r="P3752">
        <v>-8.2397583807884506E-2</v>
      </c>
      <c r="Q3752">
        <v>0.49653306003879999</v>
      </c>
      <c r="R3752">
        <v>0.83150807833148699</v>
      </c>
      <c r="S3752" t="s">
        <v>7584</v>
      </c>
      <c r="T3752" t="s">
        <v>7662</v>
      </c>
      <c r="U3752" t="s">
        <v>7662</v>
      </c>
      <c r="V3752" t="s">
        <v>7662</v>
      </c>
      <c r="W3752">
        <v>3</v>
      </c>
      <c r="X3752" t="s">
        <v>11414</v>
      </c>
      <c r="Y3752">
        <v>0.62120759138999382</v>
      </c>
      <c r="Z3752" t="str">
        <f>HYPERLINK("Melting_Curves/meltCurve_tr_K7EJG0_K7EJG0_HUMAN_.pdf", "Melting_Curves/meltCurve_tr_K7EJG0_K7EJG0_HUMAN_.pdf")</f>
        <v>Melting_Curves/meltCurve_tr_K7EJG0_K7EJG0_HUMAN_.pdf</v>
      </c>
      <c r="AA3752" t="s">
        <v>15170</v>
      </c>
      <c r="AB3752" t="s">
        <v>18971</v>
      </c>
    </row>
    <row r="3753" spans="1:28" x14ac:dyDescent="0.25">
      <c r="A3753" t="s">
        <v>3757</v>
      </c>
      <c r="B3753">
        <v>0.98876768158843997</v>
      </c>
      <c r="C3753">
        <v>0.88499406303389805</v>
      </c>
      <c r="D3753">
        <v>1.0561367146077201</v>
      </c>
      <c r="E3753">
        <v>0.79238111962040103</v>
      </c>
      <c r="F3753">
        <v>0.42709894945849303</v>
      </c>
      <c r="G3753">
        <v>0.244010562721028</v>
      </c>
      <c r="H3753">
        <v>0.126087159929436</v>
      </c>
      <c r="I3753">
        <v>6.7310447584348607E-2</v>
      </c>
      <c r="J3753">
        <v>4.1511111822794301E-2</v>
      </c>
      <c r="K3753">
        <v>2.9039163141041099E-2</v>
      </c>
      <c r="L3753">
        <v>1194.80230345686</v>
      </c>
      <c r="M3753">
        <v>22.7389468631747</v>
      </c>
      <c r="N3753">
        <v>52.815304421990902</v>
      </c>
      <c r="O3753">
        <v>52.142990081660898</v>
      </c>
      <c r="P3753">
        <v>-0.103021273593871</v>
      </c>
      <c r="Q3753">
        <v>5.5060536944934499E-2</v>
      </c>
      <c r="R3753">
        <v>0.98195060297083003</v>
      </c>
      <c r="S3753" t="s">
        <v>7585</v>
      </c>
      <c r="T3753" t="s">
        <v>7662</v>
      </c>
      <c r="U3753" t="s">
        <v>7662</v>
      </c>
      <c r="V3753" t="s">
        <v>7662</v>
      </c>
      <c r="W3753">
        <v>9</v>
      </c>
      <c r="X3753" t="s">
        <v>11415</v>
      </c>
      <c r="Y3753">
        <v>0.46053490350663312</v>
      </c>
      <c r="Z3753" t="str">
        <f>HYPERLINK("Melting_Curves/meltCurve_tr_K7EJL1_K7EJL1_HUMAN_.pdf", "Melting_Curves/meltCurve_tr_K7EJL1_K7EJL1_HUMAN_.pdf")</f>
        <v>Melting_Curves/meltCurve_tr_K7EJL1_K7EJL1_HUMAN_.pdf</v>
      </c>
      <c r="AA3753" t="s">
        <v>15171</v>
      </c>
      <c r="AB3753" t="s">
        <v>18972</v>
      </c>
    </row>
    <row r="3754" spans="1:28" x14ac:dyDescent="0.25">
      <c r="A3754" t="s">
        <v>3758</v>
      </c>
      <c r="B3754">
        <v>0.98876768158843997</v>
      </c>
      <c r="C3754">
        <v>0.87396940420235703</v>
      </c>
      <c r="D3754">
        <v>0.75448324531969202</v>
      </c>
      <c r="E3754">
        <v>0.47360463982724299</v>
      </c>
      <c r="F3754">
        <v>0.26492396211484998</v>
      </c>
      <c r="G3754">
        <v>0.14724479683705199</v>
      </c>
      <c r="H3754">
        <v>7.8196153671593702E-2</v>
      </c>
      <c r="I3754">
        <v>4.2785936839964303E-2</v>
      </c>
      <c r="J3754">
        <v>0.13935741951616401</v>
      </c>
      <c r="K3754">
        <v>5.1749695150811403E-2</v>
      </c>
      <c r="L3754">
        <v>764.68520425081704</v>
      </c>
      <c r="M3754">
        <v>15.6080202291596</v>
      </c>
      <c r="N3754">
        <v>49.365566378639798</v>
      </c>
      <c r="O3754">
        <v>48.209986956892998</v>
      </c>
      <c r="P3754">
        <v>-7.6448397875357496E-2</v>
      </c>
      <c r="Q3754">
        <v>5.5547695518804403E-2</v>
      </c>
      <c r="R3754">
        <v>0.99278606351267795</v>
      </c>
      <c r="S3754" t="s">
        <v>7586</v>
      </c>
      <c r="T3754" t="s">
        <v>7662</v>
      </c>
      <c r="U3754" t="s">
        <v>7662</v>
      </c>
      <c r="V3754" t="s">
        <v>7662</v>
      </c>
      <c r="W3754">
        <v>2</v>
      </c>
      <c r="X3754" t="s">
        <v>11416</v>
      </c>
      <c r="Y3754">
        <v>0.3602890315069473</v>
      </c>
      <c r="Z3754" t="str">
        <f>HYPERLINK("Melting_Curves/meltCurve_tr_K7EK07_K7EK07_HUMAN_.pdf", "Melting_Curves/meltCurve_tr_K7EK07_K7EK07_HUMAN_.pdf")</f>
        <v>Melting_Curves/meltCurve_tr_K7EK07_K7EK07_HUMAN_.pdf</v>
      </c>
      <c r="AA3754" t="s">
        <v>15172</v>
      </c>
      <c r="AB3754" t="s">
        <v>18973</v>
      </c>
    </row>
    <row r="3755" spans="1:28" x14ac:dyDescent="0.25">
      <c r="A3755" t="s">
        <v>3759</v>
      </c>
      <c r="B3755">
        <v>0.98876768158843997</v>
      </c>
      <c r="C3755">
        <v>0.95832481943827097</v>
      </c>
      <c r="D3755">
        <v>0.82898750045428005</v>
      </c>
      <c r="E3755">
        <v>0.46112681496798602</v>
      </c>
      <c r="F3755">
        <v>0.167322528178174</v>
      </c>
      <c r="G3755">
        <v>7.8422016756602306E-2</v>
      </c>
      <c r="H3755">
        <v>3.9586608594481501E-2</v>
      </c>
      <c r="I3755">
        <v>3.6494741374913799E-2</v>
      </c>
      <c r="J3755">
        <v>2.7652120158470399E-2</v>
      </c>
      <c r="K3755">
        <v>2.9860850582024999E-2</v>
      </c>
      <c r="L3755">
        <v>1108.94892000699</v>
      </c>
      <c r="M3755">
        <v>22.4861761882729</v>
      </c>
      <c r="N3755">
        <v>49.436344101459099</v>
      </c>
      <c r="O3755">
        <v>48.931819854894201</v>
      </c>
      <c r="P3755">
        <v>-0.11185038911593199</v>
      </c>
      <c r="Q3755">
        <v>2.6435892047185799E-2</v>
      </c>
      <c r="R3755">
        <v>0.99897385723696397</v>
      </c>
      <c r="S3755" t="s">
        <v>7587</v>
      </c>
      <c r="T3755" t="s">
        <v>7662</v>
      </c>
      <c r="U3755" t="s">
        <v>7662</v>
      </c>
      <c r="V3755" t="s">
        <v>7662</v>
      </c>
      <c r="W3755">
        <v>10</v>
      </c>
      <c r="X3755" t="s">
        <v>11417</v>
      </c>
      <c r="Y3755">
        <v>0.33952326072968159</v>
      </c>
      <c r="Z3755" t="str">
        <f>HYPERLINK("Melting_Curves/meltCurve_tr_K7EK11_K7EK11_HUMAN_.pdf", "Melting_Curves/meltCurve_tr_K7EK11_K7EK11_HUMAN_.pdf")</f>
        <v>Melting_Curves/meltCurve_tr_K7EK11_K7EK11_HUMAN_.pdf</v>
      </c>
      <c r="AA3755" t="s">
        <v>15173</v>
      </c>
      <c r="AB3755" t="s">
        <v>18974</v>
      </c>
    </row>
    <row r="3756" spans="1:28" x14ac:dyDescent="0.25">
      <c r="A3756" t="s">
        <v>3760</v>
      </c>
      <c r="B3756">
        <v>0.98876768158843997</v>
      </c>
      <c r="C3756">
        <v>0.94128814409557104</v>
      </c>
      <c r="D3756">
        <v>0.82257415461046801</v>
      </c>
      <c r="E3756">
        <v>0.345416202698061</v>
      </c>
      <c r="F3756">
        <v>0.13312482935252101</v>
      </c>
      <c r="G3756">
        <v>6.6283629666741395E-2</v>
      </c>
      <c r="H3756">
        <v>4.0561069131337703E-2</v>
      </c>
      <c r="I3756">
        <v>3.6077208065781498E-2</v>
      </c>
      <c r="J3756">
        <v>4.65581617149467E-2</v>
      </c>
      <c r="K3756">
        <v>3.7146717092154301E-2</v>
      </c>
      <c r="L3756">
        <v>1245.86137395174</v>
      </c>
      <c r="M3756">
        <v>25.666743812867701</v>
      </c>
      <c r="N3756">
        <v>48.692310304937003</v>
      </c>
      <c r="O3756">
        <v>48.248128539704403</v>
      </c>
      <c r="P3756">
        <v>-0.12786196601929101</v>
      </c>
      <c r="Q3756">
        <v>3.8596223698779498E-2</v>
      </c>
      <c r="R3756">
        <v>0.99930621284718602</v>
      </c>
      <c r="S3756" t="s">
        <v>7588</v>
      </c>
      <c r="T3756" t="s">
        <v>7662</v>
      </c>
      <c r="U3756" t="s">
        <v>7662</v>
      </c>
      <c r="V3756" t="s">
        <v>7662</v>
      </c>
      <c r="W3756">
        <v>26</v>
      </c>
      <c r="X3756" t="s">
        <v>11418</v>
      </c>
      <c r="Y3756">
        <v>0.32031888169344308</v>
      </c>
      <c r="Z3756" t="str">
        <f>HYPERLINK("Melting_Curves/meltCurve_tr_K7EKE6_K7EKE6_HUMAN_.pdf", "Melting_Curves/meltCurve_tr_K7EKE6_K7EKE6_HUMAN_.pdf")</f>
        <v>Melting_Curves/meltCurve_tr_K7EKE6_K7EKE6_HUMAN_.pdf</v>
      </c>
      <c r="AA3756" t="s">
        <v>15174</v>
      </c>
      <c r="AB3756" t="s">
        <v>18975</v>
      </c>
    </row>
    <row r="3757" spans="1:28" x14ac:dyDescent="0.25">
      <c r="A3757" t="s">
        <v>3761</v>
      </c>
      <c r="B3757">
        <v>0.98876768158843997</v>
      </c>
      <c r="C3757">
        <v>0.97580097489636697</v>
      </c>
      <c r="D3757">
        <v>0.99311577572895704</v>
      </c>
      <c r="E3757">
        <v>0.71530560437701096</v>
      </c>
      <c r="F3757">
        <v>0.51291338255108199</v>
      </c>
      <c r="G3757">
        <v>0.36356219442395399</v>
      </c>
      <c r="H3757">
        <v>0.29795605916131801</v>
      </c>
      <c r="I3757">
        <v>0.35784604420163602</v>
      </c>
      <c r="J3757">
        <v>0.41389463667627802</v>
      </c>
      <c r="K3757">
        <v>0.470023169158095</v>
      </c>
      <c r="L3757">
        <v>1615.87592970728</v>
      </c>
      <c r="M3757">
        <v>32.063660382597497</v>
      </c>
      <c r="N3757">
        <v>52.751169770442999</v>
      </c>
      <c r="O3757">
        <v>50.201064482849802</v>
      </c>
      <c r="P3757">
        <v>-9.8913719126089095E-2</v>
      </c>
      <c r="Q3757">
        <v>0.38053888017843202</v>
      </c>
      <c r="R3757">
        <v>0.97270125550338205</v>
      </c>
      <c r="S3757" t="s">
        <v>7589</v>
      </c>
      <c r="T3757" t="s">
        <v>7662</v>
      </c>
      <c r="U3757" t="s">
        <v>7662</v>
      </c>
      <c r="V3757" t="s">
        <v>7662</v>
      </c>
      <c r="W3757">
        <v>71</v>
      </c>
      <c r="X3757" t="s">
        <v>11419</v>
      </c>
      <c r="Y3757">
        <v>0.59857221294403307</v>
      </c>
      <c r="Z3757" t="str">
        <f>HYPERLINK("Melting_Curves/meltCurve_tr_K7EKI8_K7EKI8_HUMAN_.pdf", "Melting_Curves/meltCurve_tr_K7EKI8_K7EKI8_HUMAN_.pdf")</f>
        <v>Melting_Curves/meltCurve_tr_K7EKI8_K7EKI8_HUMAN_.pdf</v>
      </c>
      <c r="AA3757" t="s">
        <v>15175</v>
      </c>
      <c r="AB3757" t="s">
        <v>18976</v>
      </c>
    </row>
    <row r="3758" spans="1:28" x14ac:dyDescent="0.25">
      <c r="A3758" t="s">
        <v>3762</v>
      </c>
      <c r="B3758">
        <v>0.98876768158843997</v>
      </c>
      <c r="C3758">
        <v>0.82292593031389805</v>
      </c>
      <c r="D3758">
        <v>1.2674400003756401</v>
      </c>
      <c r="E3758">
        <v>1.2239084781241401</v>
      </c>
      <c r="F3758">
        <v>0.43204554431426101</v>
      </c>
      <c r="G3758">
        <v>0.56861273773184995</v>
      </c>
      <c r="H3758">
        <v>0.502609762108577</v>
      </c>
      <c r="I3758">
        <v>0.56590853456907197</v>
      </c>
      <c r="J3758">
        <v>0.66071306200407798</v>
      </c>
      <c r="K3758">
        <v>6.4329145861523204E-2</v>
      </c>
      <c r="L3758">
        <v>7103.5640244759297</v>
      </c>
      <c r="M3758">
        <v>137.25777323566399</v>
      </c>
      <c r="N3758">
        <v>52.753045883508896</v>
      </c>
      <c r="O3758">
        <v>51.7424672991609</v>
      </c>
      <c r="P3758">
        <v>-0.356196551869645</v>
      </c>
      <c r="Q3758">
        <v>0.46289411430641603</v>
      </c>
      <c r="R3758">
        <v>0.69567445664855199</v>
      </c>
      <c r="S3758" t="s">
        <v>7590</v>
      </c>
      <c r="T3758" t="s">
        <v>7662</v>
      </c>
      <c r="U3758" t="s">
        <v>7662</v>
      </c>
      <c r="V3758" t="s">
        <v>7662</v>
      </c>
      <c r="W3758">
        <v>26</v>
      </c>
      <c r="X3758" t="s">
        <v>11420</v>
      </c>
      <c r="Y3758">
        <v>0.6734843677094644</v>
      </c>
      <c r="Z3758" t="str">
        <f>HYPERLINK("Melting_Curves/meltCurve_tr_K7EME0_K7EME0_HUMAN_.pdf", "Melting_Curves/meltCurve_tr_K7EME0_K7EME0_HUMAN_.pdf")</f>
        <v>Melting_Curves/meltCurve_tr_K7EME0_K7EME0_HUMAN_.pdf</v>
      </c>
      <c r="AA3758" t="s">
        <v>12460</v>
      </c>
      <c r="AB3758" t="s">
        <v>16227</v>
      </c>
    </row>
    <row r="3759" spans="1:28" x14ac:dyDescent="0.25">
      <c r="A3759" t="s">
        <v>3763</v>
      </c>
      <c r="B3759">
        <v>0.98876768158843997</v>
      </c>
      <c r="C3759">
        <v>1.0227235042369001</v>
      </c>
      <c r="D3759">
        <v>0.92048982730409101</v>
      </c>
      <c r="E3759">
        <v>0.81161039702089599</v>
      </c>
      <c r="F3759">
        <v>0.53618777544673002</v>
      </c>
      <c r="G3759">
        <v>0.375017528965779</v>
      </c>
      <c r="H3759">
        <v>0.32600451787757401</v>
      </c>
      <c r="I3759">
        <v>0.37476910732246099</v>
      </c>
      <c r="J3759">
        <v>0.47375607910672701</v>
      </c>
      <c r="K3759">
        <v>0.56831650958944702</v>
      </c>
      <c r="L3759">
        <v>1909.0439127065299</v>
      </c>
      <c r="M3759">
        <v>37.504872395347</v>
      </c>
      <c r="N3759">
        <v>53.568826717783303</v>
      </c>
      <c r="O3759">
        <v>50.757168064430203</v>
      </c>
      <c r="P3759">
        <v>-0.106632611090633</v>
      </c>
      <c r="Q3759">
        <v>0.42275725982703699</v>
      </c>
      <c r="R3759">
        <v>0.93234901757645705</v>
      </c>
      <c r="S3759" t="s">
        <v>7591</v>
      </c>
      <c r="T3759" t="s">
        <v>7662</v>
      </c>
      <c r="U3759" t="s">
        <v>7662</v>
      </c>
      <c r="V3759" t="s">
        <v>7662</v>
      </c>
      <c r="W3759">
        <v>4</v>
      </c>
      <c r="X3759" t="s">
        <v>11421</v>
      </c>
      <c r="Y3759">
        <v>0.63482470595282015</v>
      </c>
      <c r="Z3759" t="str">
        <f>HYPERLINK("Melting_Curves/meltCurve_tr_K7EMY9_K7EMY9_HUMAN_.pdf", "Melting_Curves/meltCurve_tr_K7EMY9_K7EMY9_HUMAN_.pdf")</f>
        <v>Melting_Curves/meltCurve_tr_K7EMY9_K7EMY9_HUMAN_.pdf</v>
      </c>
      <c r="AA3759" t="s">
        <v>15176</v>
      </c>
      <c r="AB3759" t="s">
        <v>18977</v>
      </c>
    </row>
    <row r="3760" spans="1:28" x14ac:dyDescent="0.25">
      <c r="A3760" t="s">
        <v>3764</v>
      </c>
      <c r="B3760">
        <v>0.98876768158843997</v>
      </c>
      <c r="C3760">
        <v>1.24819732942882</v>
      </c>
      <c r="D3760">
        <v>1.10986492827632</v>
      </c>
      <c r="E3760">
        <v>1.00435377416071</v>
      </c>
      <c r="F3760">
        <v>1.1485860893997999</v>
      </c>
      <c r="G3760">
        <v>0.66117165715488901</v>
      </c>
      <c r="H3760">
        <v>0.386245867823795</v>
      </c>
      <c r="I3760">
        <v>0.100416754732567</v>
      </c>
      <c r="J3760">
        <v>6.0185183369194602E-2</v>
      </c>
      <c r="K3760">
        <v>0.14270765958678899</v>
      </c>
      <c r="L3760">
        <v>1801.60935370075</v>
      </c>
      <c r="M3760">
        <v>30.673157971943699</v>
      </c>
      <c r="N3760">
        <v>59.096955847524498</v>
      </c>
      <c r="O3760">
        <v>58.487736241252399</v>
      </c>
      <c r="P3760">
        <v>-0.119901971395318</v>
      </c>
      <c r="Q3760">
        <v>8.5486627816038996E-2</v>
      </c>
      <c r="R3760">
        <v>0.93735446776381004</v>
      </c>
      <c r="S3760" t="s">
        <v>7592</v>
      </c>
      <c r="T3760" t="s">
        <v>7662</v>
      </c>
      <c r="U3760" t="s">
        <v>7662</v>
      </c>
      <c r="V3760" t="s">
        <v>7662</v>
      </c>
      <c r="W3760">
        <v>1</v>
      </c>
      <c r="X3760" t="s">
        <v>11422</v>
      </c>
      <c r="Y3760">
        <v>0.66233142280194124</v>
      </c>
      <c r="Z3760" t="str">
        <f>HYPERLINK("Melting_Curves/meltCurve_tr_K7ENR6_K7ENR6_HUMAN_.pdf", "Melting_Curves/meltCurve_tr_K7ENR6_K7ENR6_HUMAN_.pdf")</f>
        <v>Melting_Curves/meltCurve_tr_K7ENR6_K7ENR6_HUMAN_.pdf</v>
      </c>
      <c r="AA3760" t="s">
        <v>15177</v>
      </c>
      <c r="AB3760" t="s">
        <v>18978</v>
      </c>
    </row>
    <row r="3761" spans="1:28" x14ac:dyDescent="0.25">
      <c r="A3761" t="s">
        <v>3765</v>
      </c>
      <c r="B3761">
        <v>0.98876768158843997</v>
      </c>
      <c r="C3761">
        <v>0.82582629624165005</v>
      </c>
      <c r="D3761">
        <v>0.77632822777355903</v>
      </c>
      <c r="E3761">
        <v>0.62670378831854101</v>
      </c>
      <c r="F3761">
        <v>0.35323491260733803</v>
      </c>
      <c r="G3761">
        <v>0.208902189522295</v>
      </c>
      <c r="H3761">
        <v>0.118361888831427</v>
      </c>
      <c r="I3761">
        <v>0.12732116166483501</v>
      </c>
      <c r="J3761">
        <v>0.16274724312709701</v>
      </c>
      <c r="K3761">
        <v>0.123243534313718</v>
      </c>
      <c r="L3761">
        <v>655.21180325799401</v>
      </c>
      <c r="M3761">
        <v>13.0882153635532</v>
      </c>
      <c r="N3761">
        <v>50.7768585285014</v>
      </c>
      <c r="O3761">
        <v>48.935787564569701</v>
      </c>
      <c r="P3761">
        <v>-6.1243041827215398E-2</v>
      </c>
      <c r="Q3761">
        <v>8.4226295109247298E-2</v>
      </c>
      <c r="R3761">
        <v>0.980649045592487</v>
      </c>
      <c r="S3761" t="s">
        <v>7593</v>
      </c>
      <c r="T3761" t="s">
        <v>7662</v>
      </c>
      <c r="U3761" t="s">
        <v>7662</v>
      </c>
      <c r="V3761" t="s">
        <v>7662</v>
      </c>
      <c r="W3761">
        <v>1</v>
      </c>
      <c r="X3761" t="s">
        <v>11423</v>
      </c>
      <c r="Y3761">
        <v>0.41884822774397001</v>
      </c>
      <c r="Z3761" t="str">
        <f>HYPERLINK("Melting_Curves/meltCurve_tr_K7ENT8_K7ENT8_HUMAN_.pdf", "Melting_Curves/meltCurve_tr_K7ENT8_K7ENT8_HUMAN_.pdf")</f>
        <v>Melting_Curves/meltCurve_tr_K7ENT8_K7ENT8_HUMAN_.pdf</v>
      </c>
      <c r="AA3761" t="s">
        <v>15178</v>
      </c>
      <c r="AB3761" t="s">
        <v>18979</v>
      </c>
    </row>
    <row r="3762" spans="1:28" x14ac:dyDescent="0.25">
      <c r="A3762" t="s">
        <v>3766</v>
      </c>
      <c r="B3762">
        <v>0.98876768158843997</v>
      </c>
      <c r="C3762">
        <v>0.85197624955134799</v>
      </c>
      <c r="D3762">
        <v>0.54061058475346602</v>
      </c>
      <c r="E3762">
        <v>0.27851920619787301</v>
      </c>
      <c r="F3762">
        <v>0.14980062709793299</v>
      </c>
      <c r="G3762">
        <v>0.103077501978981</v>
      </c>
      <c r="H3762">
        <v>8.4976017278320201E-2</v>
      </c>
      <c r="I3762">
        <v>9.0038280299250095E-2</v>
      </c>
      <c r="J3762">
        <v>0.111088369500055</v>
      </c>
      <c r="K3762">
        <v>6.8115170509769493E-2</v>
      </c>
      <c r="L3762">
        <v>929.18483514262095</v>
      </c>
      <c r="M3762">
        <v>20.100770491110499</v>
      </c>
      <c r="N3762">
        <v>46.670616200214099</v>
      </c>
      <c r="O3762">
        <v>45.776097739627303</v>
      </c>
      <c r="P3762">
        <v>-0.10022160309768301</v>
      </c>
      <c r="Q3762">
        <v>8.7078239860554296E-2</v>
      </c>
      <c r="R3762">
        <v>0.99698436028514703</v>
      </c>
      <c r="S3762" t="s">
        <v>7594</v>
      </c>
      <c r="T3762" t="s">
        <v>7662</v>
      </c>
      <c r="U3762" t="s">
        <v>7662</v>
      </c>
      <c r="V3762" t="s">
        <v>7662</v>
      </c>
      <c r="W3762">
        <v>3</v>
      </c>
      <c r="X3762" t="s">
        <v>11424</v>
      </c>
      <c r="Y3762">
        <v>0.29029344634624549</v>
      </c>
      <c r="Z3762" t="str">
        <f>HYPERLINK("Melting_Curves/meltCurve_tr_K7EP32_K7EP32_HUMAN_.pdf", "Melting_Curves/meltCurve_tr_K7EP32_K7EP32_HUMAN_.pdf")</f>
        <v>Melting_Curves/meltCurve_tr_K7EP32_K7EP32_HUMAN_.pdf</v>
      </c>
      <c r="AA3762" t="s">
        <v>15179</v>
      </c>
      <c r="AB3762" t="s">
        <v>18980</v>
      </c>
    </row>
    <row r="3763" spans="1:28" x14ac:dyDescent="0.25">
      <c r="A3763" t="s">
        <v>3767</v>
      </c>
      <c r="B3763">
        <v>0.98876768158843997</v>
      </c>
      <c r="C3763">
        <v>1.0667912224656999</v>
      </c>
      <c r="D3763">
        <v>0.88837212317572201</v>
      </c>
      <c r="E3763">
        <v>0.51277442072294299</v>
      </c>
      <c r="F3763">
        <v>0.54062120784007495</v>
      </c>
      <c r="G3763">
        <v>0.31173169014113999</v>
      </c>
      <c r="H3763">
        <v>0.25283076806887</v>
      </c>
      <c r="I3763">
        <v>0.24264853271039999</v>
      </c>
      <c r="J3763">
        <v>0.24708837596231201</v>
      </c>
      <c r="K3763">
        <v>0.20258877800518299</v>
      </c>
      <c r="L3763">
        <v>882.55248193213697</v>
      </c>
      <c r="M3763">
        <v>17.608261691234301</v>
      </c>
      <c r="N3763">
        <v>51.912461418229398</v>
      </c>
      <c r="O3763">
        <v>49.4884441981173</v>
      </c>
      <c r="P3763">
        <v>-6.8706293809497401E-2</v>
      </c>
      <c r="Q3763">
        <v>0.22763876777688</v>
      </c>
      <c r="R3763">
        <v>0.96659362122329995</v>
      </c>
      <c r="S3763" t="s">
        <v>7595</v>
      </c>
      <c r="T3763" t="s">
        <v>7662</v>
      </c>
      <c r="U3763" t="s">
        <v>7662</v>
      </c>
      <c r="V3763" t="s">
        <v>7662</v>
      </c>
      <c r="W3763">
        <v>2</v>
      </c>
      <c r="X3763" t="s">
        <v>11425</v>
      </c>
      <c r="Y3763">
        <v>0.5019271182520737</v>
      </c>
      <c r="Z3763" t="str">
        <f>HYPERLINK("Melting_Curves/meltCurve_tr_K7EPS8_K7EPS8_HUMAN_.pdf", "Melting_Curves/meltCurve_tr_K7EPS8_K7EPS8_HUMAN_.pdf")</f>
        <v>Melting_Curves/meltCurve_tr_K7EPS8_K7EPS8_HUMAN_.pdf</v>
      </c>
      <c r="AA3763" t="s">
        <v>15180</v>
      </c>
      <c r="AB3763" t="s">
        <v>18981</v>
      </c>
    </row>
    <row r="3764" spans="1:28" x14ac:dyDescent="0.25">
      <c r="A3764" t="s">
        <v>3768</v>
      </c>
      <c r="B3764">
        <v>0.98876768158843997</v>
      </c>
      <c r="C3764">
        <v>1.1014085839299199</v>
      </c>
      <c r="D3764">
        <v>0.92654877111080602</v>
      </c>
      <c r="E3764">
        <v>0.84550249449751502</v>
      </c>
      <c r="F3764">
        <v>1.01786041270714</v>
      </c>
      <c r="G3764">
        <v>0.68528121541016995</v>
      </c>
      <c r="H3764">
        <v>0.563236081154048</v>
      </c>
      <c r="I3764">
        <v>0.55425173167281605</v>
      </c>
      <c r="J3764">
        <v>0.56171306559408896</v>
      </c>
      <c r="K3764">
        <v>0.22063784066908901</v>
      </c>
      <c r="L3764">
        <v>573.42739860415895</v>
      </c>
      <c r="M3764">
        <v>8.88489960703461</v>
      </c>
      <c r="N3764">
        <v>64.539542340253305</v>
      </c>
      <c r="O3764">
        <v>61.521127312621601</v>
      </c>
      <c r="P3764">
        <v>-3.6132603446913103E-2</v>
      </c>
      <c r="Q3764">
        <v>0</v>
      </c>
      <c r="R3764">
        <v>0.87278104101184295</v>
      </c>
      <c r="S3764" t="s">
        <v>7596</v>
      </c>
      <c r="T3764" t="s">
        <v>7662</v>
      </c>
      <c r="U3764" t="s">
        <v>7662</v>
      </c>
      <c r="V3764" t="s">
        <v>7662</v>
      </c>
      <c r="W3764">
        <v>8</v>
      </c>
      <c r="X3764" t="s">
        <v>11426</v>
      </c>
      <c r="Y3764">
        <v>0.75896198676389992</v>
      </c>
      <c r="Z3764" t="str">
        <f>HYPERLINK("Melting_Curves/meltCurve_tr_K7ER15_K7ER15_HUMAN_.pdf", "Melting_Curves/meltCurve_tr_K7ER15_K7ER15_HUMAN_.pdf")</f>
        <v>Melting_Curves/meltCurve_tr_K7ER15_K7ER15_HUMAN_.pdf</v>
      </c>
      <c r="AA3764" t="s">
        <v>15181</v>
      </c>
      <c r="AB3764" t="s">
        <v>18982</v>
      </c>
    </row>
    <row r="3765" spans="1:28" x14ac:dyDescent="0.25">
      <c r="A3765" t="s">
        <v>3769</v>
      </c>
      <c r="B3765">
        <v>0.98876768158843997</v>
      </c>
      <c r="C3765">
        <v>1.04631710574196</v>
      </c>
      <c r="D3765">
        <v>0.937365549901651</v>
      </c>
      <c r="E3765">
        <v>0.56372045325148601</v>
      </c>
      <c r="F3765">
        <v>0.41115635778829501</v>
      </c>
      <c r="G3765">
        <v>0.23852113309540199</v>
      </c>
      <c r="H3765">
        <v>0.158718085272086</v>
      </c>
      <c r="I3765">
        <v>0.12832809141351201</v>
      </c>
      <c r="J3765">
        <v>0.19210418195452</v>
      </c>
      <c r="K3765">
        <v>0.133418415757523</v>
      </c>
      <c r="L3765">
        <v>1085.20596990032</v>
      </c>
      <c r="M3765">
        <v>21.515857393222099</v>
      </c>
      <c r="N3765">
        <v>51.299881296639903</v>
      </c>
      <c r="O3765">
        <v>50.0078610095904</v>
      </c>
      <c r="P3765">
        <v>-9.1241588454821707E-2</v>
      </c>
      <c r="Q3765">
        <v>0.15175392317134501</v>
      </c>
      <c r="R3765">
        <v>0.99002191879244095</v>
      </c>
      <c r="S3765" t="s">
        <v>7597</v>
      </c>
      <c r="T3765" t="s">
        <v>7662</v>
      </c>
      <c r="U3765" t="s">
        <v>7662</v>
      </c>
      <c r="V3765" t="s">
        <v>7662</v>
      </c>
      <c r="W3765">
        <v>2</v>
      </c>
      <c r="X3765" t="s">
        <v>11427</v>
      </c>
      <c r="Y3765">
        <v>0.45711199761750593</v>
      </c>
      <c r="Z3765" t="str">
        <f>HYPERLINK("Melting_Curves/meltCurve_tr_K7ERI9_K7ERI9_HUMAN_.pdf", "Melting_Curves/meltCurve_tr_K7ERI9_K7ERI9_HUMAN_.pdf")</f>
        <v>Melting_Curves/meltCurve_tr_K7ERI9_K7ERI9_HUMAN_.pdf</v>
      </c>
      <c r="AA3765" t="s">
        <v>15182</v>
      </c>
      <c r="AB3765" t="s">
        <v>18983</v>
      </c>
    </row>
    <row r="3766" spans="1:28" x14ac:dyDescent="0.25">
      <c r="A3766" t="s">
        <v>3770</v>
      </c>
      <c r="B3766">
        <v>0.98876768158843997</v>
      </c>
      <c r="C3766">
        <v>0.93233573525637703</v>
      </c>
      <c r="D3766">
        <v>0.98319970926918798</v>
      </c>
      <c r="E3766">
        <v>0.66573313798544298</v>
      </c>
      <c r="F3766">
        <v>0.32146907335399399</v>
      </c>
      <c r="G3766">
        <v>0.119506139070386</v>
      </c>
      <c r="H3766">
        <v>7.95121472076286E-2</v>
      </c>
      <c r="I3766">
        <v>8.1748021717315197E-2</v>
      </c>
      <c r="J3766">
        <v>0.12679641579557099</v>
      </c>
      <c r="K3766">
        <v>8.9113118906551103E-2</v>
      </c>
      <c r="L3766">
        <v>1505.9465459574999</v>
      </c>
      <c r="M3766">
        <v>29.5439639691003</v>
      </c>
      <c r="N3766">
        <v>51.3205657955885</v>
      </c>
      <c r="O3766">
        <v>50.741245402241098</v>
      </c>
      <c r="P3766">
        <v>-0.132367270858743</v>
      </c>
      <c r="Q3766">
        <v>9.0652362089750499E-2</v>
      </c>
      <c r="R3766">
        <v>0.99561103870761802</v>
      </c>
      <c r="S3766" t="s">
        <v>7598</v>
      </c>
      <c r="T3766" t="s">
        <v>7662</v>
      </c>
      <c r="U3766" t="s">
        <v>7662</v>
      </c>
      <c r="V3766" t="s">
        <v>7662</v>
      </c>
      <c r="W3766">
        <v>3</v>
      </c>
      <c r="X3766" t="s">
        <v>11428</v>
      </c>
      <c r="Y3766">
        <v>0.42915651091789692</v>
      </c>
      <c r="Z3766" t="str">
        <f>HYPERLINK("Melting_Curves/meltCurve_tr_K7ES31_K7ES31_HUMAN_.pdf", "Melting_Curves/meltCurve_tr_K7ES31_K7ES31_HUMAN_.pdf")</f>
        <v>Melting_Curves/meltCurve_tr_K7ES31_K7ES31_HUMAN_.pdf</v>
      </c>
      <c r="AA3766" t="s">
        <v>15183</v>
      </c>
      <c r="AB3766" t="s">
        <v>18984</v>
      </c>
    </row>
    <row r="3767" spans="1:28" x14ac:dyDescent="0.25">
      <c r="A3767" t="s">
        <v>3771</v>
      </c>
      <c r="B3767">
        <v>0.98876768158843997</v>
      </c>
      <c r="C3767">
        <v>1.0744816975667</v>
      </c>
      <c r="D3767">
        <v>0.86515044127470697</v>
      </c>
      <c r="E3767">
        <v>0.77670595746025595</v>
      </c>
      <c r="F3767">
        <v>0.94374971752496795</v>
      </c>
      <c r="G3767">
        <v>0.74887384964178705</v>
      </c>
      <c r="H3767">
        <v>0.58858783818573301</v>
      </c>
      <c r="I3767">
        <v>0.60629062925230603</v>
      </c>
      <c r="J3767">
        <v>0.71270470152860899</v>
      </c>
      <c r="K3767">
        <v>0.78603083545948804</v>
      </c>
      <c r="L3767">
        <v>677.00482159073601</v>
      </c>
      <c r="M3767">
        <v>13.2736162250968</v>
      </c>
      <c r="O3767">
        <v>49.887826788102203</v>
      </c>
      <c r="P3767">
        <v>-2.17804459101235E-2</v>
      </c>
      <c r="Q3767">
        <v>0.67261290390696904</v>
      </c>
      <c r="R3767">
        <v>0.66428345733712102</v>
      </c>
      <c r="S3767" t="s">
        <v>7599</v>
      </c>
      <c r="T3767" t="s">
        <v>7662</v>
      </c>
      <c r="U3767" t="s">
        <v>7662</v>
      </c>
      <c r="V3767" t="s">
        <v>7662</v>
      </c>
      <c r="W3767">
        <v>9</v>
      </c>
      <c r="X3767" t="s">
        <v>11429</v>
      </c>
      <c r="Y3767">
        <v>0.80188820450904141</v>
      </c>
      <c r="Z3767" t="str">
        <f>HYPERLINK("Melting_Curves/meltCurve_tr_K7ESE3_K7ESE3_HUMAN_.pdf", "Melting_Curves/meltCurve_tr_K7ESE3_K7ESE3_HUMAN_.pdf")</f>
        <v>Melting_Curves/meltCurve_tr_K7ESE3_K7ESE3_HUMAN_.pdf</v>
      </c>
      <c r="AA3767" t="s">
        <v>15184</v>
      </c>
      <c r="AB3767" t="s">
        <v>18985</v>
      </c>
    </row>
    <row r="3768" spans="1:28" x14ac:dyDescent="0.25">
      <c r="A3768" t="s">
        <v>3772</v>
      </c>
      <c r="B3768">
        <v>0.98876768158843997</v>
      </c>
      <c r="C3768">
        <v>0.951149870165101</v>
      </c>
      <c r="D3768">
        <v>0.88351902714883501</v>
      </c>
      <c r="E3768">
        <v>0.53756481539919598</v>
      </c>
      <c r="F3768">
        <v>0.15833547550212199</v>
      </c>
      <c r="G3768">
        <v>8.2502978215005296E-2</v>
      </c>
      <c r="H3768">
        <v>6.1065685688649403E-2</v>
      </c>
      <c r="I3768">
        <v>4.40918511331648E-2</v>
      </c>
      <c r="J3768">
        <v>9.4893423821224204E-2</v>
      </c>
      <c r="K3768">
        <v>4.7115560252833998E-2</v>
      </c>
      <c r="L3768">
        <v>1411.8888848163101</v>
      </c>
      <c r="M3768">
        <v>28.341300499814501</v>
      </c>
      <c r="N3768">
        <v>50.022886320526801</v>
      </c>
      <c r="O3768">
        <v>49.571325757941899</v>
      </c>
      <c r="P3768">
        <v>-0.135077655123786</v>
      </c>
      <c r="Q3768">
        <v>5.4959001236457201E-2</v>
      </c>
      <c r="R3768">
        <v>0.99501172359519996</v>
      </c>
      <c r="S3768" t="s">
        <v>7600</v>
      </c>
      <c r="T3768" t="s">
        <v>7662</v>
      </c>
      <c r="U3768" t="s">
        <v>7662</v>
      </c>
      <c r="V3768" t="s">
        <v>7662</v>
      </c>
      <c r="W3768">
        <v>16</v>
      </c>
      <c r="X3768" t="s">
        <v>11430</v>
      </c>
      <c r="Y3768">
        <v>0.3707598906704585</v>
      </c>
      <c r="Z3768" t="str">
        <f>HYPERLINK("Melting_Curves/meltCurve_tr_M0QWZ7_M0QWZ7_HUMAN_.pdf", "Melting_Curves/meltCurve_tr_M0QWZ7_M0QWZ7_HUMAN_.pdf")</f>
        <v>Melting_Curves/meltCurve_tr_M0QWZ7_M0QWZ7_HUMAN_.pdf</v>
      </c>
      <c r="AA3768" t="s">
        <v>15185</v>
      </c>
      <c r="AB3768" t="s">
        <v>18986</v>
      </c>
    </row>
    <row r="3769" spans="1:28" x14ac:dyDescent="0.25">
      <c r="A3769" t="s">
        <v>3773</v>
      </c>
      <c r="B3769">
        <v>0.98876768158843997</v>
      </c>
      <c r="C3769">
        <v>1.1786724834745499</v>
      </c>
      <c r="D3769">
        <v>0.97966119012517405</v>
      </c>
      <c r="E3769">
        <v>0.69669242206700499</v>
      </c>
      <c r="F3769">
        <v>0.407597583448151</v>
      </c>
      <c r="G3769">
        <v>0.349964275606924</v>
      </c>
      <c r="H3769">
        <v>0.23974729959667199</v>
      </c>
      <c r="I3769">
        <v>0.23166470004689099</v>
      </c>
      <c r="J3769">
        <v>0.21587423477654699</v>
      </c>
      <c r="K3769">
        <v>0.427506754049019</v>
      </c>
      <c r="L3769">
        <v>1723.43172412476</v>
      </c>
      <c r="M3769">
        <v>34.1394446791398</v>
      </c>
      <c r="N3769">
        <v>51.792876626267201</v>
      </c>
      <c r="O3769">
        <v>50.309862146824798</v>
      </c>
      <c r="P3769">
        <v>-0.120574494175335</v>
      </c>
      <c r="Q3769">
        <v>0.28926064439948601</v>
      </c>
      <c r="R3769">
        <v>0.94425999910362202</v>
      </c>
      <c r="S3769" t="s">
        <v>7601</v>
      </c>
      <c r="T3769" t="s">
        <v>7662</v>
      </c>
      <c r="U3769" t="s">
        <v>7662</v>
      </c>
      <c r="V3769" t="s">
        <v>7662</v>
      </c>
      <c r="W3769">
        <v>4</v>
      </c>
      <c r="X3769" t="s">
        <v>11431</v>
      </c>
      <c r="Y3769">
        <v>0.54101034827219652</v>
      </c>
      <c r="Z3769" t="str">
        <f>HYPERLINK("Melting_Curves/meltCurve_tr_M0QX35_M0QX35_HUMAN_.pdf", "Melting_Curves/meltCurve_tr_M0QX35_M0QX35_HUMAN_.pdf")</f>
        <v>Melting_Curves/meltCurve_tr_M0QX35_M0QX35_HUMAN_.pdf</v>
      </c>
      <c r="AA3769" t="s">
        <v>15186</v>
      </c>
      <c r="AB3769" t="s">
        <v>18987</v>
      </c>
    </row>
    <row r="3770" spans="1:28" x14ac:dyDescent="0.25">
      <c r="A3770" t="s">
        <v>3774</v>
      </c>
      <c r="B3770">
        <v>0.98876768158843997</v>
      </c>
      <c r="C3770">
        <v>1.0671686394716999</v>
      </c>
      <c r="D3770">
        <v>0.83580868016824195</v>
      </c>
      <c r="E3770">
        <v>0.67885251093365895</v>
      </c>
      <c r="F3770">
        <v>0.83348143427592303</v>
      </c>
      <c r="G3770">
        <v>0.49573832156258302</v>
      </c>
      <c r="H3770">
        <v>0.37564544397348998</v>
      </c>
      <c r="I3770">
        <v>0.46702449434654297</v>
      </c>
      <c r="J3770">
        <v>0.53147546390016598</v>
      </c>
      <c r="K3770">
        <v>0.624080949710483</v>
      </c>
      <c r="L3770">
        <v>788.11090499663601</v>
      </c>
      <c r="M3770">
        <v>15.678464104750001</v>
      </c>
      <c r="N3770">
        <v>68.680403277834699</v>
      </c>
      <c r="O3770">
        <v>49.470643236822397</v>
      </c>
      <c r="P3770">
        <v>-4.0211021281162503E-2</v>
      </c>
      <c r="Q3770">
        <v>0.49252780894431503</v>
      </c>
      <c r="R3770">
        <v>0.79761609324597005</v>
      </c>
      <c r="S3770" t="s">
        <v>7602</v>
      </c>
      <c r="T3770" t="s">
        <v>7662</v>
      </c>
      <c r="U3770" t="s">
        <v>7662</v>
      </c>
      <c r="V3770" t="s">
        <v>7662</v>
      </c>
      <c r="W3770">
        <v>4</v>
      </c>
      <c r="X3770" t="s">
        <v>11432</v>
      </c>
      <c r="Y3770">
        <v>0.67730370807965745</v>
      </c>
      <c r="Z3770" t="str">
        <f>HYPERLINK("Melting_Curves/meltCurve_tr_M0QY97_M0QY97_HUMAN_.pdf", "Melting_Curves/meltCurve_tr_M0QY97_M0QY97_HUMAN_.pdf")</f>
        <v>Melting_Curves/meltCurve_tr_M0QY97_M0QY97_HUMAN_.pdf</v>
      </c>
      <c r="AA3770" t="s">
        <v>15187</v>
      </c>
      <c r="AB3770" t="s">
        <v>18988</v>
      </c>
    </row>
    <row r="3771" spans="1:28" x14ac:dyDescent="0.25">
      <c r="A3771" t="s">
        <v>3775</v>
      </c>
      <c r="B3771">
        <v>0.98876768158843997</v>
      </c>
      <c r="C3771">
        <v>0.88389128801750105</v>
      </c>
      <c r="D3771">
        <v>0.956112953241262</v>
      </c>
      <c r="E3771">
        <v>0.79632492877374506</v>
      </c>
      <c r="F3771">
        <v>0.62323738491413405</v>
      </c>
      <c r="G3771">
        <v>0.37106881851203399</v>
      </c>
      <c r="H3771">
        <v>0.16101592104964799</v>
      </c>
      <c r="I3771">
        <v>0.13308377433100099</v>
      </c>
      <c r="J3771">
        <v>0.131390519737557</v>
      </c>
      <c r="K3771">
        <v>0.182612392308898</v>
      </c>
      <c r="L3771">
        <v>930.02320479754599</v>
      </c>
      <c r="M3771">
        <v>17.3178806719955</v>
      </c>
      <c r="N3771">
        <v>54.485101811613198</v>
      </c>
      <c r="O3771">
        <v>53.002327843705103</v>
      </c>
      <c r="P3771">
        <v>-7.2699990566950298E-2</v>
      </c>
      <c r="Q3771">
        <v>0.1100418254661</v>
      </c>
      <c r="R3771">
        <v>0.98455239106854298</v>
      </c>
      <c r="S3771" t="s">
        <v>7603</v>
      </c>
      <c r="T3771" t="s">
        <v>7662</v>
      </c>
      <c r="U3771" t="s">
        <v>7662</v>
      </c>
      <c r="V3771" t="s">
        <v>7662</v>
      </c>
      <c r="W3771">
        <v>2</v>
      </c>
      <c r="X3771" t="s">
        <v>11433</v>
      </c>
      <c r="Y3771">
        <v>0.53175186482673376</v>
      </c>
      <c r="Z3771" t="str">
        <f>HYPERLINK("Melting_Curves/meltCurve_tr_M0QZ28_M0QZ28_HUMAN_.pdf", "Melting_Curves/meltCurve_tr_M0QZ28_M0QZ28_HUMAN_.pdf")</f>
        <v>Melting_Curves/meltCurve_tr_M0QZ28_M0QZ28_HUMAN_.pdf</v>
      </c>
      <c r="AA3771" t="s">
        <v>15188</v>
      </c>
      <c r="AB3771" t="s">
        <v>18989</v>
      </c>
    </row>
    <row r="3772" spans="1:28" x14ac:dyDescent="0.25">
      <c r="A3772" t="s">
        <v>3776</v>
      </c>
      <c r="B3772">
        <v>0.98876768158843997</v>
      </c>
      <c r="C3772">
        <v>0.75814298025317095</v>
      </c>
      <c r="D3772">
        <v>0.84091165577295202</v>
      </c>
      <c r="E3772">
        <v>0.54841889593034099</v>
      </c>
      <c r="F3772">
        <v>0.45727176958976401</v>
      </c>
      <c r="G3772">
        <v>0.27324952060199098</v>
      </c>
      <c r="H3772">
        <v>0.28506913970450598</v>
      </c>
      <c r="I3772">
        <v>0.202149695845669</v>
      </c>
      <c r="J3772">
        <v>0.40856258260449002</v>
      </c>
      <c r="K3772">
        <v>0.34727001525580797</v>
      </c>
      <c r="L3772">
        <v>687.247021918119</v>
      </c>
      <c r="M3772">
        <v>14.291694413475801</v>
      </c>
      <c r="N3772">
        <v>51.066989354442001</v>
      </c>
      <c r="O3772">
        <v>47.175067815192797</v>
      </c>
      <c r="P3772">
        <v>-5.4323129355417298E-2</v>
      </c>
      <c r="Q3772">
        <v>0.28283255501891602</v>
      </c>
      <c r="R3772">
        <v>0.90655302368899005</v>
      </c>
      <c r="S3772" t="s">
        <v>7604</v>
      </c>
      <c r="T3772" t="s">
        <v>7662</v>
      </c>
      <c r="U3772" t="s">
        <v>7662</v>
      </c>
      <c r="V3772" t="s">
        <v>7662</v>
      </c>
      <c r="W3772">
        <v>2</v>
      </c>
      <c r="X3772" t="s">
        <v>11434</v>
      </c>
      <c r="Y3772">
        <v>0.49636102249347752</v>
      </c>
      <c r="Z3772" t="str">
        <f>HYPERLINK("Melting_Curves/meltCurve_tr_M0QZS0_M0QZS0_HUMAN_.pdf", "Melting_Curves/meltCurve_tr_M0QZS0_M0QZS0_HUMAN_.pdf")</f>
        <v>Melting_Curves/meltCurve_tr_M0QZS0_M0QZS0_HUMAN_.pdf</v>
      </c>
      <c r="AA3772" t="s">
        <v>15189</v>
      </c>
      <c r="AB3772" t="s">
        <v>18990</v>
      </c>
    </row>
    <row r="3773" spans="1:28" x14ac:dyDescent="0.25">
      <c r="A3773" t="s">
        <v>3777</v>
      </c>
      <c r="B3773">
        <v>0.98876768158843997</v>
      </c>
      <c r="C3773">
        <v>0.73453170995816097</v>
      </c>
      <c r="D3773">
        <v>0.56489929906120195</v>
      </c>
      <c r="E3773">
        <v>0.25870702761264802</v>
      </c>
      <c r="F3773">
        <v>0.198941192163724</v>
      </c>
      <c r="G3773">
        <v>0.120269823088189</v>
      </c>
      <c r="H3773">
        <v>7.9478496463776097E-2</v>
      </c>
      <c r="I3773">
        <v>6.9765327570289901E-2</v>
      </c>
      <c r="J3773">
        <v>0.15481963060564599</v>
      </c>
      <c r="K3773">
        <v>0.108067537633374</v>
      </c>
      <c r="L3773">
        <v>787.453385475407</v>
      </c>
      <c r="M3773">
        <v>17.173178625080201</v>
      </c>
      <c r="N3773">
        <v>46.443353717481699</v>
      </c>
      <c r="O3773">
        <v>45.245461850582799</v>
      </c>
      <c r="P3773">
        <v>-8.5599232846820195E-2</v>
      </c>
      <c r="Q3773">
        <v>9.7954564493602694E-2</v>
      </c>
      <c r="R3773">
        <v>0.98646064453937599</v>
      </c>
      <c r="S3773" t="s">
        <v>7605</v>
      </c>
      <c r="T3773" t="s">
        <v>7662</v>
      </c>
      <c r="U3773" t="s">
        <v>7662</v>
      </c>
      <c r="V3773" t="s">
        <v>7662</v>
      </c>
      <c r="W3773">
        <v>4</v>
      </c>
      <c r="X3773" t="s">
        <v>11435</v>
      </c>
      <c r="Y3773">
        <v>0.29386348110067512</v>
      </c>
      <c r="Z3773" t="str">
        <f>HYPERLINK("Melting_Curves/meltCurve_tr_M0R0F0_M0R0F0_HUMAN_.pdf", "Melting_Curves/meltCurve_tr_M0R0F0_M0R0F0_HUMAN_.pdf")</f>
        <v>Melting_Curves/meltCurve_tr_M0R0F0_M0R0F0_HUMAN_.pdf</v>
      </c>
      <c r="AA3773" t="s">
        <v>15190</v>
      </c>
      <c r="AB3773" t="s">
        <v>18991</v>
      </c>
    </row>
    <row r="3774" spans="1:28" x14ac:dyDescent="0.25">
      <c r="A3774" t="s">
        <v>3778</v>
      </c>
      <c r="B3774">
        <v>0.98876768158843997</v>
      </c>
      <c r="C3774">
        <v>1.0551066711972601</v>
      </c>
      <c r="D3774">
        <v>0.989715325341325</v>
      </c>
      <c r="E3774">
        <v>1.0679451690591499</v>
      </c>
      <c r="F3774">
        <v>0.62409957311847497</v>
      </c>
      <c r="G3774">
        <v>0.49486635037878601</v>
      </c>
      <c r="H3774">
        <v>0.25054644566934697</v>
      </c>
      <c r="I3774">
        <v>0.35331754294099299</v>
      </c>
      <c r="J3774">
        <v>0</v>
      </c>
      <c r="K3774">
        <v>0</v>
      </c>
      <c r="L3774">
        <v>859.56708938373504</v>
      </c>
      <c r="M3774">
        <v>15.06468654156</v>
      </c>
      <c r="N3774">
        <v>57.058411906104602</v>
      </c>
      <c r="O3774">
        <v>56.081310108918203</v>
      </c>
      <c r="P3774">
        <v>-6.7162228257543297E-2</v>
      </c>
      <c r="Q3774">
        <v>0</v>
      </c>
      <c r="R3774">
        <v>0.93746024018822605</v>
      </c>
      <c r="S3774" t="s">
        <v>7606</v>
      </c>
      <c r="T3774" t="s">
        <v>7662</v>
      </c>
      <c r="U3774" t="s">
        <v>7662</v>
      </c>
      <c r="V3774" t="s">
        <v>7662</v>
      </c>
      <c r="W3774">
        <v>2</v>
      </c>
      <c r="X3774" t="s">
        <v>11436</v>
      </c>
      <c r="Y3774">
        <v>0.58427013525896165</v>
      </c>
      <c r="Z3774" t="str">
        <f>HYPERLINK("Melting_Curves/meltCurve_tr_M0R0I0_M0R0I0_HUMAN_.pdf", "Melting_Curves/meltCurve_tr_M0R0I0_M0R0I0_HUMAN_.pdf")</f>
        <v>Melting_Curves/meltCurve_tr_M0R0I0_M0R0I0_HUMAN_.pdf</v>
      </c>
      <c r="AA3774" t="s">
        <v>15191</v>
      </c>
      <c r="AB3774" t="s">
        <v>18992</v>
      </c>
    </row>
    <row r="3775" spans="1:28" x14ac:dyDescent="0.25">
      <c r="A3775" t="s">
        <v>3779</v>
      </c>
      <c r="B3775">
        <v>0.98876768158843997</v>
      </c>
      <c r="C3775">
        <v>0.94516589803510498</v>
      </c>
      <c r="D3775">
        <v>0.89427210674431401</v>
      </c>
      <c r="E3775">
        <v>0.78405525971886203</v>
      </c>
      <c r="F3775">
        <v>0.51318480280426904</v>
      </c>
      <c r="G3775">
        <v>0.31347894574618301</v>
      </c>
      <c r="H3775">
        <v>0.28471787253085201</v>
      </c>
      <c r="I3775">
        <v>0.28307651694618802</v>
      </c>
      <c r="J3775">
        <v>0.16115334841593901</v>
      </c>
      <c r="K3775">
        <v>0.18399856165845299</v>
      </c>
      <c r="L3775">
        <v>865.50441226647501</v>
      </c>
      <c r="M3775">
        <v>16.594381205575399</v>
      </c>
      <c r="N3775">
        <v>53.665934364950601</v>
      </c>
      <c r="O3775">
        <v>51.416708088402302</v>
      </c>
      <c r="P3775">
        <v>-6.5643805509771599E-2</v>
      </c>
      <c r="Q3775">
        <v>0.18648150064640001</v>
      </c>
      <c r="R3775">
        <v>0.98698144894134199</v>
      </c>
      <c r="S3775" t="s">
        <v>7607</v>
      </c>
      <c r="T3775" t="s">
        <v>7662</v>
      </c>
      <c r="U3775" t="s">
        <v>7662</v>
      </c>
      <c r="V3775" t="s">
        <v>7662</v>
      </c>
      <c r="W3775">
        <v>1</v>
      </c>
      <c r="X3775" t="s">
        <v>11437</v>
      </c>
      <c r="Y3775">
        <v>0.53158136822947821</v>
      </c>
      <c r="Z3775" t="str">
        <f>HYPERLINK("Melting_Curves/meltCurve_tr_M0R2P8_M0R2P8_HUMAN_.pdf", "Melting_Curves/meltCurve_tr_M0R2P8_M0R2P8_HUMAN_.pdf")</f>
        <v>Melting_Curves/meltCurve_tr_M0R2P8_M0R2P8_HUMAN_.pdf</v>
      </c>
      <c r="AA3775" t="s">
        <v>15192</v>
      </c>
      <c r="AB3775" t="s">
        <v>18993</v>
      </c>
    </row>
    <row r="3776" spans="1:28" x14ac:dyDescent="0.25">
      <c r="A3776" t="s">
        <v>3780</v>
      </c>
      <c r="B3776">
        <v>0.98876768158843997</v>
      </c>
      <c r="C3776">
        <v>0.86754398247051501</v>
      </c>
      <c r="D3776">
        <v>0.857954174599316</v>
      </c>
      <c r="E3776">
        <v>0.62337834802620895</v>
      </c>
      <c r="F3776">
        <v>0.33887645485965201</v>
      </c>
      <c r="G3776">
        <v>0.148992026062298</v>
      </c>
      <c r="H3776">
        <v>7.9705538551211597E-2</v>
      </c>
      <c r="I3776">
        <v>5.5944042878400699E-2</v>
      </c>
      <c r="J3776">
        <v>6.5702373961893906E-2</v>
      </c>
      <c r="K3776">
        <v>4.2022601848093102E-2</v>
      </c>
      <c r="L3776">
        <v>824.993813307447</v>
      </c>
      <c r="M3776">
        <v>16.217397827670101</v>
      </c>
      <c r="N3776">
        <v>51.033618364396702</v>
      </c>
      <c r="O3776">
        <v>50.1162778165302</v>
      </c>
      <c r="P3776">
        <v>-7.8866185437327499E-2</v>
      </c>
      <c r="Q3776">
        <v>2.5198564078259302E-2</v>
      </c>
      <c r="R3776">
        <v>0.99202520552165996</v>
      </c>
      <c r="S3776" t="s">
        <v>7608</v>
      </c>
      <c r="T3776" t="s">
        <v>7662</v>
      </c>
      <c r="U3776" t="s">
        <v>7662</v>
      </c>
      <c r="V3776" t="s">
        <v>7662</v>
      </c>
      <c r="W3776">
        <v>8</v>
      </c>
      <c r="X3776" t="s">
        <v>11438</v>
      </c>
      <c r="Y3776">
        <v>0.39823076870721341</v>
      </c>
      <c r="Z3776" t="str">
        <f>HYPERLINK("Melting_Curves/meltCurve_tr_Q2TAM5_Q2TAM5_HUMAN_.pdf", "Melting_Curves/meltCurve_tr_Q2TAM5_Q2TAM5_HUMAN_.pdf")</f>
        <v>Melting_Curves/meltCurve_tr_Q2TAM5_Q2TAM5_HUMAN_.pdf</v>
      </c>
      <c r="AA3776" t="s">
        <v>15193</v>
      </c>
      <c r="AB3776" t="s">
        <v>18994</v>
      </c>
    </row>
    <row r="3777" spans="1:28" x14ac:dyDescent="0.25">
      <c r="A3777" t="s">
        <v>3781</v>
      </c>
      <c r="B3777">
        <v>0.98876768158843997</v>
      </c>
      <c r="C3777">
        <v>1.0425452416039001</v>
      </c>
      <c r="D3777">
        <v>0.88807427348004497</v>
      </c>
      <c r="E3777">
        <v>0.70226051584232196</v>
      </c>
      <c r="F3777">
        <v>0.86794632193279098</v>
      </c>
      <c r="G3777">
        <v>0.62292636718111205</v>
      </c>
      <c r="H3777">
        <v>0.46170463011156798</v>
      </c>
      <c r="I3777">
        <v>0.53589114755161105</v>
      </c>
      <c r="J3777">
        <v>0.43239658562123801</v>
      </c>
      <c r="K3777">
        <v>0.81882271711409105</v>
      </c>
      <c r="L3777">
        <v>769.55057694954201</v>
      </c>
      <c r="M3777">
        <v>15.2237949760201</v>
      </c>
      <c r="O3777">
        <v>49.701061329960403</v>
      </c>
      <c r="P3777">
        <v>-3.34770024837375E-2</v>
      </c>
      <c r="Q3777">
        <v>0.56287273943888905</v>
      </c>
      <c r="R3777">
        <v>0.666093099424933</v>
      </c>
      <c r="S3777" t="s">
        <v>7609</v>
      </c>
      <c r="T3777" t="s">
        <v>7662</v>
      </c>
      <c r="U3777" t="s">
        <v>7662</v>
      </c>
      <c r="V3777" t="s">
        <v>7662</v>
      </c>
      <c r="W3777">
        <v>5</v>
      </c>
      <c r="X3777" t="s">
        <v>11439</v>
      </c>
      <c r="Y3777">
        <v>0.72657118236194662</v>
      </c>
      <c r="Z3777" t="str">
        <f>HYPERLINK("Melting_Curves/meltCurve_tr_Q32N00_Q32N00_HUMAN_.pdf", "Melting_Curves/meltCurve_tr_Q32N00_Q32N00_HUMAN_.pdf")</f>
        <v>Melting_Curves/meltCurve_tr_Q32N00_Q32N00_HUMAN_.pdf</v>
      </c>
      <c r="AA3777" t="s">
        <v>15194</v>
      </c>
      <c r="AB3777" t="s">
        <v>18995</v>
      </c>
    </row>
    <row r="3778" spans="1:28" x14ac:dyDescent="0.25">
      <c r="A3778" t="s">
        <v>3782</v>
      </c>
      <c r="B3778">
        <v>0.98876768158843997</v>
      </c>
      <c r="C3778">
        <v>0.832178365994243</v>
      </c>
      <c r="D3778">
        <v>1.0109818629899301</v>
      </c>
      <c r="E3778">
        <v>0.50097972307892602</v>
      </c>
      <c r="F3778">
        <v>0.20429733226858601</v>
      </c>
      <c r="G3778">
        <v>0.133879301053591</v>
      </c>
      <c r="H3778">
        <v>7.8284030876680802E-2</v>
      </c>
      <c r="I3778">
        <v>7.5418906385569001E-2</v>
      </c>
      <c r="J3778">
        <v>0.113533931471517</v>
      </c>
      <c r="K3778">
        <v>9.22436503271898E-2</v>
      </c>
      <c r="L3778">
        <v>1853.4380025877099</v>
      </c>
      <c r="M3778">
        <v>37.220076398936897</v>
      </c>
      <c r="N3778">
        <v>50.093866542385399</v>
      </c>
      <c r="O3778">
        <v>49.653633364405401</v>
      </c>
      <c r="P3778">
        <v>-0.16883684032368801</v>
      </c>
      <c r="Q3778">
        <v>9.9051889313600303E-2</v>
      </c>
      <c r="R3778">
        <v>0.97682302675558497</v>
      </c>
      <c r="S3778" t="s">
        <v>7610</v>
      </c>
      <c r="T3778" t="s">
        <v>7662</v>
      </c>
      <c r="U3778" t="s">
        <v>7662</v>
      </c>
      <c r="V3778" t="s">
        <v>7662</v>
      </c>
      <c r="W3778">
        <v>7</v>
      </c>
      <c r="X3778" t="s">
        <v>11440</v>
      </c>
      <c r="Y3778">
        <v>0.3968518842651037</v>
      </c>
      <c r="Z3778" t="str">
        <f>HYPERLINK("Melting_Curves/meltCurve_tr_Q495G6_Q495G6_HUMAN_.pdf", "Melting_Curves/meltCurve_tr_Q495G6_Q495G6_HUMAN_.pdf")</f>
        <v>Melting_Curves/meltCurve_tr_Q495G6_Q495G6_HUMAN_.pdf</v>
      </c>
      <c r="AA3778" t="s">
        <v>13483</v>
      </c>
      <c r="AB3778" t="s">
        <v>18996</v>
      </c>
    </row>
    <row r="3779" spans="1:28" x14ac:dyDescent="0.25">
      <c r="A3779" t="s">
        <v>3783</v>
      </c>
      <c r="B3779">
        <v>0.98876768158843997</v>
      </c>
      <c r="C3779">
        <v>0.85974885938342904</v>
      </c>
      <c r="D3779">
        <v>0.99047284735239505</v>
      </c>
      <c r="E3779">
        <v>0.81250166538950097</v>
      </c>
      <c r="F3779">
        <v>0.51344425854221298</v>
      </c>
      <c r="G3779">
        <v>0.188003579800638</v>
      </c>
      <c r="H3779">
        <v>9.41895712741177E-2</v>
      </c>
      <c r="I3779">
        <v>9.9458755470440599E-2</v>
      </c>
      <c r="J3779">
        <v>0.113905137713695</v>
      </c>
      <c r="K3779">
        <v>0.12021463916797701</v>
      </c>
      <c r="L3779">
        <v>1422.9512771971899</v>
      </c>
      <c r="M3779">
        <v>27.060693927503699</v>
      </c>
      <c r="N3779">
        <v>53.012504202244202</v>
      </c>
      <c r="O3779">
        <v>52.299041723191699</v>
      </c>
      <c r="P3779">
        <v>-0.116641886014917</v>
      </c>
      <c r="Q3779">
        <v>9.8293631381622198E-2</v>
      </c>
      <c r="R3779">
        <v>0.98526549199851299</v>
      </c>
      <c r="S3779" t="s">
        <v>7611</v>
      </c>
      <c r="T3779" t="s">
        <v>7662</v>
      </c>
      <c r="U3779" t="s">
        <v>7662</v>
      </c>
      <c r="V3779" t="s">
        <v>7662</v>
      </c>
      <c r="W3779">
        <v>1</v>
      </c>
      <c r="X3779" t="s">
        <v>11441</v>
      </c>
      <c r="Y3779">
        <v>0.48362986497413529</v>
      </c>
      <c r="Z3779" t="str">
        <f>HYPERLINK("Melting_Curves/meltCurve_tr_Q4VXH1_Q4VXH1_HUMAN_.pdf", "Melting_Curves/meltCurve_tr_Q4VXH1_Q4VXH1_HUMAN_.pdf")</f>
        <v>Melting_Curves/meltCurve_tr_Q4VXH1_Q4VXH1_HUMAN_.pdf</v>
      </c>
      <c r="AA3779" t="s">
        <v>15195</v>
      </c>
      <c r="AB3779" t="s">
        <v>18997</v>
      </c>
    </row>
    <row r="3780" spans="1:28" x14ac:dyDescent="0.25">
      <c r="A3780" t="s">
        <v>3784</v>
      </c>
      <c r="B3780">
        <v>0.98876768158843997</v>
      </c>
      <c r="C3780">
        <v>0.85439670589508598</v>
      </c>
      <c r="D3780">
        <v>1.16181818686682</v>
      </c>
      <c r="E3780">
        <v>1.15944872718037</v>
      </c>
      <c r="F3780">
        <v>0.62698107609606701</v>
      </c>
      <c r="G3780">
        <v>0.60477238542373601</v>
      </c>
      <c r="H3780">
        <v>0.59910013864230305</v>
      </c>
      <c r="I3780">
        <v>0.65460839862695397</v>
      </c>
      <c r="J3780">
        <v>0.49487069815446399</v>
      </c>
      <c r="K3780">
        <v>0.19786517422366601</v>
      </c>
      <c r="L3780">
        <v>528.90523637751801</v>
      </c>
      <c r="M3780">
        <v>8.2576746763892697</v>
      </c>
      <c r="N3780">
        <v>64.0501394112393</v>
      </c>
      <c r="O3780">
        <v>60.623329191584297</v>
      </c>
      <c r="P3780">
        <v>-3.4087410535366798E-2</v>
      </c>
      <c r="Q3780">
        <v>0</v>
      </c>
      <c r="R3780">
        <v>0.72307350043622098</v>
      </c>
      <c r="S3780" t="s">
        <v>7612</v>
      </c>
      <c r="T3780" t="s">
        <v>7662</v>
      </c>
      <c r="U3780" t="s">
        <v>7662</v>
      </c>
      <c r="V3780" t="s">
        <v>7662</v>
      </c>
      <c r="W3780">
        <v>19</v>
      </c>
      <c r="X3780" t="s">
        <v>11442</v>
      </c>
      <c r="Y3780">
        <v>0.74227952286108345</v>
      </c>
      <c r="Z3780" t="str">
        <f>HYPERLINK("Melting_Curves/meltCurve_tr_Q53XA7_Q53XA7_HUMAN_.pdf", "Melting_Curves/meltCurve_tr_Q53XA7_Q53XA7_HUMAN_.pdf")</f>
        <v>Melting_Curves/meltCurve_tr_Q53XA7_Q53XA7_HUMAN_.pdf</v>
      </c>
      <c r="AA3780" t="s">
        <v>15196</v>
      </c>
      <c r="AB3780" t="s">
        <v>15917</v>
      </c>
    </row>
    <row r="3781" spans="1:28" x14ac:dyDescent="0.25">
      <c r="A3781" t="s">
        <v>3785</v>
      </c>
      <c r="B3781">
        <v>0.98876768158843997</v>
      </c>
      <c r="C3781">
        <v>1.0804449900730899</v>
      </c>
      <c r="D3781">
        <v>0.99430722359732904</v>
      </c>
      <c r="E3781">
        <v>1.0494576880898101</v>
      </c>
      <c r="F3781">
        <v>0.67023788713025101</v>
      </c>
      <c r="G3781">
        <v>0.27185467157254001</v>
      </c>
      <c r="H3781">
        <v>0.17629822166947301</v>
      </c>
      <c r="I3781">
        <v>0.20923434063212301</v>
      </c>
      <c r="J3781">
        <v>0.30917768946836899</v>
      </c>
      <c r="K3781">
        <v>0.52049825794235105</v>
      </c>
      <c r="L3781">
        <v>13256.5051465912</v>
      </c>
      <c r="M3781">
        <v>250</v>
      </c>
      <c r="N3781">
        <v>53.218338439894197</v>
      </c>
      <c r="O3781">
        <v>53.022623864295198</v>
      </c>
      <c r="P3781">
        <v>-0.82816927313786703</v>
      </c>
      <c r="Q3781">
        <v>0.29741262976440602</v>
      </c>
      <c r="R3781">
        <v>0.93526306259448</v>
      </c>
      <c r="S3781" t="s">
        <v>7613</v>
      </c>
      <c r="T3781" t="s">
        <v>7662</v>
      </c>
      <c r="U3781" t="s">
        <v>7662</v>
      </c>
      <c r="V3781" t="s">
        <v>7662</v>
      </c>
      <c r="W3781">
        <v>9</v>
      </c>
      <c r="X3781" t="s">
        <v>11443</v>
      </c>
      <c r="Y3781">
        <v>0.60254193071356332</v>
      </c>
      <c r="Z3781" t="str">
        <f>HYPERLINK("Melting_Curves/meltCurve_tr_Q567Q0_Q567Q0_HUMAN_.pdf", "Melting_Curves/meltCurve_tr_Q567Q0_Q567Q0_HUMAN_.pdf")</f>
        <v>Melting_Curves/meltCurve_tr_Q567Q0_Q567Q0_HUMAN_.pdf</v>
      </c>
      <c r="AA3781" t="s">
        <v>15197</v>
      </c>
      <c r="AB3781" t="s">
        <v>18998</v>
      </c>
    </row>
    <row r="3782" spans="1:28" x14ac:dyDescent="0.25">
      <c r="A3782" t="s">
        <v>3786</v>
      </c>
      <c r="B3782">
        <v>0.98876768158843997</v>
      </c>
      <c r="C3782">
        <v>0.88912902231490898</v>
      </c>
      <c r="D3782">
        <v>1.10847110424801</v>
      </c>
      <c r="E3782">
        <v>0.89638588512366202</v>
      </c>
      <c r="F3782">
        <v>0.434120804093936</v>
      </c>
      <c r="G3782">
        <v>0.17842927049971199</v>
      </c>
      <c r="H3782">
        <v>0.105244643133464</v>
      </c>
      <c r="I3782">
        <v>0.100046412602934</v>
      </c>
      <c r="J3782">
        <v>9.9424036271033703E-2</v>
      </c>
      <c r="K3782">
        <v>0.100523550480102</v>
      </c>
      <c r="L3782">
        <v>2190.0320049453398</v>
      </c>
      <c r="M3782">
        <v>41.831871360034903</v>
      </c>
      <c r="N3782">
        <v>52.663557132639198</v>
      </c>
      <c r="O3782">
        <v>52.2339859011012</v>
      </c>
      <c r="P3782">
        <v>-0.17834162858895</v>
      </c>
      <c r="Q3782">
        <v>0.109246057192072</v>
      </c>
      <c r="R3782">
        <v>0.98382837534906098</v>
      </c>
      <c r="S3782" t="s">
        <v>7614</v>
      </c>
      <c r="T3782" t="s">
        <v>7662</v>
      </c>
      <c r="U3782" t="s">
        <v>7662</v>
      </c>
      <c r="V3782" t="s">
        <v>7662</v>
      </c>
      <c r="W3782">
        <v>43</v>
      </c>
      <c r="X3782" t="s">
        <v>11444</v>
      </c>
      <c r="Y3782">
        <v>0.47897865588372601</v>
      </c>
      <c r="Z3782" t="str">
        <f>HYPERLINK("Melting_Curves/meltCurve_tr_Q5HY54_Q5HY54_HUMAN_.pdf", "Melting_Curves/meltCurve_tr_Q5HY54_Q5HY54_HUMAN_.pdf")</f>
        <v>Melting_Curves/meltCurve_tr_Q5HY54_Q5HY54_HUMAN_.pdf</v>
      </c>
      <c r="AA3782" t="s">
        <v>15198</v>
      </c>
      <c r="AB3782" t="s">
        <v>18999</v>
      </c>
    </row>
    <row r="3783" spans="1:28" x14ac:dyDescent="0.25">
      <c r="A3783" t="s">
        <v>3787</v>
      </c>
      <c r="B3783">
        <v>0.98876768158843997</v>
      </c>
      <c r="C3783">
        <v>0.73481690235469599</v>
      </c>
      <c r="D3783">
        <v>0.56431054343187503</v>
      </c>
      <c r="E3783">
        <v>0.22797768421696801</v>
      </c>
      <c r="F3783">
        <v>0.14594402257351799</v>
      </c>
      <c r="G3783">
        <v>7.76279816479679E-2</v>
      </c>
      <c r="H3783">
        <v>5.6369128389360298E-2</v>
      </c>
      <c r="I3783">
        <v>7.3418022880257894E-2</v>
      </c>
      <c r="J3783">
        <v>5.7534792313895598E-2</v>
      </c>
      <c r="K3783">
        <v>9.6006371167110596E-2</v>
      </c>
      <c r="L3783">
        <v>815.55884731588003</v>
      </c>
      <c r="M3783">
        <v>17.7471656121965</v>
      </c>
      <c r="N3783">
        <v>46.2991491182704</v>
      </c>
      <c r="O3783">
        <v>45.382757675302301</v>
      </c>
      <c r="P3783">
        <v>-9.1716195023612695E-2</v>
      </c>
      <c r="Q3783">
        <v>6.1908408099352899E-2</v>
      </c>
      <c r="R3783">
        <v>0.99096594600898902</v>
      </c>
      <c r="S3783" t="s">
        <v>7615</v>
      </c>
      <c r="T3783" t="s">
        <v>7662</v>
      </c>
      <c r="U3783" t="s">
        <v>7662</v>
      </c>
      <c r="V3783" t="s">
        <v>7662</v>
      </c>
      <c r="W3783">
        <v>16</v>
      </c>
      <c r="X3783" t="s">
        <v>11445</v>
      </c>
      <c r="Y3783">
        <v>0.26717536473022929</v>
      </c>
      <c r="Z3783" t="str">
        <f>HYPERLINK("Melting_Curves/meltCurve_tr_Q5JP53_Q5JP53_HUMAN_.pdf", "Melting_Curves/meltCurve_tr_Q5JP53_Q5JP53_HUMAN_.pdf")</f>
        <v>Melting_Curves/meltCurve_tr_Q5JP53_Q5JP53_HUMAN_.pdf</v>
      </c>
      <c r="AA3783" t="s">
        <v>15199</v>
      </c>
      <c r="AB3783" t="s">
        <v>19000</v>
      </c>
    </row>
    <row r="3784" spans="1:28" x14ac:dyDescent="0.25">
      <c r="A3784" t="s">
        <v>3788</v>
      </c>
      <c r="B3784">
        <v>0.98876768158843997</v>
      </c>
      <c r="C3784">
        <v>0.92414184311093095</v>
      </c>
      <c r="D3784">
        <v>1.0498496024819599</v>
      </c>
      <c r="E3784">
        <v>0.90524188646270198</v>
      </c>
      <c r="F3784">
        <v>0.55443940126850599</v>
      </c>
      <c r="G3784">
        <v>0.31866155067283702</v>
      </c>
      <c r="H3784">
        <v>9.4105417679550094E-2</v>
      </c>
      <c r="I3784">
        <v>7.6218367159258504E-2</v>
      </c>
      <c r="J3784">
        <v>8.7134834989808702E-2</v>
      </c>
      <c r="K3784">
        <v>6.2071141158552501E-2</v>
      </c>
      <c r="L3784">
        <v>1257.04281132703</v>
      </c>
      <c r="M3784">
        <v>23.371807950676398</v>
      </c>
      <c r="N3784">
        <v>54.104665712737997</v>
      </c>
      <c r="O3784">
        <v>53.395465362161303</v>
      </c>
      <c r="P3784">
        <v>-0.102364107629597</v>
      </c>
      <c r="Q3784">
        <v>6.4568187738684807E-2</v>
      </c>
      <c r="R3784">
        <v>0.98811675359216899</v>
      </c>
      <c r="S3784" t="s">
        <v>7616</v>
      </c>
      <c r="T3784" t="s">
        <v>7662</v>
      </c>
      <c r="U3784" t="s">
        <v>7662</v>
      </c>
      <c r="V3784" t="s">
        <v>7662</v>
      </c>
      <c r="W3784">
        <v>7</v>
      </c>
      <c r="X3784" t="s">
        <v>11446</v>
      </c>
      <c r="Y3784">
        <v>0.50415662186267385</v>
      </c>
      <c r="Z3784" t="str">
        <f>HYPERLINK("Melting_Curves/meltCurve_tr_Q5JR04_Q5JR04_HUMAN_.pdf", "Melting_Curves/meltCurve_tr_Q5JR04_Q5JR04_HUMAN_.pdf")</f>
        <v>Melting_Curves/meltCurve_tr_Q5JR04_Q5JR04_HUMAN_.pdf</v>
      </c>
      <c r="AA3784" t="s">
        <v>15200</v>
      </c>
      <c r="AB3784" t="s">
        <v>19001</v>
      </c>
    </row>
    <row r="3785" spans="1:28" x14ac:dyDescent="0.25">
      <c r="A3785" t="s">
        <v>3789</v>
      </c>
      <c r="B3785">
        <v>0.98876768158843997</v>
      </c>
      <c r="C3785">
        <v>1.1145054319305401</v>
      </c>
      <c r="D3785">
        <v>0.65836486536030803</v>
      </c>
      <c r="E3785">
        <v>0.29656218977374099</v>
      </c>
      <c r="F3785">
        <v>0.127725609452606</v>
      </c>
      <c r="G3785">
        <v>6.2643577220328303E-2</v>
      </c>
      <c r="H3785">
        <v>3.9334312200327799E-2</v>
      </c>
      <c r="I3785">
        <v>3.4347548007927699E-2</v>
      </c>
      <c r="J3785">
        <v>4.4853907744428899E-2</v>
      </c>
      <c r="K3785">
        <v>3.5808371085413099E-2</v>
      </c>
      <c r="L3785">
        <v>1237.49144163899</v>
      </c>
      <c r="M3785">
        <v>25.9589362230058</v>
      </c>
      <c r="N3785">
        <v>47.846167144676798</v>
      </c>
      <c r="O3785">
        <v>47.390912938693702</v>
      </c>
      <c r="P3785">
        <v>-0.13073833010226499</v>
      </c>
      <c r="Q3785">
        <v>4.5301862099897103E-2</v>
      </c>
      <c r="R3785">
        <v>0.97865777688050504</v>
      </c>
      <c r="S3785" t="s">
        <v>7617</v>
      </c>
      <c r="T3785" t="s">
        <v>7662</v>
      </c>
      <c r="U3785" t="s">
        <v>7662</v>
      </c>
      <c r="V3785" t="s">
        <v>7662</v>
      </c>
      <c r="W3785">
        <v>8</v>
      </c>
      <c r="X3785" t="s">
        <v>11447</v>
      </c>
      <c r="Y3785">
        <v>0.29721706995561359</v>
      </c>
      <c r="Z3785" t="str">
        <f>HYPERLINK("Melting_Curves/meltCurve_tr_Q5JR08_Q5JR08_HUMAN_.pdf", "Melting_Curves/meltCurve_tr_Q5JR08_Q5JR08_HUMAN_.pdf")</f>
        <v>Melting_Curves/meltCurve_tr_Q5JR08_Q5JR08_HUMAN_.pdf</v>
      </c>
      <c r="AA3785" t="s">
        <v>15201</v>
      </c>
      <c r="AB3785" t="s">
        <v>19002</v>
      </c>
    </row>
    <row r="3786" spans="1:28" x14ac:dyDescent="0.25">
      <c r="A3786" t="s">
        <v>3790</v>
      </c>
      <c r="B3786">
        <v>0.98876768158843997</v>
      </c>
      <c r="C3786">
        <v>0.94240267726989801</v>
      </c>
      <c r="D3786">
        <v>0.95333684443853095</v>
      </c>
      <c r="E3786">
        <v>0.49376501987385701</v>
      </c>
      <c r="F3786">
        <v>0.37894013522434999</v>
      </c>
      <c r="G3786">
        <v>0.22907260237545199</v>
      </c>
      <c r="H3786">
        <v>0.10580959806773101</v>
      </c>
      <c r="I3786">
        <v>0.169697448899707</v>
      </c>
      <c r="J3786">
        <v>0.17956862363246501</v>
      </c>
      <c r="K3786">
        <v>0.18955203835603701</v>
      </c>
      <c r="L3786">
        <v>1175.9848885240001</v>
      </c>
      <c r="M3786">
        <v>23.666883560263901</v>
      </c>
      <c r="N3786">
        <v>50.563194999142297</v>
      </c>
      <c r="O3786">
        <v>49.3383689824933</v>
      </c>
      <c r="P3786">
        <v>-9.9788712569896895E-2</v>
      </c>
      <c r="Q3786">
        <v>0.16789551543005901</v>
      </c>
      <c r="R3786">
        <v>0.98437402494349102</v>
      </c>
      <c r="S3786" t="s">
        <v>7618</v>
      </c>
      <c r="T3786" t="s">
        <v>7662</v>
      </c>
      <c r="U3786" t="s">
        <v>7662</v>
      </c>
      <c r="V3786" t="s">
        <v>7662</v>
      </c>
      <c r="W3786">
        <v>2</v>
      </c>
      <c r="X3786" t="s">
        <v>11448</v>
      </c>
      <c r="Y3786">
        <v>0.44492230998687582</v>
      </c>
      <c r="Z3786" t="str">
        <f>HYPERLINK("Melting_Curves/meltCurve_tr_Q5JRV4_Q5JRV4_HUMAN_.pdf", "Melting_Curves/meltCurve_tr_Q5JRV4_Q5JRV4_HUMAN_.pdf")</f>
        <v>Melting_Curves/meltCurve_tr_Q5JRV4_Q5JRV4_HUMAN_.pdf</v>
      </c>
      <c r="AA3786" t="s">
        <v>15202</v>
      </c>
      <c r="AB3786" t="s">
        <v>19003</v>
      </c>
    </row>
    <row r="3787" spans="1:28" x14ac:dyDescent="0.25">
      <c r="A3787" t="s">
        <v>3791</v>
      </c>
      <c r="B3787">
        <v>0.98876768158843997</v>
      </c>
      <c r="C3787">
        <v>1.01071024030409</v>
      </c>
      <c r="D3787">
        <v>0.92442926694675598</v>
      </c>
      <c r="E3787">
        <v>0.75258631371334805</v>
      </c>
      <c r="F3787">
        <v>0.79988062181312503</v>
      </c>
      <c r="G3787">
        <v>0.58339038678020105</v>
      </c>
      <c r="H3787">
        <v>0.46124045459641499</v>
      </c>
      <c r="I3787">
        <v>0.48058223636706299</v>
      </c>
      <c r="J3787">
        <v>0.55844078470111902</v>
      </c>
      <c r="K3787">
        <v>0.87993805560631499</v>
      </c>
      <c r="L3787">
        <v>1006.21391385768</v>
      </c>
      <c r="M3787">
        <v>20.139949879308599</v>
      </c>
      <c r="O3787">
        <v>49.476325617784099</v>
      </c>
      <c r="P3787">
        <v>-4.1122741199707602E-2</v>
      </c>
      <c r="Q3787">
        <v>0.59591981332662602</v>
      </c>
      <c r="R3787">
        <v>0.66264827926963099</v>
      </c>
      <c r="S3787" t="s">
        <v>7619</v>
      </c>
      <c r="T3787" t="s">
        <v>7662</v>
      </c>
      <c r="U3787" t="s">
        <v>7662</v>
      </c>
      <c r="V3787" t="s">
        <v>7662</v>
      </c>
      <c r="W3787">
        <v>3</v>
      </c>
      <c r="X3787" t="s">
        <v>11449</v>
      </c>
      <c r="Y3787">
        <v>0.73563915626441578</v>
      </c>
      <c r="Z3787" t="str">
        <f>HYPERLINK("Melting_Curves/meltCurve_tr_Q5JSK8_Q5JSK8_HUMAN_.pdf", "Melting_Curves/meltCurve_tr_Q5JSK8_Q5JSK8_HUMAN_.pdf")</f>
        <v>Melting_Curves/meltCurve_tr_Q5JSK8_Q5JSK8_HUMAN_.pdf</v>
      </c>
      <c r="AA3787" t="s">
        <v>15203</v>
      </c>
      <c r="AB3787" t="s">
        <v>19004</v>
      </c>
    </row>
    <row r="3788" spans="1:28" x14ac:dyDescent="0.25">
      <c r="A3788" t="s">
        <v>3792</v>
      </c>
      <c r="B3788">
        <v>0.98876768158843997</v>
      </c>
      <c r="C3788">
        <v>0.72997159819173796</v>
      </c>
      <c r="D3788">
        <v>0.67366400341974897</v>
      </c>
      <c r="E3788">
        <v>0.48773008232201698</v>
      </c>
      <c r="F3788">
        <v>0.44649701108360401</v>
      </c>
      <c r="G3788">
        <v>0.24846658811337499</v>
      </c>
      <c r="H3788">
        <v>0.13894061829503099</v>
      </c>
      <c r="I3788">
        <v>0.100789998366263</v>
      </c>
      <c r="J3788">
        <v>9.8259330399219302E-2</v>
      </c>
      <c r="K3788">
        <v>9.6706458224855199E-2</v>
      </c>
      <c r="L3788">
        <v>439.27155696742102</v>
      </c>
      <c r="M3788">
        <v>8.7855686203928904</v>
      </c>
      <c r="N3788">
        <v>49.999200607073703</v>
      </c>
      <c r="O3788">
        <v>47.611783878373203</v>
      </c>
      <c r="P3788">
        <v>-4.6167971642208303E-2</v>
      </c>
      <c r="Q3788">
        <v>0</v>
      </c>
      <c r="R3788">
        <v>0.97623780559109796</v>
      </c>
      <c r="S3788" t="s">
        <v>7620</v>
      </c>
      <c r="T3788" t="s">
        <v>7662</v>
      </c>
      <c r="U3788" t="s">
        <v>7662</v>
      </c>
      <c r="V3788" t="s">
        <v>7662</v>
      </c>
      <c r="W3788">
        <v>1</v>
      </c>
      <c r="X3788" t="s">
        <v>11450</v>
      </c>
      <c r="Y3788">
        <v>0.38675603137329051</v>
      </c>
      <c r="Z3788" t="str">
        <f>HYPERLINK("Melting_Curves/meltCurve_tr_Q5JTV1_Q5JTV1_HUMAN_.pdf", "Melting_Curves/meltCurve_tr_Q5JTV1_Q5JTV1_HUMAN_.pdf")</f>
        <v>Melting_Curves/meltCurve_tr_Q5JTV1_Q5JTV1_HUMAN_.pdf</v>
      </c>
      <c r="AA3788" t="s">
        <v>15204</v>
      </c>
      <c r="AB3788" t="s">
        <v>19005</v>
      </c>
    </row>
    <row r="3789" spans="1:28" x14ac:dyDescent="0.25">
      <c r="A3789" t="s">
        <v>3793</v>
      </c>
      <c r="B3789">
        <v>0.98876768158843997</v>
      </c>
      <c r="C3789">
        <v>0.83879719894721605</v>
      </c>
      <c r="D3789">
        <v>0.80287948722609603</v>
      </c>
      <c r="E3789">
        <v>0.42414578188999102</v>
      </c>
      <c r="F3789">
        <v>0.12146998862422</v>
      </c>
      <c r="G3789">
        <v>7.0526337754712301E-2</v>
      </c>
      <c r="H3789">
        <v>6.1883602798325298E-2</v>
      </c>
      <c r="I3789">
        <v>6.1284588519705897E-2</v>
      </c>
      <c r="J3789">
        <v>6.4759411405918399E-2</v>
      </c>
      <c r="K3789">
        <v>4.8973604064959403E-2</v>
      </c>
      <c r="L3789">
        <v>1009.00058135796</v>
      </c>
      <c r="M3789">
        <v>20.766970757400198</v>
      </c>
      <c r="N3789">
        <v>48.794215605931697</v>
      </c>
      <c r="O3789">
        <v>48.143005568037204</v>
      </c>
      <c r="P3789">
        <v>-0.10328702247325799</v>
      </c>
      <c r="Q3789">
        <v>4.2246929374294702E-2</v>
      </c>
      <c r="R3789">
        <v>0.98620529462842399</v>
      </c>
      <c r="S3789" t="s">
        <v>7621</v>
      </c>
      <c r="T3789" t="s">
        <v>7662</v>
      </c>
      <c r="U3789" t="s">
        <v>7662</v>
      </c>
      <c r="V3789" t="s">
        <v>7662</v>
      </c>
      <c r="W3789">
        <v>1</v>
      </c>
      <c r="X3789" t="s">
        <v>11451</v>
      </c>
      <c r="Y3789">
        <v>0.32884810176599522</v>
      </c>
      <c r="Z3789" t="str">
        <f>HYPERLINK("Melting_Curves/meltCurve_tr_Q5JUA8_Q5JUA8_HUMAN_.pdf", "Melting_Curves/meltCurve_tr_Q5JUA8_Q5JUA8_HUMAN_.pdf")</f>
        <v>Melting_Curves/meltCurve_tr_Q5JUA8_Q5JUA8_HUMAN_.pdf</v>
      </c>
      <c r="AA3789" t="s">
        <v>15205</v>
      </c>
      <c r="AB3789" t="s">
        <v>19006</v>
      </c>
    </row>
    <row r="3790" spans="1:28" x14ac:dyDescent="0.25">
      <c r="A3790" t="s">
        <v>3794</v>
      </c>
      <c r="B3790">
        <v>0.98876768158843997</v>
      </c>
      <c r="C3790">
        <v>1.1485636795532801</v>
      </c>
      <c r="D3790">
        <v>0.85563475014104595</v>
      </c>
      <c r="E3790">
        <v>0.71988698795964001</v>
      </c>
      <c r="F3790">
        <v>0.74331959900242695</v>
      </c>
      <c r="G3790">
        <v>0.50941619537207306</v>
      </c>
      <c r="H3790">
        <v>0.39240671429177798</v>
      </c>
      <c r="I3790">
        <v>0.52929564040314203</v>
      </c>
      <c r="J3790">
        <v>0.68971244954007105</v>
      </c>
      <c r="K3790">
        <v>0.72281215599363002</v>
      </c>
      <c r="L3790">
        <v>1145.10794851436</v>
      </c>
      <c r="M3790">
        <v>23.427105651912399</v>
      </c>
      <c r="O3790">
        <v>48.527650109807901</v>
      </c>
      <c r="P3790">
        <v>-5.0673665537188002E-2</v>
      </c>
      <c r="Q3790">
        <v>0.58013925412873901</v>
      </c>
      <c r="R3790">
        <v>0.737767650218074</v>
      </c>
      <c r="S3790" t="s">
        <v>7622</v>
      </c>
      <c r="T3790" t="s">
        <v>7662</v>
      </c>
      <c r="U3790" t="s">
        <v>7662</v>
      </c>
      <c r="V3790" t="s">
        <v>7662</v>
      </c>
      <c r="W3790">
        <v>4</v>
      </c>
      <c r="X3790" t="s">
        <v>11452</v>
      </c>
      <c r="Y3790">
        <v>0.70866509073956974</v>
      </c>
      <c r="Z3790" t="str">
        <f>HYPERLINK("Melting_Curves/meltCurve_tr_Q5JW30_Q5JW30_HUMAN_.pdf", "Melting_Curves/meltCurve_tr_Q5JW30_Q5JW30_HUMAN_.pdf")</f>
        <v>Melting_Curves/meltCurve_tr_Q5JW30_Q5JW30_HUMAN_.pdf</v>
      </c>
      <c r="AA3790" t="s">
        <v>15206</v>
      </c>
      <c r="AB3790" t="s">
        <v>19007</v>
      </c>
    </row>
    <row r="3791" spans="1:28" x14ac:dyDescent="0.25">
      <c r="A3791" t="s">
        <v>3795</v>
      </c>
      <c r="B3791">
        <v>0.98876768158843997</v>
      </c>
      <c r="C3791">
        <v>1.0762918558729999</v>
      </c>
      <c r="D3791">
        <v>0.90459273184963496</v>
      </c>
      <c r="E3791">
        <v>0.68299665853053804</v>
      </c>
      <c r="F3791">
        <v>0.91392634396954997</v>
      </c>
      <c r="G3791">
        <v>0.71065850805381003</v>
      </c>
      <c r="H3791">
        <v>0.54817187354885499</v>
      </c>
      <c r="I3791">
        <v>0.63224417436484204</v>
      </c>
      <c r="J3791">
        <v>0.81496439276911403</v>
      </c>
      <c r="K3791">
        <v>0.90449811308828298</v>
      </c>
      <c r="L3791">
        <v>11523.975062428301</v>
      </c>
      <c r="M3791">
        <v>250</v>
      </c>
      <c r="O3791">
        <v>46.092950385325501</v>
      </c>
      <c r="P3791">
        <v>-0.34722925615281802</v>
      </c>
      <c r="Q3791">
        <v>0.74392286610052405</v>
      </c>
      <c r="R3791">
        <v>0.52829510080781505</v>
      </c>
      <c r="S3791" t="s">
        <v>7623</v>
      </c>
      <c r="T3791" t="s">
        <v>7662</v>
      </c>
      <c r="U3791" t="s">
        <v>7662</v>
      </c>
      <c r="V3791" t="s">
        <v>7662</v>
      </c>
      <c r="W3791">
        <v>10</v>
      </c>
      <c r="X3791" t="s">
        <v>11453</v>
      </c>
      <c r="Y3791">
        <v>0.79597760427233266</v>
      </c>
      <c r="Z3791" t="str">
        <f>HYPERLINK("Melting_Curves/meltCurve_tr_Q5QNY5_Q5QNY5_HUMAN_.pdf", "Melting_Curves/meltCurve_tr_Q5QNY5_Q5QNY5_HUMAN_.pdf")</f>
        <v>Melting_Curves/meltCurve_tr_Q5QNY5_Q5QNY5_HUMAN_.pdf</v>
      </c>
      <c r="AA3791" t="s">
        <v>15207</v>
      </c>
      <c r="AB3791" t="s">
        <v>19008</v>
      </c>
    </row>
    <row r="3792" spans="1:28" x14ac:dyDescent="0.25">
      <c r="A3792" t="s">
        <v>3796</v>
      </c>
      <c r="B3792">
        <v>0.98876768158843997</v>
      </c>
      <c r="C3792">
        <v>1.00539266930468</v>
      </c>
      <c r="D3792">
        <v>0.93294987280541997</v>
      </c>
      <c r="E3792">
        <v>0.76895473863365604</v>
      </c>
      <c r="F3792">
        <v>0.68512671804538505</v>
      </c>
      <c r="G3792">
        <v>0.47931039227028099</v>
      </c>
      <c r="H3792">
        <v>0.39656376608149901</v>
      </c>
      <c r="I3792">
        <v>0.43080115758867599</v>
      </c>
      <c r="J3792">
        <v>0.58256997318733905</v>
      </c>
      <c r="K3792">
        <v>0.53447822238210796</v>
      </c>
      <c r="L3792">
        <v>1130.44785092544</v>
      </c>
      <c r="M3792">
        <v>22.234845368609999</v>
      </c>
      <c r="N3792">
        <v>59.308246917188796</v>
      </c>
      <c r="O3792">
        <v>50.435409833434598</v>
      </c>
      <c r="P3792">
        <v>-5.7413264390061197E-2</v>
      </c>
      <c r="Q3792">
        <v>0.47908820162203702</v>
      </c>
      <c r="R3792">
        <v>0.935979272719488</v>
      </c>
      <c r="S3792" t="s">
        <v>7624</v>
      </c>
      <c r="T3792" t="s">
        <v>7662</v>
      </c>
      <c r="U3792" t="s">
        <v>7662</v>
      </c>
      <c r="V3792" t="s">
        <v>7662</v>
      </c>
      <c r="W3792">
        <v>4</v>
      </c>
      <c r="X3792" t="s">
        <v>11454</v>
      </c>
      <c r="Y3792">
        <v>0.67324140267938748</v>
      </c>
      <c r="Z3792" t="str">
        <f>HYPERLINK("Melting_Curves/meltCurve_tr_Q5QPM0_Q5QPM0_HUMAN_.pdf", "Melting_Curves/meltCurve_tr_Q5QPM0_Q5QPM0_HUMAN_.pdf")</f>
        <v>Melting_Curves/meltCurve_tr_Q5QPM0_Q5QPM0_HUMAN_.pdf</v>
      </c>
      <c r="AA3792" t="s">
        <v>15208</v>
      </c>
      <c r="AB3792" t="s">
        <v>19009</v>
      </c>
    </row>
    <row r="3793" spans="1:28" x14ac:dyDescent="0.25">
      <c r="A3793" t="s">
        <v>3797</v>
      </c>
      <c r="B3793">
        <v>0.98876768158843997</v>
      </c>
      <c r="C3793">
        <v>0.93521019765102398</v>
      </c>
      <c r="D3793">
        <v>0.85715370826566495</v>
      </c>
      <c r="E3793">
        <v>0.66550670214492302</v>
      </c>
      <c r="F3793">
        <v>0.57271691826551197</v>
      </c>
      <c r="G3793">
        <v>0.35088319033571702</v>
      </c>
      <c r="H3793">
        <v>0.18162542206534299</v>
      </c>
      <c r="I3793">
        <v>0.117135829168068</v>
      </c>
      <c r="J3793">
        <v>8.8714418020341204E-2</v>
      </c>
      <c r="K3793">
        <v>7.4091428100153095E-2</v>
      </c>
      <c r="L3793">
        <v>607.94093588570695</v>
      </c>
      <c r="M3793">
        <v>11.3403222236215</v>
      </c>
      <c r="N3793">
        <v>53.608787834005099</v>
      </c>
      <c r="O3793">
        <v>52.022952681556298</v>
      </c>
      <c r="P3793">
        <v>-5.4513073511847802E-2</v>
      </c>
      <c r="Q3793">
        <v>0</v>
      </c>
      <c r="R3793">
        <v>0.99686872742769905</v>
      </c>
      <c r="S3793" t="s">
        <v>7625</v>
      </c>
      <c r="T3793" t="s">
        <v>7662</v>
      </c>
      <c r="U3793" t="s">
        <v>7662</v>
      </c>
      <c r="V3793" t="s">
        <v>7662</v>
      </c>
      <c r="W3793">
        <v>7</v>
      </c>
      <c r="X3793" t="s">
        <v>11455</v>
      </c>
      <c r="Y3793">
        <v>0.48221594676517632</v>
      </c>
      <c r="Z3793" t="str">
        <f>HYPERLINK("Melting_Curves/meltCurve_tr_Q5QPM7_Q5QPM7_HUMAN_.pdf", "Melting_Curves/meltCurve_tr_Q5QPM7_Q5QPM7_HUMAN_.pdf")</f>
        <v>Melting_Curves/meltCurve_tr_Q5QPM7_Q5QPM7_HUMAN_.pdf</v>
      </c>
      <c r="AA3793" t="s">
        <v>15209</v>
      </c>
      <c r="AB3793" t="s">
        <v>19010</v>
      </c>
    </row>
    <row r="3794" spans="1:28" x14ac:dyDescent="0.25">
      <c r="A3794" t="s">
        <v>3798</v>
      </c>
      <c r="B3794">
        <v>0.98876768158843997</v>
      </c>
      <c r="C3794">
        <v>0.90071424702480896</v>
      </c>
      <c r="D3794">
        <v>1.00872022593982</v>
      </c>
      <c r="E3794">
        <v>0.96034795960697705</v>
      </c>
      <c r="F3794">
        <v>0.86442464468815905</v>
      </c>
      <c r="G3794">
        <v>0.69464371702106198</v>
      </c>
      <c r="H3794">
        <v>0.35603058204942301</v>
      </c>
      <c r="I3794">
        <v>0.13639742012977299</v>
      </c>
      <c r="J3794">
        <v>6.5871143312322106E-2</v>
      </c>
      <c r="K3794">
        <v>5.59602429254282E-2</v>
      </c>
      <c r="L3794">
        <v>1194.64185190543</v>
      </c>
      <c r="M3794">
        <v>20.251628057941101</v>
      </c>
      <c r="N3794">
        <v>58.989916934839997</v>
      </c>
      <c r="O3794">
        <v>58.423765861292999</v>
      </c>
      <c r="P3794">
        <v>-8.6661032399226304E-2</v>
      </c>
      <c r="Q3794">
        <v>0</v>
      </c>
      <c r="R3794">
        <v>0.99004148956922899</v>
      </c>
      <c r="S3794" t="s">
        <v>7626</v>
      </c>
      <c r="T3794" t="s">
        <v>7662</v>
      </c>
      <c r="U3794" t="s">
        <v>7662</v>
      </c>
      <c r="V3794" t="s">
        <v>7662</v>
      </c>
      <c r="W3794">
        <v>1</v>
      </c>
      <c r="X3794" t="s">
        <v>11456</v>
      </c>
      <c r="Y3794">
        <v>0.64299832185306194</v>
      </c>
      <c r="Z3794" t="str">
        <f>HYPERLINK("Melting_Curves/meltCurve_tr_Q5SSZ3_Q5SSZ3_HUMAN_.pdf", "Melting_Curves/meltCurve_tr_Q5SSZ3_Q5SSZ3_HUMAN_.pdf")</f>
        <v>Melting_Curves/meltCurve_tr_Q5SSZ3_Q5SSZ3_HUMAN_.pdf</v>
      </c>
      <c r="AA3794" t="s">
        <v>15210</v>
      </c>
      <c r="AB3794" t="s">
        <v>19011</v>
      </c>
    </row>
    <row r="3795" spans="1:28" x14ac:dyDescent="0.25">
      <c r="A3795" t="s">
        <v>3799</v>
      </c>
      <c r="B3795">
        <v>0.98876768158843997</v>
      </c>
      <c r="C3795">
        <v>1.2763515629075799</v>
      </c>
      <c r="D3795">
        <v>0.89058672173604303</v>
      </c>
      <c r="E3795">
        <v>0.80806101317393197</v>
      </c>
      <c r="F3795">
        <v>0.80517012753490402</v>
      </c>
      <c r="G3795">
        <v>0.60321546955432004</v>
      </c>
      <c r="H3795">
        <v>0.51648636347538501</v>
      </c>
      <c r="I3795">
        <v>0.70864672312832899</v>
      </c>
      <c r="J3795">
        <v>1.0176902776402801</v>
      </c>
      <c r="K3795">
        <v>0.78339055360351595</v>
      </c>
      <c r="L3795">
        <v>1640.5162841254</v>
      </c>
      <c r="M3795">
        <v>34.238795289333503</v>
      </c>
      <c r="O3795">
        <v>47.751414356711003</v>
      </c>
      <c r="P3795">
        <v>-4.6863362769835097E-2</v>
      </c>
      <c r="Q3795">
        <v>0.73856762405001697</v>
      </c>
      <c r="R3795">
        <v>0.45358482898519198</v>
      </c>
      <c r="S3795" t="s">
        <v>7627</v>
      </c>
      <c r="T3795" t="s">
        <v>7662</v>
      </c>
      <c r="U3795" t="s">
        <v>7662</v>
      </c>
      <c r="V3795" t="s">
        <v>7662</v>
      </c>
      <c r="W3795">
        <v>2</v>
      </c>
      <c r="X3795" t="s">
        <v>11457</v>
      </c>
      <c r="Y3795">
        <v>0.80872779221658608</v>
      </c>
      <c r="Z3795" t="str">
        <f>HYPERLINK("Melting_Curves/meltCurve_tr_Q5T123_Q5T123_HUMAN_.pdf", "Melting_Curves/meltCurve_tr_Q5T123_Q5T123_HUMAN_.pdf")</f>
        <v>Melting_Curves/meltCurve_tr_Q5T123_Q5T123_HUMAN_.pdf</v>
      </c>
      <c r="AA3795" t="s">
        <v>15211</v>
      </c>
      <c r="AB3795" t="s">
        <v>19012</v>
      </c>
    </row>
    <row r="3796" spans="1:28" x14ac:dyDescent="0.25">
      <c r="A3796" t="s">
        <v>3800</v>
      </c>
      <c r="B3796">
        <v>0.98876768158843997</v>
      </c>
      <c r="C3796">
        <v>0.89824323339356504</v>
      </c>
      <c r="D3796">
        <v>0.96618190089855105</v>
      </c>
      <c r="E3796">
        <v>0.76014126735099896</v>
      </c>
      <c r="F3796">
        <v>0.437763826053163</v>
      </c>
      <c r="G3796">
        <v>0.29018592756821499</v>
      </c>
      <c r="H3796">
        <v>0.212040798030423</v>
      </c>
      <c r="I3796">
        <v>0.23410164257529301</v>
      </c>
      <c r="J3796">
        <v>0.232604130093919</v>
      </c>
      <c r="K3796">
        <v>0.31682821673795297</v>
      </c>
      <c r="L3796">
        <v>1558.2349879347901</v>
      </c>
      <c r="M3796">
        <v>30.451636543684099</v>
      </c>
      <c r="N3796">
        <v>52.353531056501602</v>
      </c>
      <c r="O3796">
        <v>50.951657478481302</v>
      </c>
      <c r="P3796">
        <v>-0.112256858765027</v>
      </c>
      <c r="Q3796">
        <v>0.24869222617468201</v>
      </c>
      <c r="R3796">
        <v>0.98234439202509305</v>
      </c>
      <c r="S3796" t="s">
        <v>7628</v>
      </c>
      <c r="T3796" t="s">
        <v>7662</v>
      </c>
      <c r="U3796" t="s">
        <v>7662</v>
      </c>
      <c r="V3796" t="s">
        <v>7662</v>
      </c>
      <c r="W3796">
        <v>4</v>
      </c>
      <c r="X3796" t="s">
        <v>11458</v>
      </c>
      <c r="Y3796">
        <v>0.53304703087644922</v>
      </c>
      <c r="Z3796" t="str">
        <f>HYPERLINK("Melting_Curves/meltCurve_tr_Q5T760_Q5T760_HUMAN_.pdf", "Melting_Curves/meltCurve_tr_Q5T760_Q5T760_HUMAN_.pdf")</f>
        <v>Melting_Curves/meltCurve_tr_Q5T760_Q5T760_HUMAN_.pdf</v>
      </c>
      <c r="AA3796" t="s">
        <v>15212</v>
      </c>
      <c r="AB3796" t="s">
        <v>19013</v>
      </c>
    </row>
    <row r="3797" spans="1:28" x14ac:dyDescent="0.25">
      <c r="A3797" t="s">
        <v>3801</v>
      </c>
      <c r="B3797">
        <v>0.98876768158843997</v>
      </c>
      <c r="C3797">
        <v>0.89619492675196499</v>
      </c>
      <c r="D3797">
        <v>0.94859599063310296</v>
      </c>
      <c r="E3797">
        <v>0.76263712008356999</v>
      </c>
      <c r="F3797">
        <v>0.48128275333311699</v>
      </c>
      <c r="G3797">
        <v>0.260595548573612</v>
      </c>
      <c r="H3797">
        <v>0.14374711444653199</v>
      </c>
      <c r="I3797">
        <v>8.3954136090991796E-2</v>
      </c>
      <c r="J3797">
        <v>9.7238326214305199E-2</v>
      </c>
      <c r="K3797">
        <v>6.2729126855147199E-2</v>
      </c>
      <c r="L3797">
        <v>933.69714419663603</v>
      </c>
      <c r="M3797">
        <v>17.724501795379499</v>
      </c>
      <c r="N3797">
        <v>53.058158837462798</v>
      </c>
      <c r="O3797">
        <v>52.021500299711199</v>
      </c>
      <c r="P3797">
        <v>-8.0107768646243999E-2</v>
      </c>
      <c r="Q3797">
        <v>5.95825377641961E-2</v>
      </c>
      <c r="R3797">
        <v>0.99285112710427603</v>
      </c>
      <c r="S3797" t="s">
        <v>7629</v>
      </c>
      <c r="T3797" t="s">
        <v>7662</v>
      </c>
      <c r="U3797" t="s">
        <v>7662</v>
      </c>
      <c r="V3797" t="s">
        <v>7662</v>
      </c>
      <c r="W3797">
        <v>15</v>
      </c>
      <c r="X3797" t="s">
        <v>11459</v>
      </c>
      <c r="Y3797">
        <v>0.47289500661636091</v>
      </c>
      <c r="Z3797" t="str">
        <f>HYPERLINK("Melting_Curves/meltCurve_tr_Q5T985_Q5T985_HUMAN_.pdf", "Melting_Curves/meltCurve_tr_Q5T985_Q5T985_HUMAN_.pdf")</f>
        <v>Melting_Curves/meltCurve_tr_Q5T985_Q5T985_HUMAN_.pdf</v>
      </c>
      <c r="AA3797" t="s">
        <v>15213</v>
      </c>
      <c r="AB3797" t="s">
        <v>19014</v>
      </c>
    </row>
    <row r="3798" spans="1:28" x14ac:dyDescent="0.25">
      <c r="A3798" t="s">
        <v>3802</v>
      </c>
      <c r="B3798">
        <v>0.98876768158843997</v>
      </c>
      <c r="C3798">
        <v>0.91090330704552103</v>
      </c>
      <c r="D3798">
        <v>0.90530687668625998</v>
      </c>
      <c r="E3798">
        <v>0.90087297683830303</v>
      </c>
      <c r="F3798">
        <v>0.488771585460609</v>
      </c>
      <c r="G3798">
        <v>0.35230513140802</v>
      </c>
      <c r="H3798">
        <v>0.200455291385853</v>
      </c>
      <c r="I3798">
        <v>0.20235175507206499</v>
      </c>
      <c r="J3798">
        <v>0.183085474790881</v>
      </c>
      <c r="K3798">
        <v>0.19243004722455601</v>
      </c>
      <c r="L3798">
        <v>1339.5929115982401</v>
      </c>
      <c r="M3798">
        <v>25.487721430497</v>
      </c>
      <c r="N3798">
        <v>53.5874099368502</v>
      </c>
      <c r="O3798">
        <v>52.238019473368503</v>
      </c>
      <c r="P3798">
        <v>-9.8375088236121996E-2</v>
      </c>
      <c r="Q3798">
        <v>0.193516606545861</v>
      </c>
      <c r="R3798">
        <v>0.975922985809622</v>
      </c>
      <c r="S3798" t="s">
        <v>7630</v>
      </c>
      <c r="T3798" t="s">
        <v>7662</v>
      </c>
      <c r="U3798" t="s">
        <v>7662</v>
      </c>
      <c r="V3798" t="s">
        <v>7662</v>
      </c>
      <c r="W3798">
        <v>19</v>
      </c>
      <c r="X3798" t="s">
        <v>11460</v>
      </c>
      <c r="Y3798">
        <v>0.53825304297087706</v>
      </c>
      <c r="Z3798" t="str">
        <f>HYPERLINK("Melting_Curves/meltCurve_tr_Q5TA02_Q5TA02_HUMAN_.pdf", "Melting_Curves/meltCurve_tr_Q5TA02_Q5TA02_HUMAN_.pdf")</f>
        <v>Melting_Curves/meltCurve_tr_Q5TA02_Q5TA02_HUMAN_.pdf</v>
      </c>
      <c r="AA3798" t="s">
        <v>12788</v>
      </c>
      <c r="AB3798" t="s">
        <v>19015</v>
      </c>
    </row>
    <row r="3799" spans="1:28" x14ac:dyDescent="0.25">
      <c r="A3799" t="s">
        <v>3803</v>
      </c>
      <c r="B3799">
        <v>0.98876768158843997</v>
      </c>
      <c r="C3799">
        <v>0.873638137022275</v>
      </c>
      <c r="D3799">
        <v>0.89843152518378899</v>
      </c>
      <c r="E3799">
        <v>0.77288817944773502</v>
      </c>
      <c r="F3799">
        <v>0.52468893313484299</v>
      </c>
      <c r="G3799">
        <v>0.37377255623036298</v>
      </c>
      <c r="H3799">
        <v>0.34397967441133198</v>
      </c>
      <c r="I3799">
        <v>0.38990454196173202</v>
      </c>
      <c r="J3799">
        <v>0.34856308538849201</v>
      </c>
      <c r="K3799">
        <v>0.39525720342670501</v>
      </c>
      <c r="L3799">
        <v>1008.87045502631</v>
      </c>
      <c r="M3799">
        <v>19.910520149623899</v>
      </c>
      <c r="N3799">
        <v>53.9615204855928</v>
      </c>
      <c r="O3799">
        <v>50.167388824165201</v>
      </c>
      <c r="P3799">
        <v>-6.4340862751114905E-2</v>
      </c>
      <c r="Q3799">
        <v>0.351557646531579</v>
      </c>
      <c r="R3799">
        <v>0.96583991146884896</v>
      </c>
      <c r="S3799" t="s">
        <v>7631</v>
      </c>
      <c r="T3799" t="s">
        <v>7662</v>
      </c>
      <c r="U3799" t="s">
        <v>7662</v>
      </c>
      <c r="V3799" t="s">
        <v>7662</v>
      </c>
      <c r="W3799">
        <v>12</v>
      </c>
      <c r="X3799" t="s">
        <v>11461</v>
      </c>
      <c r="Y3799">
        <v>0.59127741328936534</v>
      </c>
      <c r="Z3799" t="str">
        <f>HYPERLINK("Melting_Curves/meltCurve_tr_Q5TA58_Q5TA58_HUMAN_.pdf", "Melting_Curves/meltCurve_tr_Q5TA58_Q5TA58_HUMAN_.pdf")</f>
        <v>Melting_Curves/meltCurve_tr_Q5TA58_Q5TA58_HUMAN_.pdf</v>
      </c>
      <c r="AA3799" t="s">
        <v>15214</v>
      </c>
      <c r="AB3799" t="s">
        <v>19016</v>
      </c>
    </row>
    <row r="3800" spans="1:28" x14ac:dyDescent="0.25">
      <c r="A3800" t="s">
        <v>3804</v>
      </c>
      <c r="B3800">
        <v>0.98876768158843997</v>
      </c>
      <c r="C3800">
        <v>0.88117206262233905</v>
      </c>
      <c r="D3800">
        <v>1.50089803425945</v>
      </c>
      <c r="E3800">
        <v>1.79868762927899</v>
      </c>
      <c r="F3800">
        <v>0.31185186293164202</v>
      </c>
      <c r="G3800">
        <v>0.15204501951267699</v>
      </c>
      <c r="H3800">
        <v>4.4607986969002297E-2</v>
      </c>
      <c r="I3800">
        <v>3.4857980537576397E-2</v>
      </c>
      <c r="J3800">
        <v>3.7716909109047098E-2</v>
      </c>
      <c r="K3800">
        <v>3.6041164033779903E-2</v>
      </c>
      <c r="L3800">
        <v>13196.5053313851</v>
      </c>
      <c r="M3800">
        <v>250</v>
      </c>
      <c r="N3800">
        <v>52.813509421312901</v>
      </c>
      <c r="O3800">
        <v>52.782656931203398</v>
      </c>
      <c r="P3800">
        <v>-1.1118079727527099</v>
      </c>
      <c r="Q3800">
        <v>6.1053380580548697E-2</v>
      </c>
      <c r="R3800">
        <v>0.77276489368616197</v>
      </c>
      <c r="S3800" t="s">
        <v>7632</v>
      </c>
      <c r="T3800" t="s">
        <v>7662</v>
      </c>
      <c r="U3800" t="s">
        <v>7662</v>
      </c>
      <c r="V3800" t="s">
        <v>7662</v>
      </c>
      <c r="W3800">
        <v>1</v>
      </c>
      <c r="X3800" t="s">
        <v>11462</v>
      </c>
      <c r="Y3800">
        <v>0.46132007997197788</v>
      </c>
      <c r="Z3800" t="str">
        <f>HYPERLINK("Melting_Curves/meltCurve_tr_Q5TBP5_Q5TBP5_HUMAN_.pdf", "Melting_Curves/meltCurve_tr_Q5TBP5_Q5TBP5_HUMAN_.pdf")</f>
        <v>Melting_Curves/meltCurve_tr_Q5TBP5_Q5TBP5_HUMAN_.pdf</v>
      </c>
      <c r="AA3800" t="s">
        <v>15215</v>
      </c>
      <c r="AB3800" t="s">
        <v>19017</v>
      </c>
    </row>
    <row r="3801" spans="1:28" x14ac:dyDescent="0.25">
      <c r="A3801" t="s">
        <v>3805</v>
      </c>
      <c r="B3801">
        <v>0.98876768158843997</v>
      </c>
      <c r="C3801">
        <v>1.5224411054439</v>
      </c>
      <c r="D3801">
        <v>0.90512832446864</v>
      </c>
      <c r="E3801">
        <v>0.841765538365157</v>
      </c>
      <c r="F3801">
        <v>1.5803787536040901</v>
      </c>
      <c r="G3801">
        <v>1.0373931977519799</v>
      </c>
      <c r="H3801">
        <v>0.80452682289927802</v>
      </c>
      <c r="I3801">
        <v>0.804193379938409</v>
      </c>
      <c r="J3801">
        <v>1.4991759289797699</v>
      </c>
      <c r="K3801">
        <v>1.3860271139417299</v>
      </c>
      <c r="L3801">
        <v>10279.152750953999</v>
      </c>
      <c r="M3801">
        <v>250</v>
      </c>
      <c r="O3801">
        <v>41.113979824452898</v>
      </c>
      <c r="P3801">
        <v>0.23326294168565001</v>
      </c>
      <c r="Q3801">
        <v>1.1534458858311101</v>
      </c>
      <c r="R3801">
        <v>2.6033092469389701E-2</v>
      </c>
      <c r="S3801" t="s">
        <v>7633</v>
      </c>
      <c r="T3801" t="s">
        <v>7662</v>
      </c>
      <c r="U3801" t="s">
        <v>7662</v>
      </c>
      <c r="V3801" t="s">
        <v>7662</v>
      </c>
      <c r="W3801">
        <v>3</v>
      </c>
      <c r="X3801" t="s">
        <v>11463</v>
      </c>
      <c r="Y3801">
        <v>1.1477227656832381</v>
      </c>
      <c r="Z3801" t="str">
        <f>HYPERLINK("Melting_Curves/meltCurve_tr_Q5TBU2_Q5TBU2_HUMAN_.pdf", "Melting_Curves/meltCurve_tr_Q5TBU2_Q5TBU2_HUMAN_.pdf")</f>
        <v>Melting_Curves/meltCurve_tr_Q5TBU2_Q5TBU2_HUMAN_.pdf</v>
      </c>
      <c r="AA3801" t="s">
        <v>13142</v>
      </c>
      <c r="AB3801" t="s">
        <v>19018</v>
      </c>
    </row>
    <row r="3802" spans="1:28" x14ac:dyDescent="0.25">
      <c r="A3802" t="s">
        <v>3806</v>
      </c>
      <c r="B3802">
        <v>0.98876768158843997</v>
      </c>
      <c r="C3802">
        <v>1.0452500638358799</v>
      </c>
      <c r="D3802">
        <v>0.86793797743198298</v>
      </c>
      <c r="E3802">
        <v>0.81188980445723902</v>
      </c>
      <c r="F3802">
        <v>0.78135348817791805</v>
      </c>
      <c r="G3802">
        <v>0.58864331272959003</v>
      </c>
      <c r="H3802">
        <v>0.43303280377671399</v>
      </c>
      <c r="I3802">
        <v>0.40484811588700498</v>
      </c>
      <c r="J3802">
        <v>0.48862921805561998</v>
      </c>
      <c r="K3802">
        <v>0.655516377771729</v>
      </c>
      <c r="L3802">
        <v>891.06258075312701</v>
      </c>
      <c r="M3802">
        <v>17.0976907946057</v>
      </c>
      <c r="N3802">
        <v>66.217081188015996</v>
      </c>
      <c r="O3802">
        <v>51.418699212333998</v>
      </c>
      <c r="P3802">
        <v>-4.2657524885770001E-2</v>
      </c>
      <c r="Q3802">
        <v>0.48688698818898901</v>
      </c>
      <c r="R3802">
        <v>0.867040982278383</v>
      </c>
      <c r="S3802" t="s">
        <v>7634</v>
      </c>
      <c r="T3802" t="s">
        <v>7662</v>
      </c>
      <c r="U3802" t="s">
        <v>7662</v>
      </c>
      <c r="V3802" t="s">
        <v>7662</v>
      </c>
      <c r="W3802">
        <v>16</v>
      </c>
      <c r="X3802" t="s">
        <v>11464</v>
      </c>
      <c r="Y3802">
        <v>0.70340500556367291</v>
      </c>
      <c r="Z3802" t="str">
        <f>HYPERLINK("Melting_Curves/meltCurve_tr_Q5TCU3_Q5TCU3_HUMAN_.pdf", "Melting_Curves/meltCurve_tr_Q5TCU3_Q5TCU3_HUMAN_.pdf")</f>
        <v>Melting_Curves/meltCurve_tr_Q5TCU3_Q5TCU3_HUMAN_.pdf</v>
      </c>
      <c r="AA3802" t="s">
        <v>15216</v>
      </c>
      <c r="AB3802" t="s">
        <v>19019</v>
      </c>
    </row>
    <row r="3803" spans="1:28" x14ac:dyDescent="0.25">
      <c r="A3803" t="s">
        <v>3807</v>
      </c>
      <c r="B3803">
        <v>0.98876768158843997</v>
      </c>
      <c r="C3803">
        <v>0.92142973750462198</v>
      </c>
      <c r="D3803">
        <v>0.98901734498804095</v>
      </c>
      <c r="E3803">
        <v>0.96726680470131399</v>
      </c>
      <c r="F3803">
        <v>0.507980867086675</v>
      </c>
      <c r="G3803">
        <v>0.256635606016415</v>
      </c>
      <c r="H3803">
        <v>9.0126976223159599E-2</v>
      </c>
      <c r="I3803">
        <v>7.2817225027373797E-2</v>
      </c>
      <c r="J3803">
        <v>7.3618143188503904E-2</v>
      </c>
      <c r="K3803">
        <v>2.66356233337674E-2</v>
      </c>
      <c r="L3803">
        <v>1563.1752249287399</v>
      </c>
      <c r="M3803">
        <v>29.314906043219398</v>
      </c>
      <c r="N3803">
        <v>53.586992856332103</v>
      </c>
      <c r="O3803">
        <v>53.077264328705802</v>
      </c>
      <c r="P3803">
        <v>-0.128811983534383</v>
      </c>
      <c r="Q3803">
        <v>6.7103993732297099E-2</v>
      </c>
      <c r="R3803">
        <v>0.98582674338878795</v>
      </c>
      <c r="S3803" t="s">
        <v>7635</v>
      </c>
      <c r="T3803" t="s">
        <v>7662</v>
      </c>
      <c r="U3803" t="s">
        <v>7662</v>
      </c>
      <c r="V3803" t="s">
        <v>7662</v>
      </c>
      <c r="W3803">
        <v>4</v>
      </c>
      <c r="X3803" t="s">
        <v>11465</v>
      </c>
      <c r="Y3803">
        <v>0.48777660495240632</v>
      </c>
      <c r="Z3803" t="str">
        <f>HYPERLINK("Melting_Curves/meltCurve_tr_Q5TCZ7_Q5TCZ7_HUMAN_.pdf", "Melting_Curves/meltCurve_tr_Q5TCZ7_Q5TCZ7_HUMAN_.pdf")</f>
        <v>Melting_Curves/meltCurve_tr_Q5TCZ7_Q5TCZ7_HUMAN_.pdf</v>
      </c>
      <c r="AA3803" t="s">
        <v>15217</v>
      </c>
      <c r="AB3803" t="s">
        <v>19020</v>
      </c>
    </row>
    <row r="3804" spans="1:28" x14ac:dyDescent="0.25">
      <c r="A3804" t="s">
        <v>3808</v>
      </c>
      <c r="B3804">
        <v>0.98876768158843997</v>
      </c>
      <c r="C3804">
        <v>1.0319693849526701</v>
      </c>
      <c r="D3804">
        <v>0.88478885701404497</v>
      </c>
      <c r="E3804">
        <v>0.61681149701228699</v>
      </c>
      <c r="F3804">
        <v>0.490974233648727</v>
      </c>
      <c r="G3804">
        <v>0.296158724715609</v>
      </c>
      <c r="H3804">
        <v>0.19909936382621801</v>
      </c>
      <c r="I3804">
        <v>0.18285824924444</v>
      </c>
      <c r="J3804">
        <v>0.14166285127574499</v>
      </c>
      <c r="K3804">
        <v>0.22823809426928901</v>
      </c>
      <c r="L3804">
        <v>875.45302320580197</v>
      </c>
      <c r="M3804">
        <v>17.161927517341802</v>
      </c>
      <c r="N3804">
        <v>52.269904948332197</v>
      </c>
      <c r="O3804">
        <v>50.333855061722304</v>
      </c>
      <c r="P3804">
        <v>-7.0818068829648195E-2</v>
      </c>
      <c r="Q3804">
        <v>0.16924626059095499</v>
      </c>
      <c r="R3804">
        <v>0.98957959063055401</v>
      </c>
      <c r="S3804" t="s">
        <v>7636</v>
      </c>
      <c r="T3804" t="s">
        <v>7662</v>
      </c>
      <c r="U3804" t="s">
        <v>7662</v>
      </c>
      <c r="V3804" t="s">
        <v>7662</v>
      </c>
      <c r="W3804">
        <v>1</v>
      </c>
      <c r="X3804" t="s">
        <v>11466</v>
      </c>
      <c r="Y3804">
        <v>0.48940921817144789</v>
      </c>
      <c r="Z3804" t="str">
        <f>HYPERLINK("Melting_Curves/meltCurve_tr_Q5TH58_Q5TH58_HUMAN_.pdf", "Melting_Curves/meltCurve_tr_Q5TH58_Q5TH58_HUMAN_.pdf")</f>
        <v>Melting_Curves/meltCurve_tr_Q5TH58_Q5TH58_HUMAN_.pdf</v>
      </c>
      <c r="AA3804" t="s">
        <v>15218</v>
      </c>
      <c r="AB3804" t="s">
        <v>19021</v>
      </c>
    </row>
    <row r="3805" spans="1:28" x14ac:dyDescent="0.25">
      <c r="A3805" t="s">
        <v>3809</v>
      </c>
      <c r="B3805">
        <v>0.98876768158843997</v>
      </c>
      <c r="C3805">
        <v>1.00399397832757</v>
      </c>
      <c r="D3805">
        <v>0.89165124391868</v>
      </c>
      <c r="E3805">
        <v>0.51064104109535102</v>
      </c>
      <c r="F3805">
        <v>0.194431474153308</v>
      </c>
      <c r="G3805">
        <v>8.2677657107073796E-2</v>
      </c>
      <c r="H3805">
        <v>5.0104150665941601E-2</v>
      </c>
      <c r="I3805">
        <v>3.9200273024190102E-2</v>
      </c>
      <c r="J3805">
        <v>6.4199226961735398E-2</v>
      </c>
      <c r="K3805">
        <v>3.2786282913480597E-2</v>
      </c>
      <c r="L3805">
        <v>1321.3661357144199</v>
      </c>
      <c r="M3805">
        <v>26.5162511037373</v>
      </c>
      <c r="N3805">
        <v>50.004736240118</v>
      </c>
      <c r="O3805">
        <v>49.5514850255543</v>
      </c>
      <c r="P3805">
        <v>-0.127938050653915</v>
      </c>
      <c r="Q3805">
        <v>4.3688066403212801E-2</v>
      </c>
      <c r="R3805">
        <v>0.99912003447257003</v>
      </c>
      <c r="S3805" t="s">
        <v>7637</v>
      </c>
      <c r="T3805" t="s">
        <v>7662</v>
      </c>
      <c r="U3805" t="s">
        <v>7662</v>
      </c>
      <c r="V3805" t="s">
        <v>7662</v>
      </c>
      <c r="W3805">
        <v>1</v>
      </c>
      <c r="X3805" t="s">
        <v>11467</v>
      </c>
      <c r="Y3805">
        <v>0.36468883706181421</v>
      </c>
      <c r="Z3805" t="str">
        <f>HYPERLINK("Melting_Curves/meltCurve_tr_Q5VTU3_Q5VTU3_HUMAN_.pdf", "Melting_Curves/meltCurve_tr_Q5VTU3_Q5VTU3_HUMAN_.pdf")</f>
        <v>Melting_Curves/meltCurve_tr_Q5VTU3_Q5VTU3_HUMAN_.pdf</v>
      </c>
      <c r="AA3805" t="s">
        <v>15219</v>
      </c>
      <c r="AB3805" t="s">
        <v>19022</v>
      </c>
    </row>
    <row r="3806" spans="1:28" x14ac:dyDescent="0.25">
      <c r="A3806" t="s">
        <v>3810</v>
      </c>
      <c r="B3806">
        <v>0.98876768158843997</v>
      </c>
      <c r="C3806">
        <v>0.85839804737263303</v>
      </c>
      <c r="D3806">
        <v>1.1304652080492601</v>
      </c>
      <c r="E3806">
        <v>1.29941075822591</v>
      </c>
      <c r="F3806">
        <v>0.60473547296173202</v>
      </c>
      <c r="G3806">
        <v>0.84052828127695101</v>
      </c>
      <c r="H3806">
        <v>0.82758784226057502</v>
      </c>
      <c r="I3806">
        <v>0.87351927975262</v>
      </c>
      <c r="J3806">
        <v>0.35327068176307302</v>
      </c>
      <c r="K3806">
        <v>8.9809926260560599E-2</v>
      </c>
      <c r="L3806">
        <v>2904.5506428861399</v>
      </c>
      <c r="M3806">
        <v>43.867905748966997</v>
      </c>
      <c r="N3806">
        <v>66.211290671899505</v>
      </c>
      <c r="O3806">
        <v>66.074147723576701</v>
      </c>
      <c r="P3806">
        <v>-0.165980097038846</v>
      </c>
      <c r="Q3806">
        <v>0</v>
      </c>
      <c r="R3806">
        <v>0.70861074571165095</v>
      </c>
      <c r="S3806" t="s">
        <v>7638</v>
      </c>
      <c r="T3806" t="s">
        <v>7662</v>
      </c>
      <c r="U3806" t="s">
        <v>7662</v>
      </c>
      <c r="V3806" t="s">
        <v>7662</v>
      </c>
      <c r="W3806">
        <v>1</v>
      </c>
      <c r="X3806" t="s">
        <v>11468</v>
      </c>
      <c r="Y3806">
        <v>0.87223900615796679</v>
      </c>
      <c r="Z3806" t="str">
        <f>HYPERLINK("Melting_Curves/meltCurve_tr_Q5VTW1_Q5VTW1_HUMAN_.pdf", "Melting_Curves/meltCurve_tr_Q5VTW1_Q5VTW1_HUMAN_.pdf")</f>
        <v>Melting_Curves/meltCurve_tr_Q5VTW1_Q5VTW1_HUMAN_.pdf</v>
      </c>
      <c r="AA3806" t="s">
        <v>15220</v>
      </c>
      <c r="AB3806" t="s">
        <v>19023</v>
      </c>
    </row>
    <row r="3807" spans="1:28" x14ac:dyDescent="0.25">
      <c r="A3807" t="s">
        <v>3811</v>
      </c>
      <c r="B3807">
        <v>0.98876768158843997</v>
      </c>
      <c r="C3807">
        <v>0.94806324533353503</v>
      </c>
      <c r="D3807">
        <v>1.0550295933412499</v>
      </c>
      <c r="E3807">
        <v>0.92706754117765899</v>
      </c>
      <c r="F3807">
        <v>0.58655751830404901</v>
      </c>
      <c r="G3807">
        <v>0.45769613487938998</v>
      </c>
      <c r="H3807">
        <v>0.377894591003124</v>
      </c>
      <c r="I3807">
        <v>0.27036854366827301</v>
      </c>
      <c r="J3807">
        <v>0.21504099919158801</v>
      </c>
      <c r="K3807">
        <v>0.10430949525472399</v>
      </c>
      <c r="L3807">
        <v>818.51946375297803</v>
      </c>
      <c r="M3807">
        <v>14.843088169819</v>
      </c>
      <c r="N3807">
        <v>56.414838706894301</v>
      </c>
      <c r="O3807">
        <v>54.172913804149204</v>
      </c>
      <c r="P3807">
        <v>-5.87763306077419E-2</v>
      </c>
      <c r="Q3807">
        <v>0.142024978822931</v>
      </c>
      <c r="R3807">
        <v>0.96453591931791705</v>
      </c>
      <c r="S3807" t="s">
        <v>7639</v>
      </c>
      <c r="T3807" t="s">
        <v>7662</v>
      </c>
      <c r="U3807" t="s">
        <v>7662</v>
      </c>
      <c r="V3807" t="s">
        <v>7662</v>
      </c>
      <c r="W3807">
        <v>3</v>
      </c>
      <c r="X3807" t="s">
        <v>11469</v>
      </c>
      <c r="Y3807">
        <v>0.59170214056631787</v>
      </c>
      <c r="Z3807" t="str">
        <f>HYPERLINK("Melting_Curves/meltCurve_tr_Q5VU10_Q5VU10_HUMAN_.pdf", "Melting_Curves/meltCurve_tr_Q5VU10_Q5VU10_HUMAN_.pdf")</f>
        <v>Melting_Curves/meltCurve_tr_Q5VU10_Q5VU10_HUMAN_.pdf</v>
      </c>
      <c r="AA3807" t="s">
        <v>15221</v>
      </c>
      <c r="AB3807" t="s">
        <v>19024</v>
      </c>
    </row>
    <row r="3808" spans="1:28" x14ac:dyDescent="0.25">
      <c r="A3808" t="s">
        <v>3812</v>
      </c>
      <c r="B3808">
        <v>0.98876768158843997</v>
      </c>
      <c r="C3808">
        <v>0.97214466096264696</v>
      </c>
      <c r="D3808">
        <v>0.90188524755983401</v>
      </c>
      <c r="E3808">
        <v>0.717359703843644</v>
      </c>
      <c r="F3808">
        <v>0.58659609383049705</v>
      </c>
      <c r="G3808">
        <v>0.36357401908849502</v>
      </c>
      <c r="H3808">
        <v>0.209622100113175</v>
      </c>
      <c r="I3808">
        <v>0.20414962880385601</v>
      </c>
      <c r="J3808">
        <v>0.40381141605891901</v>
      </c>
      <c r="K3808">
        <v>0.25082978737350498</v>
      </c>
      <c r="L3808">
        <v>924.89251251297901</v>
      </c>
      <c r="M3808">
        <v>17.913774631431501</v>
      </c>
      <c r="N3808">
        <v>53.720719589126404</v>
      </c>
      <c r="O3808">
        <v>50.999737982747902</v>
      </c>
      <c r="P3808">
        <v>-6.5776566733038902E-2</v>
      </c>
      <c r="Q3808">
        <v>0.25098555230705599</v>
      </c>
      <c r="R3808">
        <v>0.96109708946345096</v>
      </c>
      <c r="S3808" t="s">
        <v>7640</v>
      </c>
      <c r="T3808" t="s">
        <v>7662</v>
      </c>
      <c r="U3808" t="s">
        <v>7662</v>
      </c>
      <c r="V3808" t="s">
        <v>7662</v>
      </c>
      <c r="W3808">
        <v>3</v>
      </c>
      <c r="X3808" t="s">
        <v>11470</v>
      </c>
      <c r="Y3808">
        <v>0.55398971969285682</v>
      </c>
      <c r="Z3808" t="str">
        <f>HYPERLINK("Melting_Curves/meltCurve_tr_Q658Y7_Q658Y7_HUMAN_.pdf", "Melting_Curves/meltCurve_tr_Q658Y7_Q658Y7_HUMAN_.pdf")</f>
        <v>Melting_Curves/meltCurve_tr_Q658Y7_Q658Y7_HUMAN_.pdf</v>
      </c>
      <c r="AA3808" t="s">
        <v>15222</v>
      </c>
      <c r="AB3808" t="s">
        <v>19025</v>
      </c>
    </row>
    <row r="3809" spans="1:28" x14ac:dyDescent="0.25">
      <c r="A3809" t="s">
        <v>3813</v>
      </c>
      <c r="B3809">
        <v>0.98876768158843997</v>
      </c>
      <c r="C3809">
        <v>1.0635323241186401</v>
      </c>
      <c r="D3809">
        <v>0.88516844660569804</v>
      </c>
      <c r="E3809">
        <v>0.77858063208384298</v>
      </c>
      <c r="F3809">
        <v>0.72809274452679396</v>
      </c>
      <c r="G3809">
        <v>0.50781338575995005</v>
      </c>
      <c r="H3809">
        <v>0.347783915160366</v>
      </c>
      <c r="I3809">
        <v>0.28598418052158597</v>
      </c>
      <c r="J3809">
        <v>0.25758370405293701</v>
      </c>
      <c r="K3809">
        <v>0.21416514302332901</v>
      </c>
      <c r="L3809">
        <v>654.84583040487405</v>
      </c>
      <c r="M3809">
        <v>11.8067327275447</v>
      </c>
      <c r="N3809">
        <v>57.140828937999103</v>
      </c>
      <c r="O3809">
        <v>53.944402977331997</v>
      </c>
      <c r="P3809">
        <v>-4.6716938587033498E-2</v>
      </c>
      <c r="Q3809">
        <v>0.14642917980263101</v>
      </c>
      <c r="R3809">
        <v>0.98538000531889303</v>
      </c>
      <c r="S3809" t="s">
        <v>7641</v>
      </c>
      <c r="T3809" t="s">
        <v>7662</v>
      </c>
      <c r="U3809" t="s">
        <v>7662</v>
      </c>
      <c r="V3809" t="s">
        <v>7662</v>
      </c>
      <c r="W3809">
        <v>9</v>
      </c>
      <c r="X3809" t="s">
        <v>11471</v>
      </c>
      <c r="Y3809">
        <v>0.60542796896257811</v>
      </c>
      <c r="Z3809" t="str">
        <f>HYPERLINK("Melting_Curves/meltCurve_tr_Q6ICJ4_Q6ICJ4_HUMAN_.pdf", "Melting_Curves/meltCurve_tr_Q6ICJ4_Q6ICJ4_HUMAN_.pdf")</f>
        <v>Melting_Curves/meltCurve_tr_Q6ICJ4_Q6ICJ4_HUMAN_.pdf</v>
      </c>
      <c r="AA3809" t="s">
        <v>15223</v>
      </c>
      <c r="AB3809" t="s">
        <v>19026</v>
      </c>
    </row>
    <row r="3810" spans="1:28" x14ac:dyDescent="0.25">
      <c r="A3810" t="s">
        <v>3814</v>
      </c>
      <c r="B3810">
        <v>0.98876768158843997</v>
      </c>
      <c r="C3810">
        <v>1.29847781701697</v>
      </c>
      <c r="D3810">
        <v>0.96604909062905298</v>
      </c>
      <c r="E3810">
        <v>0.760597349993545</v>
      </c>
      <c r="F3810">
        <v>0.57656195388679699</v>
      </c>
      <c r="G3810">
        <v>0.35143868588465199</v>
      </c>
      <c r="H3810">
        <v>0.25362464429378401</v>
      </c>
      <c r="I3810">
        <v>0.24427790357304699</v>
      </c>
      <c r="J3810">
        <v>0.30580544833677598</v>
      </c>
      <c r="K3810">
        <v>0.33644996443215502</v>
      </c>
      <c r="L3810">
        <v>1312.8734372234601</v>
      </c>
      <c r="M3810">
        <v>25.3189387679754</v>
      </c>
      <c r="N3810">
        <v>53.614880386565403</v>
      </c>
      <c r="O3810">
        <v>51.533186000112401</v>
      </c>
      <c r="P3810">
        <v>-8.8145931234623401E-2</v>
      </c>
      <c r="Q3810">
        <v>0.282373933195535</v>
      </c>
      <c r="R3810">
        <v>0.92003588089439803</v>
      </c>
      <c r="S3810" t="s">
        <v>7642</v>
      </c>
      <c r="T3810" t="s">
        <v>7662</v>
      </c>
      <c r="U3810" t="s">
        <v>7662</v>
      </c>
      <c r="V3810" t="s">
        <v>7662</v>
      </c>
      <c r="W3810">
        <v>2</v>
      </c>
      <c r="X3810" t="s">
        <v>11472</v>
      </c>
      <c r="Y3810">
        <v>0.5723012276497762</v>
      </c>
      <c r="Z3810" t="str">
        <f>HYPERLINK("Melting_Curves/meltCurve_tr_Q6P4G0_Q6P4G0_HUMAN_.pdf", "Melting_Curves/meltCurve_tr_Q6P4G0_Q6P4G0_HUMAN_.pdf")</f>
        <v>Melting_Curves/meltCurve_tr_Q6P4G0_Q6P4G0_HUMAN_.pdf</v>
      </c>
      <c r="AA3810" t="s">
        <v>15224</v>
      </c>
      <c r="AB3810" t="s">
        <v>19027</v>
      </c>
    </row>
    <row r="3811" spans="1:28" x14ac:dyDescent="0.25">
      <c r="A3811" t="s">
        <v>3815</v>
      </c>
      <c r="B3811">
        <v>0.98876768158843997</v>
      </c>
      <c r="C3811">
        <v>0.84913671440934302</v>
      </c>
      <c r="D3811">
        <v>0.80914494245113999</v>
      </c>
      <c r="E3811">
        <v>0.36068819181316503</v>
      </c>
      <c r="F3811">
        <v>0.112450971921672</v>
      </c>
      <c r="G3811">
        <v>4.20327351098366E-2</v>
      </c>
      <c r="H3811">
        <v>0</v>
      </c>
      <c r="I3811">
        <v>0</v>
      </c>
      <c r="J3811">
        <v>0</v>
      </c>
      <c r="K3811">
        <v>0</v>
      </c>
      <c r="L3811">
        <v>1047.3751762951399</v>
      </c>
      <c r="M3811">
        <v>21.556962915698001</v>
      </c>
      <c r="N3811">
        <v>48.586386766213302</v>
      </c>
      <c r="O3811">
        <v>48.174099632549201</v>
      </c>
      <c r="P3811">
        <v>-0.111872827642997</v>
      </c>
      <c r="Q3811">
        <v>0</v>
      </c>
      <c r="R3811">
        <v>0.99200613899149104</v>
      </c>
      <c r="S3811" t="s">
        <v>7643</v>
      </c>
      <c r="T3811" t="s">
        <v>7662</v>
      </c>
      <c r="U3811" t="s">
        <v>7662</v>
      </c>
      <c r="V3811" t="s">
        <v>7662</v>
      </c>
      <c r="W3811">
        <v>2</v>
      </c>
      <c r="X3811" t="s">
        <v>11473</v>
      </c>
      <c r="Y3811">
        <v>0.29825784504718023</v>
      </c>
      <c r="Z3811" t="str">
        <f>HYPERLINK("Melting_Curves/meltCurve_tr_Q71TU5_Q71TU5_HUMAN_.pdf", "Melting_Curves/meltCurve_tr_Q71TU5_Q71TU5_HUMAN_.pdf")</f>
        <v>Melting_Curves/meltCurve_tr_Q71TU5_Q71TU5_HUMAN_.pdf</v>
      </c>
      <c r="AA3811" t="s">
        <v>15225</v>
      </c>
      <c r="AB3811" t="s">
        <v>19028</v>
      </c>
    </row>
    <row r="3812" spans="1:28" x14ac:dyDescent="0.25">
      <c r="A3812" t="s">
        <v>3816</v>
      </c>
      <c r="B3812">
        <v>0.98876768158843997</v>
      </c>
      <c r="C3812">
        <v>0.86347292345655202</v>
      </c>
      <c r="D3812">
        <v>1.1584008168322899</v>
      </c>
      <c r="E3812">
        <v>0.91446238177774797</v>
      </c>
      <c r="F3812">
        <v>0.422923424057848</v>
      </c>
      <c r="G3812">
        <v>0.27254866009309903</v>
      </c>
      <c r="H3812">
        <v>0.19501032679226599</v>
      </c>
      <c r="I3812">
        <v>0.116156916309869</v>
      </c>
      <c r="J3812">
        <v>8.7029441566358404E-2</v>
      </c>
      <c r="K3812">
        <v>0.108098828280609</v>
      </c>
      <c r="L3812">
        <v>2286.2987214186501</v>
      </c>
      <c r="M3812">
        <v>43.761774750024998</v>
      </c>
      <c r="N3812">
        <v>52.667190670054403</v>
      </c>
      <c r="O3812">
        <v>52.1354532518124</v>
      </c>
      <c r="P3812">
        <v>-0.17875299042109</v>
      </c>
      <c r="Q3812">
        <v>0.14817397574521801</v>
      </c>
      <c r="R3812">
        <v>0.959644496985396</v>
      </c>
      <c r="S3812" t="s">
        <v>7644</v>
      </c>
      <c r="T3812" t="s">
        <v>7662</v>
      </c>
      <c r="U3812" t="s">
        <v>7662</v>
      </c>
      <c r="V3812" t="s">
        <v>7662</v>
      </c>
      <c r="W3812">
        <v>22</v>
      </c>
      <c r="X3812" t="s">
        <v>11474</v>
      </c>
      <c r="Y3812">
        <v>0.49840420233323007</v>
      </c>
      <c r="Z3812" t="str">
        <f>HYPERLINK("Melting_Curves/meltCurve_tr_Q7Z451_Q7Z451_HUMAN_.pdf", "Melting_Curves/meltCurve_tr_Q7Z451_Q7Z451_HUMAN_.pdf")</f>
        <v>Melting_Curves/meltCurve_tr_Q7Z451_Q7Z451_HUMAN_.pdf</v>
      </c>
      <c r="AA3812" t="s">
        <v>12764</v>
      </c>
      <c r="AB3812" t="s">
        <v>16531</v>
      </c>
    </row>
    <row r="3813" spans="1:28" x14ac:dyDescent="0.25">
      <c r="A3813" t="s">
        <v>3817</v>
      </c>
      <c r="B3813">
        <v>0.98876768158843997</v>
      </c>
      <c r="C3813">
        <v>0.83286018611957702</v>
      </c>
      <c r="D3813">
        <v>0.67336490615975897</v>
      </c>
      <c r="E3813">
        <v>0.385389402973911</v>
      </c>
      <c r="F3813">
        <v>0.22985344847925199</v>
      </c>
      <c r="G3813">
        <v>0.136632902250413</v>
      </c>
      <c r="H3813">
        <v>9.7917998394797007E-2</v>
      </c>
      <c r="I3813">
        <v>0.105028245292648</v>
      </c>
      <c r="J3813">
        <v>0.113454217041098</v>
      </c>
      <c r="K3813">
        <v>0.14859487303743599</v>
      </c>
      <c r="L3813">
        <v>787.45651833441798</v>
      </c>
      <c r="M3813">
        <v>16.604315759313099</v>
      </c>
      <c r="N3813">
        <v>48.0879779481631</v>
      </c>
      <c r="O3813">
        <v>46.7529178834927</v>
      </c>
      <c r="P3813">
        <v>-7.9707322319543403E-2</v>
      </c>
      <c r="Q3813">
        <v>0.10232997066888599</v>
      </c>
      <c r="R3813">
        <v>0.99491996151317497</v>
      </c>
      <c r="S3813" t="s">
        <v>7645</v>
      </c>
      <c r="T3813" t="s">
        <v>7662</v>
      </c>
      <c r="U3813" t="s">
        <v>7662</v>
      </c>
      <c r="V3813" t="s">
        <v>7662</v>
      </c>
      <c r="W3813">
        <v>6</v>
      </c>
      <c r="X3813" t="s">
        <v>11475</v>
      </c>
      <c r="Y3813">
        <v>0.34378314562000928</v>
      </c>
      <c r="Z3813" t="str">
        <f>HYPERLINK("Melting_Curves/meltCurve_tr_Q86TV2_Q86TV2_HUMAN_.pdf", "Melting_Curves/meltCurve_tr_Q86TV2_Q86TV2_HUMAN_.pdf")</f>
        <v>Melting_Curves/meltCurve_tr_Q86TV2_Q86TV2_HUMAN_.pdf</v>
      </c>
      <c r="AA3813" t="s">
        <v>15226</v>
      </c>
      <c r="AB3813" t="s">
        <v>19029</v>
      </c>
    </row>
    <row r="3814" spans="1:28" x14ac:dyDescent="0.25">
      <c r="A3814" t="s">
        <v>3818</v>
      </c>
      <c r="B3814">
        <v>0.98876768158843997</v>
      </c>
      <c r="C3814">
        <v>1.02297259906787</v>
      </c>
      <c r="D3814">
        <v>0.86749484853979197</v>
      </c>
      <c r="E3814">
        <v>0.76758338794047398</v>
      </c>
      <c r="F3814">
        <v>0.82303947995682902</v>
      </c>
      <c r="G3814">
        <v>0.61465656716517203</v>
      </c>
      <c r="H3814">
        <v>0.414970388647039</v>
      </c>
      <c r="I3814">
        <v>0.35230667440476499</v>
      </c>
      <c r="J3814">
        <v>0.226763514897318</v>
      </c>
      <c r="K3814">
        <v>0.23175565651091601</v>
      </c>
      <c r="L3814">
        <v>527.09518331050106</v>
      </c>
      <c r="M3814">
        <v>8.8773273079834603</v>
      </c>
      <c r="N3814">
        <v>59.375435667924599</v>
      </c>
      <c r="O3814">
        <v>56.594160159405902</v>
      </c>
      <c r="P3814">
        <v>-3.9244854727624602E-2</v>
      </c>
      <c r="Q3814">
        <v>0</v>
      </c>
      <c r="R3814">
        <v>0.973805439968491</v>
      </c>
      <c r="S3814" t="s">
        <v>7646</v>
      </c>
      <c r="T3814" t="s">
        <v>7662</v>
      </c>
      <c r="U3814" t="s">
        <v>7662</v>
      </c>
      <c r="V3814" t="s">
        <v>7662</v>
      </c>
      <c r="W3814">
        <v>15</v>
      </c>
      <c r="X3814" t="s">
        <v>11476</v>
      </c>
      <c r="Y3814">
        <v>0.64179898675124447</v>
      </c>
      <c r="Z3814" t="str">
        <f>HYPERLINK("Melting_Curves/meltCurve_tr_Q86UY0_Q86UY0_HUMAN_.pdf", "Melting_Curves/meltCurve_tr_Q86UY0_Q86UY0_HUMAN_.pdf")</f>
        <v>Melting_Curves/meltCurve_tr_Q86UY0_Q86UY0_HUMAN_.pdf</v>
      </c>
      <c r="AA3814" t="s">
        <v>15227</v>
      </c>
      <c r="AB3814" t="s">
        <v>19030</v>
      </c>
    </row>
    <row r="3815" spans="1:28" x14ac:dyDescent="0.25">
      <c r="A3815" t="s">
        <v>3819</v>
      </c>
      <c r="B3815">
        <v>0.98876768158843997</v>
      </c>
      <c r="C3815">
        <v>1.2626246560921901</v>
      </c>
      <c r="D3815">
        <v>1.0607209174807</v>
      </c>
      <c r="E3815">
        <v>1.02768046322037</v>
      </c>
      <c r="F3815">
        <v>0.698209116208233</v>
      </c>
      <c r="G3815">
        <v>0.53392430742182695</v>
      </c>
      <c r="H3815">
        <v>0.34086410342550699</v>
      </c>
      <c r="I3815">
        <v>0.38363374346416601</v>
      </c>
      <c r="J3815">
        <v>0.69067315282694497</v>
      </c>
      <c r="K3815">
        <v>0.56855789391559097</v>
      </c>
      <c r="L3815">
        <v>13226.765631480301</v>
      </c>
      <c r="M3815">
        <v>250</v>
      </c>
      <c r="O3815">
        <v>52.903684313343398</v>
      </c>
      <c r="P3815">
        <v>-0.58652511523526896</v>
      </c>
      <c r="Q3815">
        <v>0.50353063808992504</v>
      </c>
      <c r="R3815">
        <v>0.82447501100434895</v>
      </c>
      <c r="S3815" t="s">
        <v>7647</v>
      </c>
      <c r="T3815" t="s">
        <v>7662</v>
      </c>
      <c r="U3815" t="s">
        <v>7662</v>
      </c>
      <c r="V3815" t="s">
        <v>7662</v>
      </c>
      <c r="W3815">
        <v>1</v>
      </c>
      <c r="X3815" t="s">
        <v>11477</v>
      </c>
      <c r="Y3815">
        <v>0.71717543901464009</v>
      </c>
      <c r="Z3815" t="str">
        <f>HYPERLINK("Melting_Curves/meltCurve_tr_Q86VQ2_Q86VQ2_HUMAN_.pdf", "Melting_Curves/meltCurve_tr_Q86VQ2_Q86VQ2_HUMAN_.pdf")</f>
        <v>Melting_Curves/meltCurve_tr_Q86VQ2_Q86VQ2_HUMAN_.pdf</v>
      </c>
      <c r="AA3815" t="s">
        <v>15228</v>
      </c>
      <c r="AB3815" t="s">
        <v>19031</v>
      </c>
    </row>
    <row r="3816" spans="1:28" x14ac:dyDescent="0.25">
      <c r="A3816" t="s">
        <v>3820</v>
      </c>
      <c r="B3816">
        <v>0.98876768158843997</v>
      </c>
      <c r="C3816">
        <v>0.98975705533986202</v>
      </c>
      <c r="D3816">
        <v>0.86265588553794104</v>
      </c>
      <c r="E3816">
        <v>0.68310055672663605</v>
      </c>
      <c r="F3816">
        <v>0.51806702162743301</v>
      </c>
      <c r="G3816">
        <v>0.34769068498036998</v>
      </c>
      <c r="H3816">
        <v>0.24854596851793001</v>
      </c>
      <c r="I3816">
        <v>0.19083251287693501</v>
      </c>
      <c r="J3816">
        <v>0.17662252133572801</v>
      </c>
      <c r="K3816">
        <v>0.12818818244438601</v>
      </c>
      <c r="L3816">
        <v>680.13513497229303</v>
      </c>
      <c r="M3816">
        <v>12.990716725829101</v>
      </c>
      <c r="N3816">
        <v>53.439459045486402</v>
      </c>
      <c r="O3816">
        <v>51.161403928620501</v>
      </c>
      <c r="P3816">
        <v>-5.6136602369087102E-2</v>
      </c>
      <c r="Q3816">
        <v>0.11582421426041099</v>
      </c>
      <c r="R3816">
        <v>0.99783688768089296</v>
      </c>
      <c r="S3816" t="s">
        <v>7648</v>
      </c>
      <c r="T3816" t="s">
        <v>7662</v>
      </c>
      <c r="U3816" t="s">
        <v>7662</v>
      </c>
      <c r="V3816" t="s">
        <v>7662</v>
      </c>
      <c r="W3816">
        <v>6</v>
      </c>
      <c r="X3816" t="s">
        <v>11478</v>
      </c>
      <c r="Y3816">
        <v>0.50384143685452609</v>
      </c>
      <c r="Z3816" t="str">
        <f>HYPERLINK("Melting_Curves/meltCurve_tr_Q8IYN9_Q8IYN9_HUMAN_.pdf", "Melting_Curves/meltCurve_tr_Q8IYN9_Q8IYN9_HUMAN_.pdf")</f>
        <v>Melting_Curves/meltCurve_tr_Q8IYN9_Q8IYN9_HUMAN_.pdf</v>
      </c>
      <c r="AA3816" t="s">
        <v>15229</v>
      </c>
      <c r="AB3816" t="s">
        <v>19032</v>
      </c>
    </row>
    <row r="3817" spans="1:28" x14ac:dyDescent="0.25">
      <c r="A3817" t="s">
        <v>3821</v>
      </c>
      <c r="B3817">
        <v>0.98876768158843997</v>
      </c>
      <c r="C3817">
        <v>1.0966809787582099</v>
      </c>
      <c r="D3817">
        <v>1.00347377512338</v>
      </c>
      <c r="E3817">
        <v>0.82024524182569003</v>
      </c>
      <c r="F3817">
        <v>0.87066489294119698</v>
      </c>
      <c r="G3817">
        <v>0.40880595592632002</v>
      </c>
      <c r="H3817">
        <v>0.25541753438228898</v>
      </c>
      <c r="I3817">
        <v>0.43810343384276801</v>
      </c>
      <c r="J3817">
        <v>0.54705416424712305</v>
      </c>
      <c r="K3817">
        <v>0.71902810155662999</v>
      </c>
      <c r="L3817">
        <v>7193.5917271275503</v>
      </c>
      <c r="M3817">
        <v>134.608372191668</v>
      </c>
      <c r="N3817">
        <v>54.6357237309808</v>
      </c>
      <c r="O3817">
        <v>53.429094567092598</v>
      </c>
      <c r="P3817">
        <v>-0.33150912000980998</v>
      </c>
      <c r="Q3817">
        <v>0.47366620441041302</v>
      </c>
      <c r="R3817">
        <v>0.78573709479034803</v>
      </c>
      <c r="S3817" t="s">
        <v>7649</v>
      </c>
      <c r="T3817" t="s">
        <v>7662</v>
      </c>
      <c r="U3817" t="s">
        <v>7662</v>
      </c>
      <c r="V3817" t="s">
        <v>7662</v>
      </c>
      <c r="W3817">
        <v>2</v>
      </c>
      <c r="X3817" t="s">
        <v>11479</v>
      </c>
      <c r="Y3817">
        <v>0.70964979135587358</v>
      </c>
      <c r="Z3817" t="str">
        <f>HYPERLINK("Melting_Curves/meltCurve_tr_Q8WVC2_Q8WVC2_HUMAN_.pdf", "Melting_Curves/meltCurve_tr_Q8WVC2_Q8WVC2_HUMAN_.pdf")</f>
        <v>Melting_Curves/meltCurve_tr_Q8WVC2_Q8WVC2_HUMAN_.pdf</v>
      </c>
      <c r="AA3817" t="s">
        <v>15230</v>
      </c>
      <c r="AB3817" t="s">
        <v>19033</v>
      </c>
    </row>
    <row r="3818" spans="1:28" x14ac:dyDescent="0.25">
      <c r="A3818" t="s">
        <v>3822</v>
      </c>
      <c r="B3818">
        <v>0.98876768158843997</v>
      </c>
      <c r="C3818">
        <v>1.0795832763523801</v>
      </c>
      <c r="D3818">
        <v>0.93081944135899297</v>
      </c>
      <c r="E3818">
        <v>0.71320755417164605</v>
      </c>
      <c r="F3818">
        <v>0.56373811752523295</v>
      </c>
      <c r="G3818">
        <v>0.25835021391839802</v>
      </c>
      <c r="H3818">
        <v>0.106330034629006</v>
      </c>
      <c r="I3818">
        <v>0.10313515869071301</v>
      </c>
      <c r="J3818">
        <v>0.128632490010953</v>
      </c>
      <c r="K3818">
        <v>0.115822660953497</v>
      </c>
      <c r="L3818">
        <v>999.40855240010205</v>
      </c>
      <c r="M3818">
        <v>18.972806078181499</v>
      </c>
      <c r="N3818">
        <v>53.213354237973398</v>
      </c>
      <c r="O3818">
        <v>52.101117225397097</v>
      </c>
      <c r="P3818">
        <v>-8.31031533532023E-2</v>
      </c>
      <c r="Q3818">
        <v>8.7200165373190003E-2</v>
      </c>
      <c r="R3818">
        <v>0.98902749439731497</v>
      </c>
      <c r="S3818" t="s">
        <v>7650</v>
      </c>
      <c r="T3818" t="s">
        <v>7662</v>
      </c>
      <c r="U3818" t="s">
        <v>7662</v>
      </c>
      <c r="V3818" t="s">
        <v>7662</v>
      </c>
      <c r="W3818">
        <v>3</v>
      </c>
      <c r="X3818" t="s">
        <v>11480</v>
      </c>
      <c r="Y3818">
        <v>0.48665822087751448</v>
      </c>
      <c r="Z3818" t="str">
        <f>HYPERLINK("Melting_Curves/meltCurve_tr_Q8WYQ7_Q8WYQ7_HUMAN_.pdf", "Melting_Curves/meltCurve_tr_Q8WYQ7_Q8WYQ7_HUMAN_.pdf")</f>
        <v>Melting_Curves/meltCurve_tr_Q8WYQ7_Q8WYQ7_HUMAN_.pdf</v>
      </c>
      <c r="AA3818" t="s">
        <v>15231</v>
      </c>
      <c r="AB3818" t="s">
        <v>19034</v>
      </c>
    </row>
    <row r="3819" spans="1:28" x14ac:dyDescent="0.25">
      <c r="A3819" t="s">
        <v>3823</v>
      </c>
      <c r="B3819">
        <v>0.98876768158843997</v>
      </c>
      <c r="C3819">
        <v>0.90362447242319099</v>
      </c>
      <c r="D3819">
        <v>0.88877398012319597</v>
      </c>
      <c r="E3819">
        <v>0.68498995084268699</v>
      </c>
      <c r="F3819">
        <v>0.23213412711079601</v>
      </c>
      <c r="G3819">
        <v>8.3436710913048995E-2</v>
      </c>
      <c r="H3819">
        <v>4.6255205655870199E-2</v>
      </c>
      <c r="I3819">
        <v>3.9278159825827497E-2</v>
      </c>
      <c r="J3819">
        <v>5.2735219923664901E-2</v>
      </c>
      <c r="K3819">
        <v>4.4938683780789301E-2</v>
      </c>
      <c r="L3819">
        <v>1540.8921748529201</v>
      </c>
      <c r="M3819">
        <v>30.271445215808701</v>
      </c>
      <c r="N3819">
        <v>51.0482853016155</v>
      </c>
      <c r="O3819">
        <v>50.681909330704897</v>
      </c>
      <c r="P3819">
        <v>-0.14313856019039101</v>
      </c>
      <c r="Q3819">
        <v>4.1408231254770701E-2</v>
      </c>
      <c r="R3819">
        <v>0.98913913687388799</v>
      </c>
      <c r="S3819" t="s">
        <v>7651</v>
      </c>
      <c r="T3819" t="s">
        <v>7662</v>
      </c>
      <c r="U3819" t="s">
        <v>7662</v>
      </c>
      <c r="V3819" t="s">
        <v>7662</v>
      </c>
      <c r="W3819">
        <v>7</v>
      </c>
      <c r="X3819" t="s">
        <v>11481</v>
      </c>
      <c r="Y3819">
        <v>0.39568611665456183</v>
      </c>
      <c r="Z3819" t="str">
        <f>HYPERLINK("Melting_Curves/meltCurve_tr_Q96CG1_Q96CG1_HUMAN_.pdf", "Melting_Curves/meltCurve_tr_Q96CG1_Q96CG1_HUMAN_.pdf")</f>
        <v>Melting_Curves/meltCurve_tr_Q96CG1_Q96CG1_HUMAN_.pdf</v>
      </c>
      <c r="AA3819" t="s">
        <v>15232</v>
      </c>
      <c r="AB3819" t="s">
        <v>19035</v>
      </c>
    </row>
    <row r="3820" spans="1:28" x14ac:dyDescent="0.25">
      <c r="A3820" t="s">
        <v>3824</v>
      </c>
      <c r="B3820">
        <v>0.98876768158843997</v>
      </c>
      <c r="C3820">
        <v>0.927808173826837</v>
      </c>
      <c r="D3820">
        <v>0.81321519701473399</v>
      </c>
      <c r="E3820">
        <v>0.75931926850898901</v>
      </c>
      <c r="F3820">
        <v>0.56835456299224896</v>
      </c>
      <c r="G3820">
        <v>0.38372579922802202</v>
      </c>
      <c r="H3820">
        <v>0.30506165877157299</v>
      </c>
      <c r="I3820">
        <v>0.221336901519852</v>
      </c>
      <c r="J3820">
        <v>0.238449099662323</v>
      </c>
      <c r="K3820">
        <v>0.256875587714406</v>
      </c>
      <c r="L3820">
        <v>623.64485136061796</v>
      </c>
      <c r="M3820">
        <v>11.902908509793001</v>
      </c>
      <c r="N3820">
        <v>54.407335999805603</v>
      </c>
      <c r="O3820">
        <v>50.9811247535985</v>
      </c>
      <c r="P3820">
        <v>-4.7985105400420898E-2</v>
      </c>
      <c r="Q3820">
        <v>0.178108036720526</v>
      </c>
      <c r="R3820">
        <v>0.98742895668652297</v>
      </c>
      <c r="S3820" t="s">
        <v>7652</v>
      </c>
      <c r="T3820" t="s">
        <v>7662</v>
      </c>
      <c r="U3820" t="s">
        <v>7662</v>
      </c>
      <c r="V3820" t="s">
        <v>7662</v>
      </c>
      <c r="W3820">
        <v>1</v>
      </c>
      <c r="X3820" t="s">
        <v>11482</v>
      </c>
      <c r="Y3820">
        <v>0.54238906657828134</v>
      </c>
      <c r="Z3820" t="str">
        <f>HYPERLINK("Melting_Curves/meltCurve_tr_Q9BVB1_Q9BVB1_HUMAN_.pdf", "Melting_Curves/meltCurve_tr_Q9BVB1_Q9BVB1_HUMAN_.pdf")</f>
        <v>Melting_Curves/meltCurve_tr_Q9BVB1_Q9BVB1_HUMAN_.pdf</v>
      </c>
      <c r="AA3820" t="s">
        <v>15233</v>
      </c>
      <c r="AB3820" t="s">
        <v>19036</v>
      </c>
    </row>
    <row r="3821" spans="1:28" x14ac:dyDescent="0.25">
      <c r="A3821" t="s">
        <v>3825</v>
      </c>
      <c r="B3821">
        <v>0.98876768158843997</v>
      </c>
      <c r="C3821">
        <v>0.97807294790086796</v>
      </c>
      <c r="D3821">
        <v>0.77331327270938899</v>
      </c>
      <c r="E3821">
        <v>0.58854765374725704</v>
      </c>
      <c r="F3821">
        <v>0.41203469404536303</v>
      </c>
      <c r="G3821">
        <v>0.27994456773085602</v>
      </c>
      <c r="H3821">
        <v>0.142049973497828</v>
      </c>
      <c r="I3821">
        <v>0.150744572915641</v>
      </c>
      <c r="J3821">
        <v>0.19740373456961199</v>
      </c>
      <c r="K3821">
        <v>0.186590866201643</v>
      </c>
      <c r="L3821">
        <v>759.86118192604999</v>
      </c>
      <c r="M3821">
        <v>15.1999936250759</v>
      </c>
      <c r="N3821">
        <v>51.178389503425699</v>
      </c>
      <c r="O3821">
        <v>49.149566704224299</v>
      </c>
      <c r="P3821">
        <v>-6.5832196247673794E-2</v>
      </c>
      <c r="Q3821">
        <v>0.148601333557908</v>
      </c>
      <c r="R3821">
        <v>0.98988001341931198</v>
      </c>
      <c r="S3821" t="s">
        <v>7653</v>
      </c>
      <c r="T3821" t="s">
        <v>7662</v>
      </c>
      <c r="U3821" t="s">
        <v>7662</v>
      </c>
      <c r="V3821" t="s">
        <v>7662</v>
      </c>
      <c r="W3821">
        <v>1</v>
      </c>
      <c r="X3821" t="s">
        <v>11483</v>
      </c>
      <c r="Y3821">
        <v>0.45197837767922239</v>
      </c>
      <c r="Z3821" t="str">
        <f>HYPERLINK("Melting_Curves/meltCurve_tr_Q9H6Y6_Q9H6Y6_HUMAN_.pdf", "Melting_Curves/meltCurve_tr_Q9H6Y6_Q9H6Y6_HUMAN_.pdf")</f>
        <v>Melting_Curves/meltCurve_tr_Q9H6Y6_Q9H6Y6_HUMAN_.pdf</v>
      </c>
      <c r="AA3821" t="s">
        <v>15234</v>
      </c>
      <c r="AB3821" t="s">
        <v>19037</v>
      </c>
    </row>
    <row r="3822" spans="1:28" x14ac:dyDescent="0.25">
      <c r="A3822" t="s">
        <v>3826</v>
      </c>
      <c r="B3822">
        <v>0.98876768158843997</v>
      </c>
      <c r="C3822">
        <v>0.77479877374707895</v>
      </c>
      <c r="D3822">
        <v>0.92844407228154302</v>
      </c>
      <c r="E3822">
        <v>0.66781289359109797</v>
      </c>
      <c r="F3822">
        <v>0.614339649141177</v>
      </c>
      <c r="G3822">
        <v>0.46282572428338897</v>
      </c>
      <c r="H3822">
        <v>0.37883336760693698</v>
      </c>
      <c r="I3822">
        <v>0.38266446405160498</v>
      </c>
      <c r="J3822">
        <v>0.67339244096831197</v>
      </c>
      <c r="K3822">
        <v>0.49092986295197599</v>
      </c>
      <c r="L3822">
        <v>694.08425608150901</v>
      </c>
      <c r="M3822">
        <v>14.3450092738263</v>
      </c>
      <c r="N3822">
        <v>59.257851690682699</v>
      </c>
      <c r="O3822">
        <v>47.473921571200499</v>
      </c>
      <c r="P3822">
        <v>-4.0492488879939698E-2</v>
      </c>
      <c r="Q3822">
        <v>0.464034930766269</v>
      </c>
      <c r="R3822">
        <v>0.75920484188417103</v>
      </c>
      <c r="S3822" t="s">
        <v>7654</v>
      </c>
      <c r="T3822" t="s">
        <v>7662</v>
      </c>
      <c r="U3822" t="s">
        <v>7662</v>
      </c>
      <c r="V3822" t="s">
        <v>7662</v>
      </c>
      <c r="W3822">
        <v>1</v>
      </c>
      <c r="X3822" t="s">
        <v>11484</v>
      </c>
      <c r="Y3822">
        <v>0.62861118014432127</v>
      </c>
      <c r="Z3822" t="str">
        <f>HYPERLINK("Melting_Curves/meltCurve_tr_Q9UII8_Q9UII8_HUMAN_.pdf", "Melting_Curves/meltCurve_tr_Q9UII8_Q9UII8_HUMAN_.pdf")</f>
        <v>Melting_Curves/meltCurve_tr_Q9UII8_Q9UII8_HUMAN_.pdf</v>
      </c>
      <c r="AA3822" t="s">
        <v>15235</v>
      </c>
      <c r="AB3822" t="s">
        <v>19038</v>
      </c>
    </row>
    <row r="3823" spans="1:28" x14ac:dyDescent="0.25">
      <c r="A3823" t="s">
        <v>3827</v>
      </c>
      <c r="B3823">
        <v>0.98876768158843997</v>
      </c>
      <c r="C3823">
        <v>0.83262910407695701</v>
      </c>
      <c r="D3823">
        <v>0.73833878507007</v>
      </c>
      <c r="E3823">
        <v>0.31573938925793499</v>
      </c>
      <c r="F3823">
        <v>0.142471958228121</v>
      </c>
      <c r="G3823">
        <v>9.0153593260587098E-2</v>
      </c>
      <c r="H3823">
        <v>3.8002169422458397E-2</v>
      </c>
      <c r="I3823">
        <v>2.9643440228490199E-2</v>
      </c>
      <c r="J3823">
        <v>3.0154554168910299E-2</v>
      </c>
      <c r="K3823">
        <v>2.7369592260953798E-2</v>
      </c>
      <c r="L3823">
        <v>890.99157210968201</v>
      </c>
      <c r="M3823">
        <v>18.602269129627999</v>
      </c>
      <c r="N3823">
        <v>48.018048224218703</v>
      </c>
      <c r="O3823">
        <v>47.353713817517097</v>
      </c>
      <c r="P3823">
        <v>-9.5962316633567205E-2</v>
      </c>
      <c r="Q3823">
        <v>2.2920238778469999E-2</v>
      </c>
      <c r="R3823">
        <v>0.993882026863249</v>
      </c>
      <c r="S3823" t="s">
        <v>7655</v>
      </c>
      <c r="T3823" t="s">
        <v>7662</v>
      </c>
      <c r="U3823" t="s">
        <v>7662</v>
      </c>
      <c r="V3823" t="s">
        <v>7662</v>
      </c>
      <c r="W3823">
        <v>6</v>
      </c>
      <c r="X3823" t="s">
        <v>11485</v>
      </c>
      <c r="Y3823">
        <v>0.29634574108568418</v>
      </c>
      <c r="Z3823" t="str">
        <f>HYPERLINK("Melting_Curves/meltCurve_tr_R4GMR5_R4GMR5_HUMAN_.pdf", "Melting_Curves/meltCurve_tr_R4GMR5_R4GMR5_HUMAN_.pdf")</f>
        <v>Melting_Curves/meltCurve_tr_R4GMR5_R4GMR5_HUMAN_.pdf</v>
      </c>
      <c r="AA3823" t="s">
        <v>15236</v>
      </c>
      <c r="AB3823" t="s">
        <v>19039</v>
      </c>
    </row>
    <row r="3824" spans="1:28" x14ac:dyDescent="0.25">
      <c r="A3824" t="s">
        <v>3828</v>
      </c>
      <c r="B3824">
        <v>0.98876768158843997</v>
      </c>
      <c r="C3824">
        <v>0.82766313093454902</v>
      </c>
      <c r="D3824">
        <v>1.06511304610445</v>
      </c>
      <c r="E3824">
        <v>0.61308198242192702</v>
      </c>
      <c r="F3824">
        <v>0.233128701018429</v>
      </c>
      <c r="G3824">
        <v>7.0530245167219993E-2</v>
      </c>
      <c r="H3824">
        <v>3.4769574442335402E-2</v>
      </c>
      <c r="I3824">
        <v>2.4486662701239299E-2</v>
      </c>
      <c r="J3824">
        <v>4.1570411741741302E-2</v>
      </c>
      <c r="K3824">
        <v>3.4664991305172199E-2</v>
      </c>
      <c r="L3824">
        <v>1741.4985285156799</v>
      </c>
      <c r="M3824">
        <v>34.339256706831797</v>
      </c>
      <c r="N3824">
        <v>50.830602932813299</v>
      </c>
      <c r="O3824">
        <v>50.543442279526403</v>
      </c>
      <c r="P3824">
        <v>-0.163445531405118</v>
      </c>
      <c r="Q3824">
        <v>3.7711451427786903E-2</v>
      </c>
      <c r="R3824">
        <v>0.97695194012598197</v>
      </c>
      <c r="S3824" t="s">
        <v>7656</v>
      </c>
      <c r="T3824" t="s">
        <v>7662</v>
      </c>
      <c r="U3824" t="s">
        <v>7662</v>
      </c>
      <c r="V3824" t="s">
        <v>7662</v>
      </c>
      <c r="W3824">
        <v>2</v>
      </c>
      <c r="X3824" t="s">
        <v>11486</v>
      </c>
      <c r="Y3824">
        <v>0.38598143267264051</v>
      </c>
      <c r="Z3824" t="str">
        <f>HYPERLINK("Melting_Curves/meltCurve_tr_R4GMX3_R4GMX3_HUMAN_.pdf", "Melting_Curves/meltCurve_tr_R4GMX3_R4GMX3_HUMAN_.pdf")</f>
        <v>Melting_Curves/meltCurve_tr_R4GMX3_R4GMX3_HUMAN_.pdf</v>
      </c>
      <c r="AA3824" t="s">
        <v>15237</v>
      </c>
      <c r="AB3824" t="s">
        <v>19040</v>
      </c>
    </row>
    <row r="3825" spans="1:28" x14ac:dyDescent="0.25">
      <c r="A3825" t="s">
        <v>3829</v>
      </c>
      <c r="B3825">
        <v>0.98876768158843997</v>
      </c>
      <c r="C3825">
        <v>1.07890441760477</v>
      </c>
      <c r="D3825">
        <v>0.83007059932626104</v>
      </c>
      <c r="E3825">
        <v>0.62257179864005896</v>
      </c>
      <c r="F3825">
        <v>0.57989924392772796</v>
      </c>
      <c r="G3825">
        <v>0.18741276526485401</v>
      </c>
      <c r="H3825">
        <v>0.12219572033771001</v>
      </c>
      <c r="I3825">
        <v>0.121593214873864</v>
      </c>
      <c r="J3825">
        <v>0.17726450494257601</v>
      </c>
      <c r="K3825">
        <v>0.18182039125393001</v>
      </c>
      <c r="L3825">
        <v>882.30524468041699</v>
      </c>
      <c r="M3825">
        <v>17.122667872731501</v>
      </c>
      <c r="N3825">
        <v>52.370404738349997</v>
      </c>
      <c r="O3825">
        <v>50.841054780376602</v>
      </c>
      <c r="P3825">
        <v>-7.4071087785691103E-2</v>
      </c>
      <c r="Q3825">
        <v>0.12031792233333</v>
      </c>
      <c r="R3825">
        <v>0.96310374874005</v>
      </c>
      <c r="S3825" t="s">
        <v>7657</v>
      </c>
      <c r="T3825" t="s">
        <v>7662</v>
      </c>
      <c r="U3825" t="s">
        <v>7662</v>
      </c>
      <c r="V3825" t="s">
        <v>7662</v>
      </c>
      <c r="W3825">
        <v>7</v>
      </c>
      <c r="X3825" t="s">
        <v>11487</v>
      </c>
      <c r="Y3825">
        <v>0.47442510070908589</v>
      </c>
      <c r="Z3825" t="str">
        <f>HYPERLINK("Melting_Curves/meltCurve_tr_R4GN55_R4GN55_HUMAN_.pdf", "Melting_Curves/meltCurve_tr_R4GN55_R4GN55_HUMAN_.pdf")</f>
        <v>Melting_Curves/meltCurve_tr_R4GN55_R4GN55_HUMAN_.pdf</v>
      </c>
      <c r="AA3825" t="s">
        <v>15238</v>
      </c>
      <c r="AB3825" t="s">
        <v>19041</v>
      </c>
    </row>
    <row r="3826" spans="1:28" x14ac:dyDescent="0.25">
      <c r="A3826" t="s">
        <v>3830</v>
      </c>
      <c r="B3826">
        <v>0.98876768158843997</v>
      </c>
      <c r="C3826">
        <v>1.3001252567705599</v>
      </c>
      <c r="D3826">
        <v>0.90796977591707595</v>
      </c>
      <c r="E3826">
        <v>0.762642373264521</v>
      </c>
      <c r="F3826">
        <v>1.16652876411191</v>
      </c>
      <c r="G3826">
        <v>0.73021299087351199</v>
      </c>
      <c r="H3826">
        <v>0.52640449844873904</v>
      </c>
      <c r="I3826">
        <v>0.57213908977637795</v>
      </c>
      <c r="J3826">
        <v>0.62714761856336698</v>
      </c>
      <c r="K3826">
        <v>0.71218145974233804</v>
      </c>
      <c r="L3826">
        <v>14204.174658857901</v>
      </c>
      <c r="M3826">
        <v>250</v>
      </c>
      <c r="O3826">
        <v>56.813060871327302</v>
      </c>
      <c r="P3826">
        <v>-0.42962372630101098</v>
      </c>
      <c r="Q3826">
        <v>0.609468164955561</v>
      </c>
      <c r="R3826">
        <v>0.65995703249000504</v>
      </c>
      <c r="S3826" t="s">
        <v>7658</v>
      </c>
      <c r="T3826" t="s">
        <v>7662</v>
      </c>
      <c r="U3826" t="s">
        <v>7662</v>
      </c>
      <c r="V3826" t="s">
        <v>7662</v>
      </c>
      <c r="W3826">
        <v>2</v>
      </c>
      <c r="X3826" t="s">
        <v>11488</v>
      </c>
      <c r="Y3826">
        <v>0.82842231174678682</v>
      </c>
      <c r="Z3826" t="str">
        <f>HYPERLINK("Melting_Curves/meltCurve_tr_R4GN98_R4GN98_HUMAN_.pdf", "Melting_Curves/meltCurve_tr_R4GN98_R4GN98_HUMAN_.pdf")</f>
        <v>Melting_Curves/meltCurve_tr_R4GN98_R4GN98_HUMAN_.pdf</v>
      </c>
      <c r="AA3826" t="s">
        <v>15239</v>
      </c>
      <c r="AB3826" t="s">
        <v>19042</v>
      </c>
    </row>
    <row r="3827" spans="1:28" x14ac:dyDescent="0.25">
      <c r="A3827" t="s">
        <v>3831</v>
      </c>
      <c r="B3827">
        <v>0.98876768158843997</v>
      </c>
      <c r="C3827">
        <v>0.81907253298767702</v>
      </c>
      <c r="D3827">
        <v>0.81471116482833905</v>
      </c>
      <c r="E3827">
        <v>0.72821243611824904</v>
      </c>
      <c r="F3827">
        <v>0.32377459133950698</v>
      </c>
      <c r="G3827">
        <v>0.179639819878254</v>
      </c>
      <c r="H3827">
        <v>8.8563374309283696E-2</v>
      </c>
      <c r="I3827">
        <v>3.6147870084104097E-2</v>
      </c>
      <c r="J3827">
        <v>0.14128187573242401</v>
      </c>
      <c r="K3827">
        <v>3.2804738750337001E-2</v>
      </c>
      <c r="L3827">
        <v>755.85571023273906</v>
      </c>
      <c r="M3827">
        <v>14.7606229358998</v>
      </c>
      <c r="N3827">
        <v>51.386321466027098</v>
      </c>
      <c r="O3827">
        <v>50.295235316663998</v>
      </c>
      <c r="P3827">
        <v>-7.1541546408099899E-2</v>
      </c>
      <c r="Q3827">
        <v>2.50242915678878E-2</v>
      </c>
      <c r="R3827">
        <v>0.96183147058649499</v>
      </c>
      <c r="S3827" t="s">
        <v>7659</v>
      </c>
      <c r="T3827" t="s">
        <v>7662</v>
      </c>
      <c r="U3827" t="s">
        <v>7662</v>
      </c>
      <c r="V3827" t="s">
        <v>7662</v>
      </c>
      <c r="W3827">
        <v>3</v>
      </c>
      <c r="X3827" t="s">
        <v>11489</v>
      </c>
      <c r="Y3827">
        <v>0.41223116417203348</v>
      </c>
      <c r="Z3827" t="str">
        <f>HYPERLINK("Melting_Curves/meltCurve_tr_R4GNB2_R4GNB2_HUMAN_.pdf", "Melting_Curves/meltCurve_tr_R4GNB2_R4GNB2_HUMAN_.pdf")</f>
        <v>Melting_Curves/meltCurve_tr_R4GNB2_R4GNB2_HUMAN_.pdf</v>
      </c>
      <c r="AA3827" t="s">
        <v>15240</v>
      </c>
      <c r="AB3827" t="s">
        <v>19043</v>
      </c>
    </row>
    <row r="3828" spans="1:28" x14ac:dyDescent="0.25">
      <c r="A3828" t="s">
        <v>3832</v>
      </c>
      <c r="B3828">
        <v>0.98876768158843997</v>
      </c>
      <c r="C3828">
        <v>0.996257094174399</v>
      </c>
      <c r="D3828">
        <v>0.848830114709612</v>
      </c>
      <c r="E3828">
        <v>0.59740504094426905</v>
      </c>
      <c r="F3828">
        <v>0.59464660858285701</v>
      </c>
      <c r="G3828">
        <v>0.34385094774371999</v>
      </c>
      <c r="H3828">
        <v>0.32709607147479602</v>
      </c>
      <c r="I3828">
        <v>0.36905233687429001</v>
      </c>
      <c r="J3828">
        <v>0.53553585586077801</v>
      </c>
      <c r="K3828">
        <v>0.359867351560411</v>
      </c>
      <c r="L3828">
        <v>952.34874798337</v>
      </c>
      <c r="M3828">
        <v>19.4609574209851</v>
      </c>
      <c r="N3828">
        <v>52.994058042687499</v>
      </c>
      <c r="O3828">
        <v>48.428446585941302</v>
      </c>
      <c r="P3828">
        <v>-6.1553102540345801E-2</v>
      </c>
      <c r="Q3828">
        <v>0.38732449274798603</v>
      </c>
      <c r="R3828">
        <v>0.92691205886886097</v>
      </c>
      <c r="S3828" t="s">
        <v>7660</v>
      </c>
      <c r="T3828" t="s">
        <v>7662</v>
      </c>
      <c r="U3828" t="s">
        <v>7662</v>
      </c>
      <c r="V3828" t="s">
        <v>7662</v>
      </c>
      <c r="W3828">
        <v>1</v>
      </c>
      <c r="X3828" t="s">
        <v>11490</v>
      </c>
      <c r="Y3828">
        <v>0.57890605172513887</v>
      </c>
      <c r="Z3828" t="str">
        <f>HYPERLINK("Melting_Curves/meltCurve_tr_R4GNG2_R4GNG2_HUMAN_.pdf", "Melting_Curves/meltCurve_tr_R4GNG2_R4GNG2_HUMAN_.pdf")</f>
        <v>Melting_Curves/meltCurve_tr_R4GNG2_R4GNG2_HUMAN_.pdf</v>
      </c>
      <c r="AA3828" t="s">
        <v>15241</v>
      </c>
      <c r="AB3828" t="s">
        <v>19044</v>
      </c>
    </row>
    <row r="3829" spans="1:28" x14ac:dyDescent="0.25">
      <c r="A3829" t="s">
        <v>3833</v>
      </c>
      <c r="B3829">
        <v>0.98876768158843997</v>
      </c>
      <c r="C3829">
        <v>0.79603307247036803</v>
      </c>
      <c r="D3829">
        <v>0.61517934072826597</v>
      </c>
      <c r="E3829">
        <v>0.21824484377765199</v>
      </c>
      <c r="F3829">
        <v>0.114397605447911</v>
      </c>
      <c r="G3829">
        <v>5.0949292743659301E-2</v>
      </c>
      <c r="H3829">
        <v>2.8609890049500899E-2</v>
      </c>
      <c r="I3829">
        <v>2.4808707611828899E-2</v>
      </c>
      <c r="J3829">
        <v>3.30039330597066E-2</v>
      </c>
      <c r="K3829">
        <v>2.4678189848447701E-2</v>
      </c>
      <c r="L3829">
        <v>879.16296504251898</v>
      </c>
      <c r="M3829">
        <v>18.8296207231623</v>
      </c>
      <c r="N3829">
        <v>46.792865525737497</v>
      </c>
      <c r="O3829">
        <v>46.173355775180902</v>
      </c>
      <c r="P3829">
        <v>-9.9896145954839297E-2</v>
      </c>
      <c r="Q3829">
        <v>2.0192479313170399E-2</v>
      </c>
      <c r="R3829">
        <v>0.99589487360381501</v>
      </c>
      <c r="S3829" t="s">
        <v>7661</v>
      </c>
      <c r="T3829" t="s">
        <v>7662</v>
      </c>
      <c r="U3829" t="s">
        <v>7662</v>
      </c>
      <c r="V3829" t="s">
        <v>7662</v>
      </c>
      <c r="W3829">
        <v>15</v>
      </c>
      <c r="X3829" t="s">
        <v>11491</v>
      </c>
      <c r="Y3829">
        <v>0.25533692638925171</v>
      </c>
      <c r="Z3829" t="str">
        <f>HYPERLINK("Melting_Curves/meltCurve_tr_R4GNH3_R4GNH3_HUMAN_.pdf", "Melting_Curves/meltCurve_tr_R4GNH3_R4GNH3_HUMAN_.pdf")</f>
        <v>Melting_Curves/meltCurve_tr_R4GNH3_R4GNH3_HUMAN_.pdf</v>
      </c>
      <c r="AA3829" t="s">
        <v>15242</v>
      </c>
      <c r="AB3829" t="s">
        <v>19045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2017-09-28T11:26:52Z</dcterms:created>
  <dcterms:modified xsi:type="dcterms:W3CDTF">2018-08-21T09:20:04Z</dcterms:modified>
</cp:coreProperties>
</file>